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omments3.xml" ContentType="application/vnd.openxmlformats-officedocument.spreadsheetml.comments+xml"/>
  <Override PartName="/xl/customProperty7.bin" ContentType="application/vnd.openxmlformats-officedocument.spreadsheetml.customProperty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comments6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H:\Non system capex and ACS team\ElectraNet\Revised proposal\Final decision modelling\"/>
    </mc:Choice>
  </mc:AlternateContent>
  <bookViews>
    <workbookView xWindow="0" yWindow="0" windowWidth="20610" windowHeight="8820"/>
  </bookViews>
  <sheets>
    <sheet name="Table of Contents" sheetId="59" r:id="rId1"/>
    <sheet name="PTRM" sheetId="11" r:id="rId2"/>
    <sheet name="RFM" sheetId="10" r:id="rId3"/>
    <sheet name="For RFM &amp; PTRM" sheetId="8" r:id="rId4"/>
    <sheet name="Incurred" sheetId="1" r:id="rId5"/>
    <sheet name="Incurred 2.5% cpi" sheetId="29" r:id="rId6"/>
    <sheet name="Commissioned" sheetId="6" r:id="rId7"/>
    <sheet name="Commissioned Extra" sheetId="21" r:id="rId8"/>
    <sheet name="F17 Commiss &amp; CWIP" sheetId="60" r:id="rId9"/>
    <sheet name="Success Asset Classes" sheetId="53" r:id="rId10"/>
    <sheet name="Project splits" sheetId="55" r:id="rId11"/>
    <sheet name="Project labour content" sheetId="40" r:id="rId12"/>
    <sheet name="Capex 15yr View" sheetId="58" r:id="rId13"/>
  </sheets>
  <externalReferences>
    <externalReference r:id="rId14"/>
  </externalReferences>
  <definedNames>
    <definedName name="_xlnm._FilterDatabase" localSheetId="6">Commissioned!$K$18:$AH$263</definedName>
    <definedName name="_xlnm._FilterDatabase" localSheetId="7">'Commissioned Extra'!$A$18:$AG$78</definedName>
    <definedName name="_xlnm._FilterDatabase" localSheetId="4" hidden="1">Incurred!$A$25:$BP$372</definedName>
    <definedName name="_xlnm._FilterDatabase" localSheetId="5" hidden="1">'Incurred 2.5% cpi'!$A$25:$Z$372</definedName>
    <definedName name="_xlnm._FilterDatabase" localSheetId="11">'Project labour content'!$A$6:$E$176</definedName>
    <definedName name="_xlnm._FilterDatabase" localSheetId="10">'Project splits'!$A$5:$Z$835</definedName>
    <definedName name="_xlnm._FilterDatabase" localSheetId="9">'Success Asset Classes'!$A$21:$CO$325</definedName>
    <definedName name="CatLabEsc">'Project labour content'!$I$6:$L$19</definedName>
    <definedName name="Commissioned_Extra">'Commissioned Extra'!$J$4:$AF$14</definedName>
    <definedName name="CommissionedByClass">Commissioned!$N$4:$AH$14</definedName>
    <definedName name="ContractorRate">Incurred!$A$18</definedName>
    <definedName name="CWIPF16">'F17 Commiss &amp; CWIP'!$J$4:$L$117</definedName>
    <definedName name="CWIPF17">'F17 Commiss &amp; CWIP'!$N$4:$P$139</definedName>
    <definedName name="data" localSheetId="10">EPK XML [1]Export!$A$2:$K$300</definedName>
    <definedName name="data">EPK XML [1]Export!$A$2:$K$300</definedName>
    <definedName name="Estimates">'Success Asset Classes'!$A$21:$CO$404</definedName>
    <definedName name="IncurredByClass">Incurred!$AL$5:$BF$14</definedName>
    <definedName name="Labesc18">Incurred!$R$18</definedName>
    <definedName name="LabEsc19">Incurred!$S$18</definedName>
    <definedName name="LabEsc20">Incurred!$T$18</definedName>
    <definedName name="LabEsc21">Incurred!$U$18</definedName>
    <definedName name="LabEsc22">Incurred!$V$18</definedName>
    <definedName name="LabEsc23">Incurred!$W$18</definedName>
    <definedName name="LabEsc24">Incurred!$X$18</definedName>
    <definedName name="LabIn">Incurred!$A$19</definedName>
    <definedName name="_xlnm.Print_Area" localSheetId="6">Commissioned!$A$18:$AF$350</definedName>
    <definedName name="_xlnm.Print_Area" localSheetId="7">'Commissioned Extra'!$A$18:$F$79</definedName>
    <definedName name="_xlnm.Print_Area" localSheetId="4">Incurred!$A$25:$S$296</definedName>
    <definedName name="_xlnm.Print_Area" localSheetId="11">'Project labour content'!$N$19:$X$20</definedName>
    <definedName name="_xlnm.Print_Area" localSheetId="10">'Project splits'!$A$5:$Y$839</definedName>
    <definedName name="_xlnm.Print_Area" localSheetId="1">PTRM!$A$6:$U$65</definedName>
    <definedName name="ProjectSplits">'Project splits'!$C$5:$Z$845</definedName>
    <definedName name="ProjLabEsc">'Project labour content'!$A$6:$G$176</definedName>
    <definedName name="RCP_1to5">"2015-16 to 2019-20"</definedName>
    <definedName name="SplitHeaders" localSheetId="10">'Project splits'!$C$5:$Y$5</definedName>
  </definedNames>
  <calcPr calcId="162913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1" i="40" l="1"/>
  <c r="W21" i="40" l="1"/>
  <c r="K19" i="58" l="1"/>
  <c r="P27" i="1"/>
  <c r="P43" i="29" l="1"/>
  <c r="BN387" i="1" l="1"/>
  <c r="A23" i="1"/>
  <c r="A16" i="1"/>
  <c r="K17" i="58" s="1"/>
  <c r="J19" i="58" s="1"/>
  <c r="I19" i="58" s="1"/>
  <c r="H19" i="58" s="1"/>
  <c r="G19" i="58" s="1"/>
  <c r="F19" i="58" s="1"/>
  <c r="E19" i="58" s="1"/>
  <c r="D19" i="58" s="1"/>
  <c r="C19" i="58" s="1"/>
  <c r="AF76" i="21" l="1"/>
  <c r="AF77" i="21"/>
  <c r="AF78" i="21"/>
  <c r="AF75" i="21"/>
  <c r="AF74" i="21"/>
  <c r="AK78" i="1"/>
  <c r="AK232" i="1" l="1"/>
  <c r="BT73" i="53"/>
  <c r="BJ116" i="1"/>
  <c r="BK116" i="1"/>
  <c r="BL116" i="1"/>
  <c r="BJ152" i="1"/>
  <c r="BK152" i="1"/>
  <c r="BL152" i="1"/>
  <c r="BJ301" i="1"/>
  <c r="BK301" i="1"/>
  <c r="BL301" i="1"/>
  <c r="BJ309" i="1"/>
  <c r="BK309" i="1"/>
  <c r="BL309" i="1"/>
  <c r="BJ325" i="1"/>
  <c r="BK325" i="1"/>
  <c r="BL325" i="1"/>
  <c r="BJ362" i="1"/>
  <c r="BK362" i="1"/>
  <c r="BL362" i="1"/>
  <c r="BJ363" i="1"/>
  <c r="BK363" i="1"/>
  <c r="BL363" i="1"/>
  <c r="BJ364" i="1"/>
  <c r="BK364" i="1"/>
  <c r="BL364" i="1"/>
  <c r="BJ365" i="1"/>
  <c r="BK365" i="1"/>
  <c r="BL365" i="1"/>
  <c r="BJ370" i="1"/>
  <c r="BK370" i="1"/>
  <c r="BL370" i="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19" i="21"/>
  <c r="P43" i="1"/>
  <c r="M21" i="6"/>
  <c r="M22" i="6"/>
  <c r="M28" i="6"/>
  <c r="M30" i="6"/>
  <c r="M31" i="6"/>
  <c r="M32" i="6"/>
  <c r="M34" i="6"/>
  <c r="M36" i="6"/>
  <c r="M39" i="6"/>
  <c r="M45" i="6"/>
  <c r="M51" i="6"/>
  <c r="M52" i="6"/>
  <c r="M53" i="6"/>
  <c r="M61" i="6"/>
  <c r="M66" i="6"/>
  <c r="M69" i="6"/>
  <c r="M93" i="6"/>
  <c r="M134" i="6"/>
  <c r="M135" i="6"/>
  <c r="M139" i="6"/>
  <c r="M143" i="6"/>
  <c r="M152" i="6"/>
  <c r="M157" i="6"/>
  <c r="M185" i="6"/>
  <c r="M186" i="6"/>
  <c r="M187" i="6"/>
  <c r="M188" i="6"/>
  <c r="M189" i="6"/>
  <c r="M190" i="6"/>
  <c r="M191" i="6"/>
  <c r="M192" i="6"/>
  <c r="M194" i="6"/>
  <c r="M195" i="6"/>
  <c r="M208" i="6"/>
  <c r="M218" i="6"/>
  <c r="M219" i="6"/>
  <c r="M220" i="6"/>
  <c r="M234" i="6"/>
  <c r="M236" i="6"/>
  <c r="M240" i="6"/>
  <c r="M257" i="6"/>
  <c r="M258" i="6"/>
  <c r="M259" i="6"/>
  <c r="M260" i="6"/>
  <c r="M261" i="6"/>
  <c r="AL155" i="1"/>
  <c r="AL56" i="1"/>
  <c r="S1" i="29" l="1"/>
  <c r="T1" i="29"/>
  <c r="U1" i="29"/>
  <c r="V1" i="29"/>
  <c r="W1" i="29"/>
  <c r="X1" i="29"/>
  <c r="R1" i="29"/>
  <c r="S1" i="1"/>
  <c r="T1" i="1"/>
  <c r="U1" i="1"/>
  <c r="V1" i="1"/>
  <c r="W1" i="1"/>
  <c r="R1" i="1"/>
  <c r="AK37" i="1"/>
  <c r="BT325" i="53"/>
  <c r="CO325" i="53" l="1"/>
  <c r="Q25" i="29" l="1"/>
  <c r="P397" i="1" l="1"/>
  <c r="J5" i="58" s="1"/>
  <c r="P405" i="1"/>
  <c r="J13" i="58" s="1"/>
  <c r="P403" i="1"/>
  <c r="J11" i="58" s="1"/>
  <c r="P402" i="1"/>
  <c r="J10" i="58" s="1"/>
  <c r="P401" i="1"/>
  <c r="J8" i="58" s="1"/>
  <c r="P400" i="1"/>
  <c r="J7" i="58" s="1"/>
  <c r="P399" i="1"/>
  <c r="J9" i="58" s="1"/>
  <c r="P398" i="1"/>
  <c r="J6" i="58" s="1"/>
  <c r="AE63" i="21" l="1"/>
  <c r="AF63" i="21"/>
  <c r="N189" i="6" l="1"/>
  <c r="N186" i="6"/>
  <c r="N191" i="6"/>
  <c r="N187" i="6"/>
  <c r="N192" i="6"/>
  <c r="N188" i="6"/>
  <c r="K259" i="6" l="1"/>
  <c r="K260" i="6"/>
  <c r="K261" i="6"/>
  <c r="AK364" i="1" l="1"/>
  <c r="AK365" i="1"/>
  <c r="AL365" i="1" l="1"/>
  <c r="AL364" i="1"/>
  <c r="BN392" i="1"/>
  <c r="BN391" i="1"/>
  <c r="BI309" i="1"/>
  <c r="BH309" i="1"/>
  <c r="BN390" i="1"/>
  <c r="BG309" i="1" s="1"/>
  <c r="BI301" i="1"/>
  <c r="BH301" i="1"/>
  <c r="BN389" i="1"/>
  <c r="BG301" i="1" s="1"/>
  <c r="BI152" i="1"/>
  <c r="BH152" i="1"/>
  <c r="BN388" i="1"/>
  <c r="BG152" i="1" s="1"/>
  <c r="BI116" i="1"/>
  <c r="BH116" i="1"/>
  <c r="BG116" i="1"/>
  <c r="BH364" i="1" l="1"/>
  <c r="BH365" i="1"/>
  <c r="BH370" i="1"/>
  <c r="BI363" i="1"/>
  <c r="BI325" i="1"/>
  <c r="BI362" i="1"/>
  <c r="BG365" i="1"/>
  <c r="BG364" i="1"/>
  <c r="BG370" i="1"/>
  <c r="BG325" i="1"/>
  <c r="BG363" i="1"/>
  <c r="BG362" i="1"/>
  <c r="BI364" i="1"/>
  <c r="BI365" i="1"/>
  <c r="BI370" i="1"/>
  <c r="BH325" i="1"/>
  <c r="BH362" i="1"/>
  <c r="BH363" i="1"/>
  <c r="AE77" i="21"/>
  <c r="AE61" i="21"/>
  <c r="AE59" i="21"/>
  <c r="AF59" i="21"/>
  <c r="AF61" i="21"/>
  <c r="Q350" i="29"/>
  <c r="Q56" i="29"/>
  <c r="K20" i="6"/>
  <c r="M20" i="6" s="1"/>
  <c r="K21" i="6"/>
  <c r="K22" i="6"/>
  <c r="K23" i="6"/>
  <c r="M23" i="6" s="1"/>
  <c r="K24" i="6"/>
  <c r="K25" i="6"/>
  <c r="K26" i="6"/>
  <c r="M26" i="6" s="1"/>
  <c r="K27" i="6"/>
  <c r="K28" i="6"/>
  <c r="K29" i="6"/>
  <c r="K30" i="6"/>
  <c r="K31" i="6"/>
  <c r="K32" i="6"/>
  <c r="K33" i="6"/>
  <c r="K34" i="6"/>
  <c r="K35" i="6"/>
  <c r="M35" i="6" s="1"/>
  <c r="K36" i="6"/>
  <c r="K37" i="6"/>
  <c r="K38" i="6"/>
  <c r="M38" i="6" s="1"/>
  <c r="K39" i="6"/>
  <c r="K40" i="6"/>
  <c r="K41" i="6"/>
  <c r="K42" i="6"/>
  <c r="K43" i="6"/>
  <c r="K44" i="6"/>
  <c r="K45" i="6"/>
  <c r="K46" i="6"/>
  <c r="K47" i="6"/>
  <c r="K48" i="6"/>
  <c r="K49" i="6"/>
  <c r="K50" i="6"/>
  <c r="M50" i="6" s="1"/>
  <c r="K51" i="6"/>
  <c r="K52" i="6"/>
  <c r="K53" i="6"/>
  <c r="K54" i="6"/>
  <c r="K55" i="6"/>
  <c r="K56" i="6"/>
  <c r="M56" i="6" s="1"/>
  <c r="K57" i="6"/>
  <c r="K58" i="6"/>
  <c r="K59" i="6"/>
  <c r="K60" i="6"/>
  <c r="K61" i="6"/>
  <c r="K62" i="6"/>
  <c r="M62" i="6" s="1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M75" i="6" s="1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M136" i="6" s="1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M151" i="6" s="1"/>
  <c r="K152" i="6"/>
  <c r="K153" i="6"/>
  <c r="K154" i="6"/>
  <c r="K155" i="6"/>
  <c r="K156" i="6"/>
  <c r="K157" i="6"/>
  <c r="K158" i="6"/>
  <c r="M158" i="6" s="1"/>
  <c r="K159" i="6"/>
  <c r="M159" i="6" s="1"/>
  <c r="K160" i="6"/>
  <c r="K161" i="6"/>
  <c r="K162" i="6"/>
  <c r="K163" i="6"/>
  <c r="K164" i="6"/>
  <c r="K165" i="6"/>
  <c r="K166" i="6"/>
  <c r="M166" i="6" s="1"/>
  <c r="K167" i="6"/>
  <c r="K168" i="6"/>
  <c r="K169" i="6"/>
  <c r="M169" i="6" s="1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M210" i="6" s="1"/>
  <c r="K211" i="6"/>
  <c r="K212" i="6"/>
  <c r="K213" i="6"/>
  <c r="M213" i="6" s="1"/>
  <c r="K214" i="6"/>
  <c r="K215" i="6"/>
  <c r="K216" i="6"/>
  <c r="K217" i="6"/>
  <c r="K218" i="6"/>
  <c r="K219" i="6"/>
  <c r="K220" i="6"/>
  <c r="K221" i="6"/>
  <c r="K222" i="6"/>
  <c r="K223" i="6"/>
  <c r="M223" i="6" s="1"/>
  <c r="K224" i="6"/>
  <c r="K225" i="6"/>
  <c r="K226" i="6"/>
  <c r="K227" i="6"/>
  <c r="K228" i="6"/>
  <c r="K229" i="6"/>
  <c r="K230" i="6"/>
  <c r="K231" i="6"/>
  <c r="K232" i="6"/>
  <c r="K233" i="6"/>
  <c r="M233" i="6" s="1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19" i="6"/>
  <c r="N56" i="6" l="1"/>
  <c r="N159" i="6"/>
  <c r="N75" i="6"/>
  <c r="N23" i="6"/>
  <c r="N210" i="6"/>
  <c r="N166" i="6"/>
  <c r="N158" i="6"/>
  <c r="N62" i="6"/>
  <c r="N50" i="6"/>
  <c r="N38" i="6"/>
  <c r="AE30" i="21"/>
  <c r="AE19" i="21"/>
  <c r="Q19" i="1" l="1"/>
  <c r="BP1" i="1"/>
  <c r="P404" i="1"/>
  <c r="P406" i="1" l="1"/>
  <c r="J12" i="58"/>
  <c r="AF34" i="21"/>
  <c r="AE35" i="21"/>
  <c r="AF35" i="21"/>
  <c r="AE36" i="21"/>
  <c r="AF36" i="21"/>
  <c r="AE39" i="21"/>
  <c r="AF39" i="21"/>
  <c r="AF40" i="21"/>
  <c r="AE41" i="21"/>
  <c r="AF41" i="21"/>
  <c r="AE42" i="21"/>
  <c r="AF42" i="21"/>
  <c r="AE43" i="21"/>
  <c r="AF43" i="21"/>
  <c r="AE44" i="21"/>
  <c r="AF44" i="21"/>
  <c r="AF45" i="21"/>
  <c r="AE46" i="21"/>
  <c r="AF46" i="21"/>
  <c r="AF47" i="21"/>
  <c r="AE48" i="21"/>
  <c r="AF48" i="21"/>
  <c r="AE49" i="21"/>
  <c r="AF49" i="21"/>
  <c r="AE50" i="21"/>
  <c r="AF50" i="21"/>
  <c r="AE51" i="21"/>
  <c r="AF51" i="21"/>
  <c r="AE52" i="21"/>
  <c r="AF52" i="21"/>
  <c r="AE53" i="21"/>
  <c r="AF53" i="21"/>
  <c r="AE54" i="21"/>
  <c r="AF54" i="21"/>
  <c r="AF55" i="21"/>
  <c r="AF56" i="21"/>
  <c r="AF57" i="21"/>
  <c r="AF58" i="21"/>
  <c r="AF60" i="21"/>
  <c r="AE62" i="21"/>
  <c r="AF62" i="21"/>
  <c r="AE64" i="21"/>
  <c r="AF64" i="21"/>
  <c r="AE65" i="21"/>
  <c r="AF65" i="21"/>
  <c r="AE66" i="21"/>
  <c r="AF66" i="21"/>
  <c r="AF67" i="21"/>
  <c r="AF68" i="21"/>
  <c r="AE69" i="21"/>
  <c r="AF69" i="21"/>
  <c r="AE70" i="21"/>
  <c r="AF70" i="21"/>
  <c r="AE71" i="21"/>
  <c r="AF71" i="21"/>
  <c r="AE72" i="21"/>
  <c r="AF72" i="21"/>
  <c r="AE73" i="21"/>
  <c r="AF73" i="21"/>
  <c r="AE74" i="21"/>
  <c r="AE75" i="21"/>
  <c r="AE76" i="21"/>
  <c r="AE78" i="21"/>
  <c r="AF20" i="21"/>
  <c r="AE21" i="21"/>
  <c r="AF21" i="21"/>
  <c r="AE22" i="21"/>
  <c r="AF22" i="21"/>
  <c r="AE23" i="21"/>
  <c r="AF23" i="21"/>
  <c r="AE24" i="21"/>
  <c r="AF24" i="21"/>
  <c r="AE25" i="21"/>
  <c r="AF25" i="21"/>
  <c r="AE26" i="21"/>
  <c r="AF26" i="21"/>
  <c r="AF27" i="21"/>
  <c r="AE28" i="21"/>
  <c r="AF28" i="21"/>
  <c r="AE29" i="21"/>
  <c r="AF29" i="21"/>
  <c r="AF30" i="21"/>
  <c r="AE31" i="21"/>
  <c r="AF31" i="21"/>
  <c r="AF32" i="21"/>
  <c r="AE33" i="21"/>
  <c r="AF33" i="21"/>
  <c r="AF19" i="21"/>
  <c r="L3" i="60"/>
  <c r="P140" i="60"/>
  <c r="T85" i="60"/>
  <c r="BN361" i="1" l="1"/>
  <c r="Q361" i="1"/>
  <c r="R37" i="1"/>
  <c r="B97" i="8" l="1"/>
  <c r="C97" i="8"/>
  <c r="U97" i="8"/>
  <c r="V97" i="8"/>
  <c r="W62" i="8" l="1"/>
  <c r="AH62" i="8" s="1"/>
  <c r="W31" i="8"/>
  <c r="AH31" i="8" s="1"/>
  <c r="L30" i="8" l="1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39" i="8"/>
  <c r="Q25" i="1" l="1"/>
  <c r="P3" i="60"/>
  <c r="G6" i="60" l="1"/>
  <c r="H6" i="60" s="1"/>
  <c r="G7" i="60"/>
  <c r="H7" i="60" s="1"/>
  <c r="G8" i="60"/>
  <c r="H8" i="60" s="1"/>
  <c r="G9" i="60"/>
  <c r="H9" i="60" s="1"/>
  <c r="G10" i="60"/>
  <c r="H10" i="60" s="1"/>
  <c r="G11" i="60"/>
  <c r="H11" i="60" s="1"/>
  <c r="G12" i="60"/>
  <c r="H12" i="60" s="1"/>
  <c r="G13" i="60"/>
  <c r="H13" i="60" s="1"/>
  <c r="G14" i="60"/>
  <c r="H14" i="60" s="1"/>
  <c r="G15" i="60"/>
  <c r="H15" i="60" s="1"/>
  <c r="G16" i="60"/>
  <c r="H16" i="60" s="1"/>
  <c r="G17" i="60"/>
  <c r="H17" i="60" s="1"/>
  <c r="G18" i="60"/>
  <c r="H18" i="60" s="1"/>
  <c r="G19" i="60"/>
  <c r="H19" i="60" s="1"/>
  <c r="G20" i="60"/>
  <c r="H20" i="60" s="1"/>
  <c r="G21" i="60"/>
  <c r="H21" i="60" s="1"/>
  <c r="G22" i="60"/>
  <c r="H22" i="60" s="1"/>
  <c r="G23" i="60"/>
  <c r="H23" i="60" s="1"/>
  <c r="G24" i="60"/>
  <c r="H24" i="60" s="1"/>
  <c r="G25" i="60"/>
  <c r="H25" i="60" s="1"/>
  <c r="G26" i="60"/>
  <c r="H26" i="60" s="1"/>
  <c r="G27" i="60"/>
  <c r="H27" i="60" s="1"/>
  <c r="G28" i="60"/>
  <c r="H28" i="60" s="1"/>
  <c r="G29" i="60"/>
  <c r="H29" i="60" s="1"/>
  <c r="G30" i="60"/>
  <c r="H30" i="60" s="1"/>
  <c r="G31" i="60"/>
  <c r="H31" i="60" s="1"/>
  <c r="G32" i="60"/>
  <c r="H32" i="60" s="1"/>
  <c r="G33" i="60"/>
  <c r="H33" i="60" s="1"/>
  <c r="G34" i="60"/>
  <c r="H34" i="60" s="1"/>
  <c r="G35" i="60"/>
  <c r="H35" i="60" s="1"/>
  <c r="G36" i="60"/>
  <c r="H36" i="60" s="1"/>
  <c r="G37" i="60"/>
  <c r="H37" i="60" s="1"/>
  <c r="G38" i="60"/>
  <c r="H38" i="60" s="1"/>
  <c r="G39" i="60"/>
  <c r="H39" i="60" s="1"/>
  <c r="G40" i="60"/>
  <c r="H40" i="60" s="1"/>
  <c r="G41" i="60"/>
  <c r="H41" i="60" s="1"/>
  <c r="G42" i="60"/>
  <c r="H42" i="60" s="1"/>
  <c r="G43" i="60"/>
  <c r="H43" i="60" s="1"/>
  <c r="G44" i="60"/>
  <c r="H44" i="60" s="1"/>
  <c r="G45" i="60"/>
  <c r="H45" i="60" s="1"/>
  <c r="G46" i="60"/>
  <c r="H46" i="60" s="1"/>
  <c r="G47" i="60"/>
  <c r="H47" i="60" s="1"/>
  <c r="G48" i="60"/>
  <c r="H48" i="60" s="1"/>
  <c r="G49" i="60"/>
  <c r="H49" i="60" s="1"/>
  <c r="G50" i="60"/>
  <c r="H50" i="60" s="1"/>
  <c r="G51" i="60"/>
  <c r="H51" i="60" s="1"/>
  <c r="G52" i="60"/>
  <c r="H52" i="60" s="1"/>
  <c r="G53" i="60"/>
  <c r="H53" i="60" s="1"/>
  <c r="G54" i="60"/>
  <c r="H54" i="60" s="1"/>
  <c r="G55" i="60"/>
  <c r="H55" i="60" s="1"/>
  <c r="G56" i="60"/>
  <c r="H56" i="60" s="1"/>
  <c r="G57" i="60"/>
  <c r="H57" i="60" s="1"/>
  <c r="G58" i="60"/>
  <c r="H58" i="60" s="1"/>
  <c r="G59" i="60"/>
  <c r="H59" i="60" s="1"/>
  <c r="G60" i="60"/>
  <c r="H60" i="60" s="1"/>
  <c r="G61" i="60"/>
  <c r="H61" i="60" s="1"/>
  <c r="G62" i="60"/>
  <c r="H62" i="60" s="1"/>
  <c r="G63" i="60"/>
  <c r="H63" i="60" s="1"/>
  <c r="G64" i="60"/>
  <c r="H64" i="60" s="1"/>
  <c r="G65" i="60"/>
  <c r="H65" i="60" s="1"/>
  <c r="G66" i="60"/>
  <c r="H66" i="60" s="1"/>
  <c r="G67" i="60"/>
  <c r="H67" i="60" s="1"/>
  <c r="G68" i="60"/>
  <c r="H68" i="60" s="1"/>
  <c r="G69" i="60"/>
  <c r="H69" i="60" s="1"/>
  <c r="G70" i="60"/>
  <c r="H70" i="60" s="1"/>
  <c r="G71" i="60"/>
  <c r="H71" i="60" s="1"/>
  <c r="G72" i="60"/>
  <c r="H72" i="60" s="1"/>
  <c r="G73" i="60"/>
  <c r="H73" i="60" s="1"/>
  <c r="G74" i="60"/>
  <c r="H74" i="60" s="1"/>
  <c r="G75" i="60"/>
  <c r="H75" i="60" s="1"/>
  <c r="G76" i="60"/>
  <c r="G5" i="60"/>
  <c r="H5" i="60" s="1"/>
  <c r="G3" i="60" l="1"/>
  <c r="E6" i="60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D17" i="60"/>
  <c r="C18" i="60"/>
  <c r="C19" i="60"/>
  <c r="D19" i="60"/>
  <c r="C20" i="60"/>
  <c r="D20" i="60"/>
  <c r="C21" i="60"/>
  <c r="C22" i="60"/>
  <c r="C23" i="60"/>
  <c r="C24" i="60"/>
  <c r="C25" i="60"/>
  <c r="C26" i="60"/>
  <c r="C27" i="60"/>
  <c r="C28" i="60"/>
  <c r="D28" i="60"/>
  <c r="C29" i="60"/>
  <c r="C30" i="60"/>
  <c r="C31" i="60"/>
  <c r="C32" i="60"/>
  <c r="D32" i="60"/>
  <c r="C33" i="60"/>
  <c r="D33" i="60"/>
  <c r="C34" i="60"/>
  <c r="C35" i="60"/>
  <c r="C36" i="60"/>
  <c r="C37" i="60"/>
  <c r="C38" i="60"/>
  <c r="C39" i="60"/>
  <c r="D39" i="60"/>
  <c r="C40" i="60"/>
  <c r="C41" i="60"/>
  <c r="C42" i="60"/>
  <c r="D42" i="60"/>
  <c r="C43" i="60"/>
  <c r="C44" i="60"/>
  <c r="C45" i="60"/>
  <c r="C46" i="60"/>
  <c r="C47" i="60"/>
  <c r="C48" i="60"/>
  <c r="C49" i="60"/>
  <c r="D49" i="60"/>
  <c r="C50" i="60"/>
  <c r="C51" i="60"/>
  <c r="C52" i="60"/>
  <c r="C53" i="60"/>
  <c r="C54" i="60"/>
  <c r="C55" i="60"/>
  <c r="C56" i="60"/>
  <c r="D56" i="60"/>
  <c r="C57" i="60"/>
  <c r="C58" i="60"/>
  <c r="C59" i="60"/>
  <c r="C60" i="60"/>
  <c r="C61" i="60"/>
  <c r="D61" i="60"/>
  <c r="C62" i="60"/>
  <c r="C63" i="60"/>
  <c r="D63" i="60"/>
  <c r="C64" i="60"/>
  <c r="D64" i="60"/>
  <c r="C65" i="60"/>
  <c r="D65" i="60"/>
  <c r="C66" i="60"/>
  <c r="D66" i="60"/>
  <c r="C67" i="60"/>
  <c r="C68" i="60"/>
  <c r="C69" i="60"/>
  <c r="D69" i="60"/>
  <c r="C70" i="60"/>
  <c r="C71" i="60"/>
  <c r="D71" i="60"/>
  <c r="C72" i="60"/>
  <c r="D72" i="60"/>
  <c r="C73" i="60"/>
  <c r="D73" i="60"/>
  <c r="C74" i="60"/>
  <c r="D74" i="60"/>
  <c r="C75" i="60"/>
  <c r="C76" i="60"/>
  <c r="D76" i="60"/>
  <c r="C5" i="60"/>
  <c r="F66" i="60" l="1"/>
  <c r="F64" i="60"/>
  <c r="F39" i="60"/>
  <c r="F32" i="60"/>
  <c r="F69" i="60"/>
  <c r="F65" i="60"/>
  <c r="F63" i="60"/>
  <c r="F33" i="60"/>
  <c r="F49" i="60"/>
  <c r="F17" i="60"/>
  <c r="F74" i="60"/>
  <c r="F72" i="60"/>
  <c r="F61" i="60"/>
  <c r="F56" i="60"/>
  <c r="F28" i="60"/>
  <c r="F19" i="60"/>
  <c r="F73" i="60"/>
  <c r="F71" i="60"/>
  <c r="F42" i="60"/>
  <c r="F20" i="60"/>
  <c r="X20" i="40" l="1"/>
  <c r="W20" i="40"/>
  <c r="X14" i="40"/>
  <c r="Q14" i="40"/>
  <c r="R14" i="40"/>
  <c r="S14" i="40"/>
  <c r="T14" i="40"/>
  <c r="U14" i="40"/>
  <c r="V14" i="40"/>
  <c r="W14" i="40"/>
  <c r="P14" i="40"/>
  <c r="Q21" i="1" l="1"/>
  <c r="O23" i="1"/>
  <c r="P389" i="1"/>
  <c r="P387" i="1"/>
  <c r="P386" i="1"/>
  <c r="P385" i="1"/>
  <c r="P384" i="1"/>
  <c r="P383" i="1"/>
  <c r="P382" i="1"/>
  <c r="P381" i="1"/>
  <c r="AK368" i="1"/>
  <c r="BN368" i="1"/>
  <c r="AK369" i="1"/>
  <c r="BN369" i="1"/>
  <c r="AK370" i="1"/>
  <c r="AK371" i="1"/>
  <c r="BN371" i="1"/>
  <c r="AK372" i="1"/>
  <c r="BN372" i="1"/>
  <c r="Q367" i="1"/>
  <c r="AL372" i="1" l="1"/>
  <c r="AL368" i="1"/>
  <c r="AL369" i="1"/>
  <c r="AL371" i="1"/>
  <c r="AL370" i="1"/>
  <c r="BE1" i="1" l="1"/>
  <c r="CO25" i="53"/>
  <c r="CO30" i="53"/>
  <c r="CO36" i="53"/>
  <c r="CO37" i="53"/>
  <c r="CO60" i="53"/>
  <c r="CO71" i="53"/>
  <c r="CO72" i="53"/>
  <c r="CO73" i="53"/>
  <c r="CO74" i="53"/>
  <c r="CO112" i="53"/>
  <c r="CO162" i="53"/>
  <c r="CO196" i="53"/>
  <c r="CO256" i="53"/>
  <c r="CO288" i="53"/>
  <c r="CO289" i="53"/>
  <c r="CO292" i="53"/>
  <c r="CO310" i="53"/>
  <c r="P388" i="1" l="1"/>
  <c r="P23" i="1"/>
  <c r="AK50" i="1"/>
  <c r="BN50" i="1"/>
  <c r="AL50" i="1" l="1"/>
  <c r="AK79" i="1"/>
  <c r="BN79" i="1"/>
  <c r="BN106" i="1"/>
  <c r="AL79" i="1" l="1"/>
  <c r="D21" i="58"/>
  <c r="E21" i="58"/>
  <c r="F21" i="58"/>
  <c r="G21" i="58"/>
  <c r="H21" i="58"/>
  <c r="I21" i="58"/>
  <c r="J21" i="58"/>
  <c r="K21" i="58"/>
  <c r="L21" i="58"/>
  <c r="M21" i="58"/>
  <c r="N21" i="58"/>
  <c r="O21" i="58"/>
  <c r="P21" i="58"/>
  <c r="Q21" i="58"/>
  <c r="C21" i="58"/>
  <c r="D15" i="58"/>
  <c r="E15" i="58"/>
  <c r="F15" i="58"/>
  <c r="G15" i="58"/>
  <c r="H15" i="58"/>
  <c r="I15" i="58"/>
  <c r="C15" i="58"/>
  <c r="B30" i="58"/>
  <c r="B23" i="58"/>
  <c r="B24" i="58"/>
  <c r="B25" i="58"/>
  <c r="B26" i="58"/>
  <c r="B27" i="58"/>
  <c r="B28" i="58"/>
  <c r="B29" i="58"/>
  <c r="B22" i="58"/>
  <c r="M19" i="58"/>
  <c r="N19" i="58" s="1"/>
  <c r="O19" i="58" s="1"/>
  <c r="P19" i="58" s="1"/>
  <c r="Q19" i="58" s="1"/>
  <c r="J23" i="58" l="1"/>
  <c r="J30" i="58"/>
  <c r="J27" i="58"/>
  <c r="J28" i="58"/>
  <c r="J25" i="58"/>
  <c r="J26" i="58"/>
  <c r="J24" i="58"/>
  <c r="J22" i="58"/>
  <c r="J29" i="58"/>
  <c r="I22" i="58" l="1"/>
  <c r="I28" i="58"/>
  <c r="I23" i="58"/>
  <c r="I25" i="58"/>
  <c r="I27" i="58"/>
  <c r="I29" i="58"/>
  <c r="I24" i="58"/>
  <c r="I26" i="58"/>
  <c r="I30" i="58"/>
  <c r="H23" i="58" l="1"/>
  <c r="H25" i="58"/>
  <c r="H27" i="58"/>
  <c r="H29" i="58"/>
  <c r="H24" i="58"/>
  <c r="H28" i="58"/>
  <c r="H22" i="58"/>
  <c r="H26" i="58"/>
  <c r="H30" i="58"/>
  <c r="G30" i="58" l="1"/>
  <c r="G22" i="58"/>
  <c r="G26" i="58"/>
  <c r="G25" i="58"/>
  <c r="G28" i="58"/>
  <c r="G23" i="58"/>
  <c r="G27" i="58"/>
  <c r="G24" i="58"/>
  <c r="G29" i="58"/>
  <c r="F22" i="58" l="1"/>
  <c r="F27" i="58"/>
  <c r="F26" i="58"/>
  <c r="F24" i="58"/>
  <c r="F28" i="58"/>
  <c r="F30" i="58"/>
  <c r="F25" i="58"/>
  <c r="F23" i="58"/>
  <c r="F29" i="58"/>
  <c r="G32" i="58"/>
  <c r="E25" i="58" l="1"/>
  <c r="E28" i="58"/>
  <c r="E30" i="58"/>
  <c r="E26" i="58"/>
  <c r="E29" i="58"/>
  <c r="E23" i="58"/>
  <c r="E27" i="58"/>
  <c r="E24" i="58"/>
  <c r="E22" i="58"/>
  <c r="F32" i="58"/>
  <c r="D28" i="58" l="1"/>
  <c r="D25" i="58"/>
  <c r="D29" i="58"/>
  <c r="D22" i="58"/>
  <c r="D30" i="58"/>
  <c r="D23" i="58"/>
  <c r="D26" i="58"/>
  <c r="D24" i="58"/>
  <c r="D27" i="58"/>
  <c r="E32" i="58"/>
  <c r="B15" i="1"/>
  <c r="D32" i="58" l="1"/>
  <c r="C30" i="58"/>
  <c r="C25" i="58"/>
  <c r="C23" i="58"/>
  <c r="C29" i="58"/>
  <c r="C27" i="58"/>
  <c r="C24" i="58"/>
  <c r="C26" i="58"/>
  <c r="C22" i="58"/>
  <c r="C28" i="58"/>
  <c r="B2" i="8"/>
  <c r="B1" i="10"/>
  <c r="B2" i="11"/>
  <c r="D29" i="10"/>
  <c r="C32" i="58" l="1"/>
  <c r="BN360" i="1"/>
  <c r="E3" i="21" l="1"/>
  <c r="BN367" i="1" l="1"/>
  <c r="BN366" i="1"/>
  <c r="F4" i="55" l="1"/>
  <c r="G4" i="55" s="1"/>
  <c r="H4" i="55" s="1"/>
  <c r="I4" i="55" s="1"/>
  <c r="J4" i="55" s="1"/>
  <c r="K4" i="55" s="1"/>
  <c r="L4" i="55" s="1"/>
  <c r="M4" i="55" s="1"/>
  <c r="N4" i="55" s="1"/>
  <c r="O4" i="55" s="1"/>
  <c r="P4" i="55" s="1"/>
  <c r="Q4" i="55" s="1"/>
  <c r="R4" i="55" s="1"/>
  <c r="S4" i="55" s="1"/>
  <c r="T4" i="55" s="1"/>
  <c r="U4" i="55" s="1"/>
  <c r="V4" i="55" s="1"/>
  <c r="W4" i="55" s="1"/>
  <c r="F2" i="55"/>
  <c r="G2" i="55" s="1"/>
  <c r="F1" i="55"/>
  <c r="G1" i="55" l="1"/>
  <c r="H2" i="55"/>
  <c r="H1" i="55" l="1"/>
  <c r="I2" i="55"/>
  <c r="J2" i="55" l="1"/>
  <c r="I1" i="55"/>
  <c r="K2" i="55" l="1"/>
  <c r="J1" i="55"/>
  <c r="L2" i="55" l="1"/>
  <c r="K1" i="55"/>
  <c r="M2" i="55" l="1"/>
  <c r="L1" i="55"/>
  <c r="M1" i="55" l="1"/>
  <c r="N2" i="55"/>
  <c r="O2" i="55" l="1"/>
  <c r="N1" i="55"/>
  <c r="P2" i="55" l="1"/>
  <c r="O1" i="55"/>
  <c r="P1" i="55" l="1"/>
  <c r="Q2" i="55"/>
  <c r="Q1" i="55" l="1"/>
  <c r="R2" i="55"/>
  <c r="S2" i="55" l="1"/>
  <c r="R1" i="55"/>
  <c r="T2" i="55" l="1"/>
  <c r="S1" i="55"/>
  <c r="U2" i="55" l="1"/>
  <c r="T1" i="55"/>
  <c r="U1" i="55" l="1"/>
  <c r="V2" i="55"/>
  <c r="W2" i="55" l="1"/>
  <c r="V1" i="55"/>
  <c r="W1" i="55" l="1"/>
  <c r="BT324" i="53" l="1"/>
  <c r="BT323" i="53"/>
  <c r="BT322" i="53"/>
  <c r="BT321" i="53"/>
  <c r="BT320" i="53"/>
  <c r="BT319" i="53"/>
  <c r="BT318" i="53"/>
  <c r="BT317" i="53"/>
  <c r="BT316" i="53"/>
  <c r="BT315" i="53"/>
  <c r="BT314" i="53"/>
  <c r="BT313" i="53"/>
  <c r="BT312" i="53"/>
  <c r="BT311" i="53"/>
  <c r="BT310" i="53"/>
  <c r="BT309" i="53"/>
  <c r="BT308" i="53"/>
  <c r="BT307" i="53"/>
  <c r="BT306" i="53"/>
  <c r="BT305" i="53"/>
  <c r="BT304" i="53"/>
  <c r="AK306" i="1" s="1"/>
  <c r="BT303" i="53"/>
  <c r="BT302" i="53"/>
  <c r="BT301" i="53"/>
  <c r="BT300" i="53"/>
  <c r="BT299" i="53"/>
  <c r="BT298" i="53"/>
  <c r="BT297" i="53"/>
  <c r="BT296" i="53"/>
  <c r="BT295" i="53"/>
  <c r="BT294" i="53"/>
  <c r="BT293" i="53"/>
  <c r="BT292" i="53"/>
  <c r="BT291" i="53"/>
  <c r="BT290" i="53"/>
  <c r="BT289" i="53"/>
  <c r="BT288" i="53"/>
  <c r="BT287" i="53"/>
  <c r="BT286" i="53"/>
  <c r="BT285" i="53"/>
  <c r="BT284" i="53"/>
  <c r="BT283" i="53"/>
  <c r="BT282" i="53"/>
  <c r="BT281" i="53"/>
  <c r="BT280" i="53"/>
  <c r="BT279" i="53"/>
  <c r="BT278" i="53"/>
  <c r="BT277" i="53"/>
  <c r="BT276" i="53"/>
  <c r="BT275" i="53"/>
  <c r="BT274" i="53"/>
  <c r="BT273" i="53"/>
  <c r="BT272" i="53"/>
  <c r="BT271" i="53"/>
  <c r="BT270" i="53"/>
  <c r="BT269" i="53"/>
  <c r="BT268" i="53"/>
  <c r="BT267" i="53"/>
  <c r="BT266" i="53"/>
  <c r="BT265" i="53"/>
  <c r="BT264" i="53"/>
  <c r="BT263" i="53"/>
  <c r="BT262" i="53"/>
  <c r="BT261" i="53"/>
  <c r="BT260" i="53"/>
  <c r="BT259" i="53"/>
  <c r="BT258" i="53"/>
  <c r="BT257" i="53"/>
  <c r="M77" i="6" s="1"/>
  <c r="BT256" i="53"/>
  <c r="BT255" i="53"/>
  <c r="BT254" i="53"/>
  <c r="BT253" i="53"/>
  <c r="BT252" i="53"/>
  <c r="BT251" i="53"/>
  <c r="BT250" i="53"/>
  <c r="BT249" i="53"/>
  <c r="BT248" i="53"/>
  <c r="BT247" i="53"/>
  <c r="BT246" i="53"/>
  <c r="BT245" i="53"/>
  <c r="BT244" i="53"/>
  <c r="BT243" i="53"/>
  <c r="BT242" i="53"/>
  <c r="BT241" i="53"/>
  <c r="BT240" i="53"/>
  <c r="BT239" i="53"/>
  <c r="BT238" i="53"/>
  <c r="BT237" i="53"/>
  <c r="BT236" i="53"/>
  <c r="BT235" i="53"/>
  <c r="BT234" i="53"/>
  <c r="BT233" i="53"/>
  <c r="BT232" i="53"/>
  <c r="BT231" i="53"/>
  <c r="BT230" i="53"/>
  <c r="BT229" i="53"/>
  <c r="BT228" i="53"/>
  <c r="BT227" i="53"/>
  <c r="BT226" i="53"/>
  <c r="BT225" i="53"/>
  <c r="BT224" i="53"/>
  <c r="BT223" i="53"/>
  <c r="BT222" i="53"/>
  <c r="BT221" i="53"/>
  <c r="BT220" i="53"/>
  <c r="BT219" i="53"/>
  <c r="BT218" i="53"/>
  <c r="M58" i="6" s="1"/>
  <c r="BT217" i="53"/>
  <c r="BT216" i="53"/>
  <c r="BT215" i="53"/>
  <c r="BT214" i="53"/>
  <c r="BT213" i="53"/>
  <c r="BT212" i="53"/>
  <c r="BT211" i="53"/>
  <c r="BT210" i="53"/>
  <c r="BT209" i="53"/>
  <c r="BT208" i="53"/>
  <c r="BT207" i="53"/>
  <c r="BT206" i="53"/>
  <c r="BT205" i="53"/>
  <c r="BT204" i="53"/>
  <c r="BT203" i="53"/>
  <c r="BT202" i="53"/>
  <c r="BT201" i="53"/>
  <c r="BT200" i="53"/>
  <c r="M46" i="6" s="1"/>
  <c r="BT199" i="53"/>
  <c r="BT198" i="53"/>
  <c r="BT197" i="53"/>
  <c r="BT196" i="53"/>
  <c r="BT195" i="53"/>
  <c r="BT194" i="53"/>
  <c r="BT193" i="53"/>
  <c r="BT192" i="53"/>
  <c r="BT191" i="53"/>
  <c r="BT190" i="53"/>
  <c r="BT189" i="53"/>
  <c r="BT188" i="53"/>
  <c r="BT187" i="53"/>
  <c r="BT186" i="53"/>
  <c r="M41" i="6" s="1"/>
  <c r="BT185" i="53"/>
  <c r="BT184" i="53"/>
  <c r="BT183" i="53"/>
  <c r="BT182" i="53"/>
  <c r="BT181" i="53"/>
  <c r="BT180" i="53"/>
  <c r="BT179" i="53"/>
  <c r="BT178" i="53"/>
  <c r="BT177" i="53"/>
  <c r="BT176" i="53"/>
  <c r="BT175" i="53"/>
  <c r="BT174" i="53"/>
  <c r="BT172" i="53"/>
  <c r="BT171" i="53"/>
  <c r="BT170" i="53"/>
  <c r="BT169" i="53"/>
  <c r="BT168" i="53"/>
  <c r="BT167" i="53"/>
  <c r="BT166" i="53"/>
  <c r="BT165" i="53"/>
  <c r="BT164" i="53"/>
  <c r="BT163" i="53"/>
  <c r="BT162" i="53"/>
  <c r="BT161" i="53"/>
  <c r="BT160" i="53"/>
  <c r="BT159" i="53"/>
  <c r="BT158" i="53"/>
  <c r="BT157" i="53"/>
  <c r="BT156" i="53"/>
  <c r="BT155" i="53"/>
  <c r="M254" i="6" s="1"/>
  <c r="BT154" i="53"/>
  <c r="BT153" i="53"/>
  <c r="BT152" i="53"/>
  <c r="BT151" i="53"/>
  <c r="BT150" i="53"/>
  <c r="BT149" i="53"/>
  <c r="BT148" i="53"/>
  <c r="BT147" i="53"/>
  <c r="BT146" i="53"/>
  <c r="BT145" i="53"/>
  <c r="BT144" i="53"/>
  <c r="BT143" i="53"/>
  <c r="BT142" i="53"/>
  <c r="BT141" i="53"/>
  <c r="BT140" i="53"/>
  <c r="BT139" i="53"/>
  <c r="BT138" i="53"/>
  <c r="BT137" i="53"/>
  <c r="BT136" i="53"/>
  <c r="BT135" i="53"/>
  <c r="BT134" i="53"/>
  <c r="BT133" i="53"/>
  <c r="BT132" i="53"/>
  <c r="BT131" i="53"/>
  <c r="BT130" i="53"/>
  <c r="BT129" i="53"/>
  <c r="BT128" i="53"/>
  <c r="BT127" i="53"/>
  <c r="BT126" i="53"/>
  <c r="BT125" i="53"/>
  <c r="BT124" i="53"/>
  <c r="BT123" i="53"/>
  <c r="BT122" i="53"/>
  <c r="BT121" i="53"/>
  <c r="BT120" i="53"/>
  <c r="BT119" i="53"/>
  <c r="BT118" i="53"/>
  <c r="BT117" i="53"/>
  <c r="BT116" i="53"/>
  <c r="BT115" i="53"/>
  <c r="BT114" i="53"/>
  <c r="BT113" i="53"/>
  <c r="BT112" i="53"/>
  <c r="BT111" i="53"/>
  <c r="BT110" i="53"/>
  <c r="BT109" i="53"/>
  <c r="BT108" i="53"/>
  <c r="BT107" i="53"/>
  <c r="BT106" i="53"/>
  <c r="BT105" i="53"/>
  <c r="BT104" i="53"/>
  <c r="BT103" i="53"/>
  <c r="BT102" i="53"/>
  <c r="BT101" i="53"/>
  <c r="BT100" i="53"/>
  <c r="BT99" i="53"/>
  <c r="BT98" i="53"/>
  <c r="BT97" i="53"/>
  <c r="BT96" i="53"/>
  <c r="BT95" i="53"/>
  <c r="BT94" i="53"/>
  <c r="BT93" i="53"/>
  <c r="BT92" i="53"/>
  <c r="BT91" i="53"/>
  <c r="BT90" i="53"/>
  <c r="BT89" i="53"/>
  <c r="BT88" i="53"/>
  <c r="BT87" i="53"/>
  <c r="BT86" i="53"/>
  <c r="BT85" i="53"/>
  <c r="BT84" i="53"/>
  <c r="BT83" i="53"/>
  <c r="BT82" i="53"/>
  <c r="BT81" i="53"/>
  <c r="BT80" i="53"/>
  <c r="BT79" i="53"/>
  <c r="BT78" i="53"/>
  <c r="BT77" i="53"/>
  <c r="BT76" i="53"/>
  <c r="BT75" i="53"/>
  <c r="BT74" i="53"/>
  <c r="BT72" i="53"/>
  <c r="BT71" i="53"/>
  <c r="BT70" i="53"/>
  <c r="BT69" i="53"/>
  <c r="BT68" i="53"/>
  <c r="BT67" i="53"/>
  <c r="BT66" i="53"/>
  <c r="BT65" i="53"/>
  <c r="BT64" i="53"/>
  <c r="BT63" i="53"/>
  <c r="BT62" i="53"/>
  <c r="BT61" i="53"/>
  <c r="BT60" i="53"/>
  <c r="BT59" i="53"/>
  <c r="BT58" i="53"/>
  <c r="BT57" i="53"/>
  <c r="BT56" i="53"/>
  <c r="BT55" i="53"/>
  <c r="BT54" i="53"/>
  <c r="BT53" i="53"/>
  <c r="BT52" i="53"/>
  <c r="BT51" i="53"/>
  <c r="BT50" i="53"/>
  <c r="BT49" i="53"/>
  <c r="BT48" i="53"/>
  <c r="BT47" i="53"/>
  <c r="BT46" i="53"/>
  <c r="BT45" i="53"/>
  <c r="BT44" i="53"/>
  <c r="BT43" i="53"/>
  <c r="BT42" i="53"/>
  <c r="BT41" i="53"/>
  <c r="BT40" i="53"/>
  <c r="BT39" i="53"/>
  <c r="BT38" i="53"/>
  <c r="BT37" i="53"/>
  <c r="BT36" i="53"/>
  <c r="AK188" i="1" s="1"/>
  <c r="BT35" i="53"/>
  <c r="BT34" i="53"/>
  <c r="BT33" i="53"/>
  <c r="BT32" i="53"/>
  <c r="BT31" i="53"/>
  <c r="BT30" i="53"/>
  <c r="BT29" i="53"/>
  <c r="BT28" i="53"/>
  <c r="BT27" i="53"/>
  <c r="BT26" i="53"/>
  <c r="BT25" i="53"/>
  <c r="BT24" i="53"/>
  <c r="BT23" i="53"/>
  <c r="BT22" i="53"/>
  <c r="CM12" i="53"/>
  <c r="CL12" i="53"/>
  <c r="CK12" i="53"/>
  <c r="CJ12" i="53"/>
  <c r="CI12" i="53"/>
  <c r="CH12" i="53"/>
  <c r="CG12" i="53"/>
  <c r="CF12" i="53"/>
  <c r="CE12" i="53"/>
  <c r="CD12" i="53"/>
  <c r="CC12" i="53"/>
  <c r="CB12" i="53"/>
  <c r="CA12" i="53"/>
  <c r="BZ12" i="53"/>
  <c r="BY12" i="53"/>
  <c r="BX12" i="53"/>
  <c r="BW12" i="53"/>
  <c r="BV12" i="53"/>
  <c r="BU12" i="53"/>
  <c r="M111" i="6" l="1"/>
  <c r="AK205" i="1"/>
  <c r="M119" i="6"/>
  <c r="AK213" i="1"/>
  <c r="M127" i="6"/>
  <c r="AK221" i="1"/>
  <c r="M131" i="6"/>
  <c r="AK231" i="1"/>
  <c r="M140" i="6"/>
  <c r="AK246" i="1"/>
  <c r="M154" i="6"/>
  <c r="AK367" i="1"/>
  <c r="M167" i="6"/>
  <c r="AK270" i="1"/>
  <c r="M177" i="6"/>
  <c r="AK280" i="1"/>
  <c r="M193" i="6"/>
  <c r="AK293" i="1"/>
  <c r="M202" i="6"/>
  <c r="M230" i="6"/>
  <c r="M231" i="6"/>
  <c r="M229" i="6"/>
  <c r="AK349" i="1"/>
  <c r="M255" i="6"/>
  <c r="AK66" i="1"/>
  <c r="M29" i="6"/>
  <c r="AK96" i="1"/>
  <c r="M43" i="6"/>
  <c r="AK161" i="1"/>
  <c r="M78" i="6"/>
  <c r="AK185" i="1"/>
  <c r="M102" i="6"/>
  <c r="M108" i="6"/>
  <c r="AK203" i="1"/>
  <c r="M117" i="6"/>
  <c r="M124" i="6"/>
  <c r="AK247" i="1"/>
  <c r="M155" i="6"/>
  <c r="AK259" i="1"/>
  <c r="M168" i="6"/>
  <c r="AK271" i="1"/>
  <c r="M178" i="6"/>
  <c r="AK275" i="1"/>
  <c r="M182" i="6"/>
  <c r="AK290" i="1"/>
  <c r="M199" i="6"/>
  <c r="AK299" i="1"/>
  <c r="M207" i="6"/>
  <c r="AK326" i="1"/>
  <c r="M232" i="6"/>
  <c r="AK345" i="1"/>
  <c r="M251" i="6"/>
  <c r="AK27" i="1"/>
  <c r="M24" i="6"/>
  <c r="M25" i="6"/>
  <c r="AK69" i="1"/>
  <c r="AK73" i="1"/>
  <c r="M86" i="6"/>
  <c r="M95" i="6"/>
  <c r="AK233" i="1"/>
  <c r="M142" i="6"/>
  <c r="AK308" i="1"/>
  <c r="M214" i="6"/>
  <c r="AK333" i="1"/>
  <c r="M238" i="6"/>
  <c r="M245" i="6"/>
  <c r="AK108" i="1"/>
  <c r="M47" i="6"/>
  <c r="AK182" i="1"/>
  <c r="M99" i="6"/>
  <c r="AK191" i="1"/>
  <c r="AK199" i="1"/>
  <c r="M113" i="6"/>
  <c r="AK204" i="1"/>
  <c r="M118" i="6"/>
  <c r="AK207" i="1"/>
  <c r="M121" i="6"/>
  <c r="AK211" i="1"/>
  <c r="M125" i="6"/>
  <c r="AK215" i="1"/>
  <c r="AK219" i="1"/>
  <c r="AK223" i="1"/>
  <c r="M133" i="6"/>
  <c r="AK235" i="1"/>
  <c r="M144" i="6"/>
  <c r="AK242" i="1"/>
  <c r="M150" i="6"/>
  <c r="AK248" i="1"/>
  <c r="M156" i="6"/>
  <c r="AK255" i="1"/>
  <c r="M163" i="6"/>
  <c r="AK263" i="1"/>
  <c r="M170" i="6"/>
  <c r="M174" i="6"/>
  <c r="M179" i="6"/>
  <c r="AK276" i="1"/>
  <c r="M183" i="6"/>
  <c r="AK285" i="1"/>
  <c r="M197" i="6"/>
  <c r="AK291" i="1"/>
  <c r="M200" i="6"/>
  <c r="AK295" i="1"/>
  <c r="M204" i="6"/>
  <c r="AK302" i="1"/>
  <c r="M209" i="6"/>
  <c r="M224" i="6"/>
  <c r="AK334" i="1"/>
  <c r="M239" i="6"/>
  <c r="AK347" i="1"/>
  <c r="M253" i="6"/>
  <c r="AK58" i="1"/>
  <c r="M27" i="6"/>
  <c r="AK70" i="1"/>
  <c r="AK74" i="1"/>
  <c r="M33" i="6"/>
  <c r="AK97" i="1"/>
  <c r="AK100" i="1"/>
  <c r="M44" i="6"/>
  <c r="AK105" i="1"/>
  <c r="AK109" i="1"/>
  <c r="M48" i="6"/>
  <c r="AK129" i="1"/>
  <c r="AK135" i="1"/>
  <c r="AK139" i="1"/>
  <c r="M65" i="6"/>
  <c r="AK144" i="1"/>
  <c r="M68" i="6"/>
  <c r="AK150" i="1"/>
  <c r="AK157" i="1"/>
  <c r="AK167" i="1"/>
  <c r="AK171" i="1"/>
  <c r="M87" i="6"/>
  <c r="M92" i="6"/>
  <c r="AK201" i="1"/>
  <c r="M115" i="6"/>
  <c r="AK236" i="1"/>
  <c r="M145" i="6"/>
  <c r="AK261" i="1"/>
  <c r="AK304" i="1"/>
  <c r="M211" i="6"/>
  <c r="AK309" i="1"/>
  <c r="M215" i="6"/>
  <c r="AK324" i="1"/>
  <c r="M228" i="6"/>
  <c r="M241" i="6"/>
  <c r="M242" i="6"/>
  <c r="AK341" i="1"/>
  <c r="M247" i="6"/>
  <c r="AK366" i="1"/>
  <c r="M256" i="6"/>
  <c r="AK154" i="1"/>
  <c r="M74" i="6"/>
  <c r="AK180" i="1"/>
  <c r="M97" i="6"/>
  <c r="AK184" i="1"/>
  <c r="M101" i="6"/>
  <c r="AK193" i="1"/>
  <c r="M107" i="6"/>
  <c r="M116" i="6"/>
  <c r="M123" i="6"/>
  <c r="AK240" i="1"/>
  <c r="M148" i="6"/>
  <c r="M161" i="6"/>
  <c r="AK265" i="1"/>
  <c r="M172" i="6"/>
  <c r="AK274" i="1"/>
  <c r="M181" i="6"/>
  <c r="AK289" i="1"/>
  <c r="M198" i="6"/>
  <c r="AK298" i="1"/>
  <c r="M206" i="6"/>
  <c r="AK342" i="1"/>
  <c r="M248" i="6"/>
  <c r="AK42" i="1"/>
  <c r="M19" i="6"/>
  <c r="AK72" i="1"/>
  <c r="M40" i="6"/>
  <c r="AK181" i="1"/>
  <c r="M98" i="6"/>
  <c r="AK189" i="1"/>
  <c r="M105" i="6"/>
  <c r="AK198" i="1"/>
  <c r="M112" i="6"/>
  <c r="AK206" i="1"/>
  <c r="M120" i="6"/>
  <c r="AK214" i="1"/>
  <c r="M128" i="6"/>
  <c r="AK222" i="1"/>
  <c r="M132" i="6"/>
  <c r="AK241" i="1"/>
  <c r="M149" i="6"/>
  <c r="M162" i="6"/>
  <c r="AK266" i="1"/>
  <c r="M173" i="6"/>
  <c r="AK284" i="1"/>
  <c r="M196" i="6"/>
  <c r="AK294" i="1"/>
  <c r="M203" i="6"/>
  <c r="AK89" i="1"/>
  <c r="AK112" i="1"/>
  <c r="AK117" i="1"/>
  <c r="M55" i="6"/>
  <c r="AK120" i="1"/>
  <c r="AK128" i="1"/>
  <c r="AK132" i="1"/>
  <c r="AK138" i="1"/>
  <c r="M64" i="6"/>
  <c r="AK143" i="1"/>
  <c r="M67" i="6"/>
  <c r="AK153" i="1"/>
  <c r="M73" i="6"/>
  <c r="AK156" i="1"/>
  <c r="AK166" i="1"/>
  <c r="M83" i="6"/>
  <c r="M89" i="6"/>
  <c r="M91" i="6"/>
  <c r="M90" i="6"/>
  <c r="M106" i="6"/>
  <c r="AK239" i="1"/>
  <c r="M147" i="6"/>
  <c r="AK303" i="1"/>
  <c r="AK323" i="1"/>
  <c r="M227" i="6"/>
  <c r="AK346" i="1"/>
  <c r="M252" i="6"/>
  <c r="M82" i="6"/>
  <c r="M103" i="6"/>
  <c r="M109" i="6"/>
  <c r="AK125" i="1"/>
  <c r="M60" i="6"/>
  <c r="AK179" i="1"/>
  <c r="M96" i="6"/>
  <c r="AK183" i="1"/>
  <c r="M100" i="6"/>
  <c r="M104" i="6"/>
  <c r="AK196" i="1"/>
  <c r="M110" i="6"/>
  <c r="AK200" i="1"/>
  <c r="M114" i="6"/>
  <c r="AK208" i="1"/>
  <c r="M122" i="6"/>
  <c r="AK212" i="1"/>
  <c r="M126" i="6"/>
  <c r="AK216" i="1"/>
  <c r="M129" i="6"/>
  <c r="AK220" i="1"/>
  <c r="M130" i="6"/>
  <c r="AK229" i="1"/>
  <c r="M138" i="6"/>
  <c r="AK237" i="1"/>
  <c r="M146" i="6"/>
  <c r="AK245" i="1"/>
  <c r="M153" i="6"/>
  <c r="AK252" i="1"/>
  <c r="M160" i="6"/>
  <c r="AK256" i="1"/>
  <c r="M164" i="6"/>
  <c r="AK264" i="1"/>
  <c r="M171" i="6"/>
  <c r="AK269" i="1"/>
  <c r="M176" i="6"/>
  <c r="AK273" i="1"/>
  <c r="M180" i="6"/>
  <c r="AK277" i="1"/>
  <c r="M184" i="6"/>
  <c r="AK292" i="1"/>
  <c r="M201" i="6"/>
  <c r="AK297" i="1"/>
  <c r="M205" i="6"/>
  <c r="AK315" i="1"/>
  <c r="M221" i="6"/>
  <c r="AK316" i="1"/>
  <c r="M222" i="6"/>
  <c r="AK322" i="1"/>
  <c r="M226" i="6"/>
  <c r="AK340" i="1"/>
  <c r="M246" i="6"/>
  <c r="AK35" i="1"/>
  <c r="AK88" i="1"/>
  <c r="M37" i="6"/>
  <c r="AK95" i="1"/>
  <c r="M42" i="6"/>
  <c r="AK98" i="1"/>
  <c r="AK106" i="1"/>
  <c r="AL106" i="1" s="1"/>
  <c r="AK110" i="1"/>
  <c r="M49" i="6"/>
  <c r="AK118" i="1"/>
  <c r="AK121" i="1"/>
  <c r="AK124" i="1"/>
  <c r="M59" i="6"/>
  <c r="AK136" i="1"/>
  <c r="AK141" i="1"/>
  <c r="AK148" i="1"/>
  <c r="M70" i="6"/>
  <c r="AK163" i="1"/>
  <c r="M80" i="6"/>
  <c r="AK168" i="1"/>
  <c r="M84" i="6"/>
  <c r="M88" i="6"/>
  <c r="AK238" i="1"/>
  <c r="AK257" i="1"/>
  <c r="M165" i="6"/>
  <c r="AK268" i="1"/>
  <c r="M175" i="6"/>
  <c r="AK305" i="1"/>
  <c r="M212" i="6"/>
  <c r="AK310" i="1"/>
  <c r="M216" i="6"/>
  <c r="AK330" i="1"/>
  <c r="M235" i="6"/>
  <c r="M243" i="6"/>
  <c r="AK343" i="1"/>
  <c r="M249" i="6"/>
  <c r="AK311" i="1"/>
  <c r="M217" i="6"/>
  <c r="AK111" i="1"/>
  <c r="AK116" i="1"/>
  <c r="M54" i="6"/>
  <c r="AK119" i="1"/>
  <c r="AK122" i="1"/>
  <c r="M57" i="6"/>
  <c r="AK127" i="1"/>
  <c r="AK134" i="1"/>
  <c r="M63" i="6"/>
  <c r="AK142" i="1"/>
  <c r="AK149" i="1"/>
  <c r="M71" i="6"/>
  <c r="AK152" i="1"/>
  <c r="M72" i="6"/>
  <c r="M76" i="6"/>
  <c r="AL360" i="1"/>
  <c r="AK162" i="1"/>
  <c r="M79" i="6"/>
  <c r="AK164" i="1"/>
  <c r="M81" i="6"/>
  <c r="AK169" i="1"/>
  <c r="M85" i="6"/>
  <c r="AK176" i="1"/>
  <c r="M94" i="6"/>
  <c r="AK228" i="1"/>
  <c r="M137" i="6"/>
  <c r="AK258" i="1"/>
  <c r="AK281" i="1"/>
  <c r="AK321" i="1"/>
  <c r="M225" i="6"/>
  <c r="AK332" i="1"/>
  <c r="M237" i="6"/>
  <c r="AK338" i="1"/>
  <c r="M244" i="6"/>
  <c r="AK344" i="1"/>
  <c r="M250" i="6"/>
  <c r="AK187" i="1"/>
  <c r="AK217" i="1"/>
  <c r="AK253" i="1"/>
  <c r="AK194" i="1"/>
  <c r="AK210" i="1"/>
  <c r="AK218" i="1"/>
  <c r="AK254" i="1"/>
  <c r="AK352" i="1"/>
  <c r="AK56" i="1"/>
  <c r="AK350" i="1"/>
  <c r="AK170" i="1"/>
  <c r="AK173" i="1"/>
  <c r="AK353" i="1"/>
  <c r="AK351" i="1"/>
  <c r="AK177" i="1"/>
  <c r="AK190" i="1"/>
  <c r="AK260" i="1"/>
  <c r="AK339" i="1"/>
  <c r="AK192" i="1"/>
  <c r="AK197" i="1"/>
  <c r="AK202" i="1"/>
  <c r="AK165" i="1"/>
  <c r="AK186" i="1"/>
  <c r="AK195" i="1"/>
  <c r="AK267" i="1"/>
  <c r="AK272" i="1"/>
  <c r="AK318" i="1"/>
  <c r="AK33" i="1"/>
  <c r="AK174" i="1"/>
  <c r="AK250" i="1"/>
  <c r="AK361" i="1"/>
  <c r="AL361" i="1" s="1"/>
  <c r="AK336" i="1"/>
  <c r="AK286" i="1"/>
  <c r="AK75" i="1"/>
  <c r="AK130" i="1"/>
  <c r="AK172" i="1"/>
  <c r="AK337" i="1"/>
  <c r="AK209" i="1"/>
  <c r="AK363" i="1"/>
  <c r="AK325" i="1"/>
  <c r="AK362" i="1"/>
  <c r="AK92" i="1"/>
  <c r="AK99" i="1"/>
  <c r="AK131" i="1"/>
  <c r="AK137" i="1"/>
  <c r="AK151" i="1"/>
  <c r="AK360" i="1"/>
  <c r="AK155" i="1"/>
  <c r="BW22" i="53"/>
  <c r="CN22" i="53"/>
  <c r="CM22" i="53"/>
  <c r="BU22" i="53"/>
  <c r="CE22" i="53"/>
  <c r="CL22" i="53"/>
  <c r="CC22" i="53"/>
  <c r="CK22" i="53"/>
  <c r="BY22" i="53"/>
  <c r="CG22" i="53"/>
  <c r="CA22" i="53"/>
  <c r="CI22" i="53"/>
  <c r="BX22" i="53"/>
  <c r="CB22" i="53"/>
  <c r="CF22" i="53"/>
  <c r="CJ22" i="53"/>
  <c r="BV22" i="53"/>
  <c r="BZ22" i="53"/>
  <c r="CD22" i="53"/>
  <c r="CH22" i="53"/>
  <c r="CO185" i="53" l="1"/>
  <c r="CO202" i="53"/>
  <c r="CO291" i="53"/>
  <c r="CO267" i="53"/>
  <c r="CO199" i="53"/>
  <c r="CO217" i="53"/>
  <c r="CO176" i="53"/>
  <c r="CO172" i="53"/>
  <c r="CO287" i="53"/>
  <c r="CO255" i="53"/>
  <c r="CO195" i="53"/>
  <c r="CO309" i="53"/>
  <c r="N211" i="6"/>
  <c r="AL352" i="1"/>
  <c r="AL350" i="1"/>
  <c r="CO161" i="53"/>
  <c r="CO303" i="53"/>
  <c r="CO159" i="53"/>
  <c r="CO154" i="53"/>
  <c r="N167" i="6"/>
  <c r="N76" i="6"/>
  <c r="N90" i="6"/>
  <c r="N91" i="6"/>
  <c r="AL362" i="1"/>
  <c r="AL363" i="1"/>
  <c r="N24" i="6"/>
  <c r="N25" i="6"/>
  <c r="AL367" i="1"/>
  <c r="CO313" i="53"/>
  <c r="CO258" i="53"/>
  <c r="CO200" i="53"/>
  <c r="CO28" i="53"/>
  <c r="CO26" i="53"/>
  <c r="CO266" i="53"/>
  <c r="CO88" i="53"/>
  <c r="CO301" i="53"/>
  <c r="CO286" i="53"/>
  <c r="CO284" i="53"/>
  <c r="CO282" i="53"/>
  <c r="CO280" i="53"/>
  <c r="CO278" i="53"/>
  <c r="CO276" i="53"/>
  <c r="CO274" i="53"/>
  <c r="CO272" i="53"/>
  <c r="CO270" i="53"/>
  <c r="CO297" i="53"/>
  <c r="CO264" i="53"/>
  <c r="CO260" i="53"/>
  <c r="CO253" i="53"/>
  <c r="CO250" i="53"/>
  <c r="CO248" i="53"/>
  <c r="CO246" i="53"/>
  <c r="CO244" i="53"/>
  <c r="CO236" i="53"/>
  <c r="CO228" i="53"/>
  <c r="CO211" i="53"/>
  <c r="CO212" i="53"/>
  <c r="CO190" i="53"/>
  <c r="CO174" i="53"/>
  <c r="CO148" i="53"/>
  <c r="CO140" i="53"/>
  <c r="CO132" i="53"/>
  <c r="CO124" i="53"/>
  <c r="CO157" i="53"/>
  <c r="CO155" i="53"/>
  <c r="CO113" i="53"/>
  <c r="CO29" i="53"/>
  <c r="CO319" i="53"/>
  <c r="CO321" i="53"/>
  <c r="CO294" i="53"/>
  <c r="CO312" i="53"/>
  <c r="CO265" i="53"/>
  <c r="CO231" i="53"/>
  <c r="CO254" i="53"/>
  <c r="CO177" i="53"/>
  <c r="CO168" i="53"/>
  <c r="CO181" i="53"/>
  <c r="CO193" i="53"/>
  <c r="CO179" i="53"/>
  <c r="CO70" i="53"/>
  <c r="CO49" i="53"/>
  <c r="CO290" i="53"/>
  <c r="CO130" i="53"/>
  <c r="CO147" i="53"/>
  <c r="CO141" i="53"/>
  <c r="CO97" i="53"/>
  <c r="CO39" i="53"/>
  <c r="CO46" i="53"/>
  <c r="CO42" i="53"/>
  <c r="CO79" i="53"/>
  <c r="CO139" i="53"/>
  <c r="CO133" i="53"/>
  <c r="CO123" i="53"/>
  <c r="CO22" i="53"/>
  <c r="CO85" i="53"/>
  <c r="CO314" i="53"/>
  <c r="CO65" i="53"/>
  <c r="CO223" i="53"/>
  <c r="CO84" i="53"/>
  <c r="CO269" i="53"/>
  <c r="CO251" i="53"/>
  <c r="CO237" i="53"/>
  <c r="CO63" i="53"/>
  <c r="CO80" i="53"/>
  <c r="CO201" i="53"/>
  <c r="CO99" i="53"/>
  <c r="CO96" i="53"/>
  <c r="CO247" i="53"/>
  <c r="CO68" i="53"/>
  <c r="CO53" i="53"/>
  <c r="CO322" i="53"/>
  <c r="CO242" i="53"/>
  <c r="CO234" i="53"/>
  <c r="CO226" i="53"/>
  <c r="CO262" i="53"/>
  <c r="CO209" i="53"/>
  <c r="CO208" i="53"/>
  <c r="CO188" i="53"/>
  <c r="CO110" i="53"/>
  <c r="CO106" i="53"/>
  <c r="CO158" i="53"/>
  <c r="CO156" i="53"/>
  <c r="CO323" i="53"/>
  <c r="CO306" i="53"/>
  <c r="CO293" i="53"/>
  <c r="CO317" i="53"/>
  <c r="CO271" i="53"/>
  <c r="CO257" i="53"/>
  <c r="CO245" i="53"/>
  <c r="CO241" i="53"/>
  <c r="CO233" i="53"/>
  <c r="CO178" i="53"/>
  <c r="CO169" i="53"/>
  <c r="CO150" i="53"/>
  <c r="CO137" i="53"/>
  <c r="CO121" i="53"/>
  <c r="CO182" i="53"/>
  <c r="CO164" i="53"/>
  <c r="CO160" i="53"/>
  <c r="CO145" i="53"/>
  <c r="CO129" i="53"/>
  <c r="CO180" i="53"/>
  <c r="CO170" i="53"/>
  <c r="CO163" i="53"/>
  <c r="CO109" i="53"/>
  <c r="CO100" i="53"/>
  <c r="CO78" i="53"/>
  <c r="CO48" i="53"/>
  <c r="CO38" i="53"/>
  <c r="CO243" i="53"/>
  <c r="CO224" i="53"/>
  <c r="CO138" i="53"/>
  <c r="CO221" i="53"/>
  <c r="CO203" i="53"/>
  <c r="CO167" i="53"/>
  <c r="CO111" i="53"/>
  <c r="CO263" i="53"/>
  <c r="CO114" i="53"/>
  <c r="CO95" i="53"/>
  <c r="CO98" i="53"/>
  <c r="CO58" i="53"/>
  <c r="CO45" i="53"/>
  <c r="CO77" i="53"/>
  <c r="CO105" i="53"/>
  <c r="CO89" i="53"/>
  <c r="CO31" i="53"/>
  <c r="CO153" i="53"/>
  <c r="CO131" i="53"/>
  <c r="CO125" i="53"/>
  <c r="CO64" i="53"/>
  <c r="CO281" i="53"/>
  <c r="CO134" i="53"/>
  <c r="CO61" i="53"/>
  <c r="CO69" i="53"/>
  <c r="CO318" i="53"/>
  <c r="CO308" i="53"/>
  <c r="CO304" i="53"/>
  <c r="CO302" i="53"/>
  <c r="CO311" i="53"/>
  <c r="CO285" i="53"/>
  <c r="CO283" i="53"/>
  <c r="CO240" i="53"/>
  <c r="CO232" i="53"/>
  <c r="CO215" i="53"/>
  <c r="CO207" i="53"/>
  <c r="CO197" i="53"/>
  <c r="CO187" i="53"/>
  <c r="CO144" i="53"/>
  <c r="CO136" i="53"/>
  <c r="CO128" i="53"/>
  <c r="CO120" i="53"/>
  <c r="CO118" i="53"/>
  <c r="CO104" i="53"/>
  <c r="CO117" i="53"/>
  <c r="CO27" i="53"/>
  <c r="CO298" i="53"/>
  <c r="CO295" i="53"/>
  <c r="CO279" i="53"/>
  <c r="CO219" i="53"/>
  <c r="CO259" i="53"/>
  <c r="CO235" i="53"/>
  <c r="CO227" i="53"/>
  <c r="CO165" i="53"/>
  <c r="CO171" i="53"/>
  <c r="CO116" i="53"/>
  <c r="CO101" i="53"/>
  <c r="CO92" i="53"/>
  <c r="CO82" i="53"/>
  <c r="CO62" i="53"/>
  <c r="CO56" i="53"/>
  <c r="CO40" i="53"/>
  <c r="CO34" i="53"/>
  <c r="CO47" i="53"/>
  <c r="CO324" i="53"/>
  <c r="CO146" i="53"/>
  <c r="CO183" i="53"/>
  <c r="CO90" i="53"/>
  <c r="CO94" i="53"/>
  <c r="CO55" i="53"/>
  <c r="CO23" i="53"/>
  <c r="CO35" i="53"/>
  <c r="CO222" i="53"/>
  <c r="CO91" i="53"/>
  <c r="CO76" i="53"/>
  <c r="CO54" i="53"/>
  <c r="CO51" i="53"/>
  <c r="CO300" i="53"/>
  <c r="CO205" i="53"/>
  <c r="CO127" i="53"/>
  <c r="CO103" i="53"/>
  <c r="CO275" i="53"/>
  <c r="CO268" i="53"/>
  <c r="CO320" i="53"/>
  <c r="CO316" i="53"/>
  <c r="CO119" i="53"/>
  <c r="CO83" i="53"/>
  <c r="CO52" i="53"/>
  <c r="CO218" i="53"/>
  <c r="CO299" i="53"/>
  <c r="CO252" i="53"/>
  <c r="CO238" i="53"/>
  <c r="CO230" i="53"/>
  <c r="CO213" i="53"/>
  <c r="CO216" i="53"/>
  <c r="CO204" i="53"/>
  <c r="CO214" i="53"/>
  <c r="CO210" i="53"/>
  <c r="CO206" i="53"/>
  <c r="CO194" i="53"/>
  <c r="CO192" i="53"/>
  <c r="CO175" i="53"/>
  <c r="CO108" i="53"/>
  <c r="CO115" i="53"/>
  <c r="CO59" i="53"/>
  <c r="CO315" i="53"/>
  <c r="CO296" i="53"/>
  <c r="CO305" i="53"/>
  <c r="CO239" i="53"/>
  <c r="CO249" i="53"/>
  <c r="CO220" i="53"/>
  <c r="CO191" i="53"/>
  <c r="CO151" i="53"/>
  <c r="CO142" i="53"/>
  <c r="CO135" i="53"/>
  <c r="CO126" i="53"/>
  <c r="CO93" i="53"/>
  <c r="CO86" i="53"/>
  <c r="CO66" i="53"/>
  <c r="CO57" i="53"/>
  <c r="CO24" i="53"/>
  <c r="CO41" i="53"/>
  <c r="CO33" i="53"/>
  <c r="CO32" i="53"/>
  <c r="CO307" i="53"/>
  <c r="CO277" i="53"/>
  <c r="CO261" i="53"/>
  <c r="CO198" i="53"/>
  <c r="CO184" i="53"/>
  <c r="CO166" i="53"/>
  <c r="CO149" i="53"/>
  <c r="CO143" i="53"/>
  <c r="CO102" i="53"/>
  <c r="CO122" i="53"/>
  <c r="CO44" i="53"/>
  <c r="CO43" i="53"/>
  <c r="CO225" i="53"/>
  <c r="CO229" i="53"/>
  <c r="CO87" i="53"/>
  <c r="CO67" i="53"/>
  <c r="CO107" i="53"/>
  <c r="CO273" i="53"/>
  <c r="CO152" i="53"/>
  <c r="CO81" i="53"/>
  <c r="CO186" i="53"/>
  <c r="CO189" i="53"/>
  <c r="CO50" i="53"/>
  <c r="CO75" i="53"/>
  <c r="AL366" i="1"/>
  <c r="J8" i="40" l="1"/>
  <c r="J9" i="40"/>
  <c r="J10" i="40"/>
  <c r="J11" i="40"/>
  <c r="J12" i="40"/>
  <c r="J13" i="40"/>
  <c r="J14" i="40"/>
  <c r="J15" i="40"/>
  <c r="J16" i="40"/>
  <c r="J7" i="40"/>
  <c r="J17" i="40" l="1"/>
  <c r="J18" i="40" s="1"/>
  <c r="AK355" i="1" l="1"/>
  <c r="AK356" i="1"/>
  <c r="AK357" i="1"/>
  <c r="AK358" i="1"/>
  <c r="AK359" i="1"/>
  <c r="AK354" i="1"/>
  <c r="AK28" i="1" l="1"/>
  <c r="AK29" i="1"/>
  <c r="AK30" i="1"/>
  <c r="AK31" i="1"/>
  <c r="AK32" i="1"/>
  <c r="AK34" i="1"/>
  <c r="AK36" i="1"/>
  <c r="AK38" i="1"/>
  <c r="AK39" i="1"/>
  <c r="AK40" i="1"/>
  <c r="AK41" i="1"/>
  <c r="AK43" i="1"/>
  <c r="AK44" i="1"/>
  <c r="AK45" i="1"/>
  <c r="AK46" i="1"/>
  <c r="AK47" i="1"/>
  <c r="AK48" i="1"/>
  <c r="AK49" i="1"/>
  <c r="AK51" i="1"/>
  <c r="AK52" i="1"/>
  <c r="AK53" i="1"/>
  <c r="AK54" i="1"/>
  <c r="AK55" i="1"/>
  <c r="AK57" i="1"/>
  <c r="AK59" i="1"/>
  <c r="AK60" i="1"/>
  <c r="AK61" i="1"/>
  <c r="AK62" i="1"/>
  <c r="AK63" i="1"/>
  <c r="AK64" i="1"/>
  <c r="AK65" i="1"/>
  <c r="AK67" i="1"/>
  <c r="AK68" i="1"/>
  <c r="AK71" i="1"/>
  <c r="AK76" i="1"/>
  <c r="AK77" i="1"/>
  <c r="AK80" i="1"/>
  <c r="AK81" i="1"/>
  <c r="AK82" i="1"/>
  <c r="AK83" i="1"/>
  <c r="AK84" i="1"/>
  <c r="AK85" i="1"/>
  <c r="AK86" i="1"/>
  <c r="AK87" i="1"/>
  <c r="AK90" i="1"/>
  <c r="AK91" i="1"/>
  <c r="AK93" i="1"/>
  <c r="AK94" i="1"/>
  <c r="AK101" i="1"/>
  <c r="AK102" i="1"/>
  <c r="AK103" i="1"/>
  <c r="AK104" i="1"/>
  <c r="AK107" i="1"/>
  <c r="AK113" i="1"/>
  <c r="AK114" i="1"/>
  <c r="AK115" i="1"/>
  <c r="AK123" i="1"/>
  <c r="AK126" i="1"/>
  <c r="AK133" i="1"/>
  <c r="AK140" i="1"/>
  <c r="AK145" i="1"/>
  <c r="AK146" i="1"/>
  <c r="AK147" i="1"/>
  <c r="AK158" i="1"/>
  <c r="AK159" i="1"/>
  <c r="AK160" i="1"/>
  <c r="AK175" i="1"/>
  <c r="AK178" i="1"/>
  <c r="AK224" i="1"/>
  <c r="AK225" i="1"/>
  <c r="AK226" i="1"/>
  <c r="AK227" i="1"/>
  <c r="AK230" i="1"/>
  <c r="AK234" i="1"/>
  <c r="AK243" i="1"/>
  <c r="AK244" i="1"/>
  <c r="AK249" i="1"/>
  <c r="AK251" i="1"/>
  <c r="AK262" i="1"/>
  <c r="AK278" i="1"/>
  <c r="AK279" i="1"/>
  <c r="AK282" i="1"/>
  <c r="AK283" i="1"/>
  <c r="AK287" i="1"/>
  <c r="AK288" i="1"/>
  <c r="AK296" i="1"/>
  <c r="AK300" i="1"/>
  <c r="AK301" i="1"/>
  <c r="AK307" i="1"/>
  <c r="AK312" i="1"/>
  <c r="AK313" i="1"/>
  <c r="AK314" i="1"/>
  <c r="AK317" i="1"/>
  <c r="AK319" i="1"/>
  <c r="AK320" i="1"/>
  <c r="AK327" i="1"/>
  <c r="AK328" i="1"/>
  <c r="AK329" i="1"/>
  <c r="AK331" i="1"/>
  <c r="AK335" i="1"/>
  <c r="R17" i="1" l="1"/>
  <c r="Q17" i="1" l="1"/>
  <c r="AL351" i="1"/>
  <c r="AL353" i="1"/>
  <c r="BN351" i="1"/>
  <c r="BN352" i="1"/>
  <c r="BN353" i="1"/>
  <c r="BN350" i="1"/>
  <c r="W127" i="8" l="1"/>
  <c r="V127" i="8"/>
  <c r="U127" i="8"/>
  <c r="M127" i="8"/>
  <c r="L127" i="8"/>
  <c r="K127" i="8"/>
  <c r="D127" i="8"/>
  <c r="C127" i="8"/>
  <c r="B127" i="8"/>
  <c r="U126" i="8"/>
  <c r="B126" i="8"/>
  <c r="U125" i="8"/>
  <c r="I125" i="8"/>
  <c r="H125" i="8"/>
  <c r="G125" i="8"/>
  <c r="F125" i="8"/>
  <c r="E125" i="8"/>
  <c r="D125" i="8"/>
  <c r="C125" i="8"/>
  <c r="B125" i="8"/>
  <c r="U124" i="8"/>
  <c r="I124" i="8"/>
  <c r="H124" i="8"/>
  <c r="G124" i="8"/>
  <c r="F124" i="8"/>
  <c r="E124" i="8"/>
  <c r="D124" i="8"/>
  <c r="C124" i="8"/>
  <c r="B124" i="8"/>
  <c r="U123" i="8"/>
  <c r="I123" i="8"/>
  <c r="H123" i="8"/>
  <c r="G123" i="8"/>
  <c r="F123" i="8"/>
  <c r="E123" i="8"/>
  <c r="D123" i="8"/>
  <c r="C123" i="8"/>
  <c r="B123" i="8"/>
  <c r="U122" i="8"/>
  <c r="I122" i="8"/>
  <c r="H122" i="8"/>
  <c r="G122" i="8"/>
  <c r="F122" i="8"/>
  <c r="E122" i="8"/>
  <c r="D122" i="8"/>
  <c r="C122" i="8"/>
  <c r="B122" i="8"/>
  <c r="U121" i="8"/>
  <c r="I121" i="8"/>
  <c r="H121" i="8"/>
  <c r="G121" i="8"/>
  <c r="F121" i="8"/>
  <c r="E121" i="8"/>
  <c r="D121" i="8"/>
  <c r="C121" i="8"/>
  <c r="B121" i="8"/>
  <c r="U120" i="8"/>
  <c r="B120" i="8"/>
  <c r="U119" i="8"/>
  <c r="B119" i="8"/>
  <c r="U118" i="8"/>
  <c r="B118" i="8"/>
  <c r="U117" i="8"/>
  <c r="B117" i="8"/>
  <c r="U116" i="8"/>
  <c r="B116" i="8"/>
  <c r="U115" i="8"/>
  <c r="B115" i="8"/>
  <c r="U114" i="8"/>
  <c r="B114" i="8"/>
  <c r="U113" i="8"/>
  <c r="B113" i="8"/>
  <c r="U112" i="8"/>
  <c r="B112" i="8"/>
  <c r="U111" i="8"/>
  <c r="B111" i="8"/>
  <c r="U110" i="8"/>
  <c r="B110" i="8"/>
  <c r="U109" i="8"/>
  <c r="B109" i="8"/>
  <c r="U108" i="8"/>
  <c r="B108" i="8"/>
  <c r="U107" i="8"/>
  <c r="B107" i="8"/>
  <c r="AB106" i="8"/>
  <c r="AA106" i="8"/>
  <c r="Z106" i="8"/>
  <c r="Y106" i="8"/>
  <c r="X106" i="8"/>
  <c r="U106" i="8"/>
  <c r="R106" i="8"/>
  <c r="Q106" i="8"/>
  <c r="P106" i="8"/>
  <c r="O106" i="8"/>
  <c r="N106" i="8"/>
  <c r="I106" i="8"/>
  <c r="H106" i="8"/>
  <c r="G106" i="8"/>
  <c r="F106" i="8"/>
  <c r="E106" i="8"/>
  <c r="B106" i="8"/>
  <c r="U105" i="8"/>
  <c r="B105" i="8"/>
  <c r="U104" i="8"/>
  <c r="B104" i="8"/>
  <c r="W96" i="8"/>
  <c r="V96" i="8"/>
  <c r="U96" i="8"/>
  <c r="M96" i="8"/>
  <c r="L96" i="8"/>
  <c r="K96" i="8"/>
  <c r="D96" i="8"/>
  <c r="C96" i="8"/>
  <c r="B96" i="8"/>
  <c r="U95" i="8"/>
  <c r="B95" i="8"/>
  <c r="U94" i="8"/>
  <c r="I94" i="8"/>
  <c r="H94" i="8"/>
  <c r="G94" i="8"/>
  <c r="F94" i="8"/>
  <c r="E94" i="8"/>
  <c r="D94" i="8"/>
  <c r="C94" i="8"/>
  <c r="B94" i="8"/>
  <c r="U93" i="8"/>
  <c r="I93" i="8"/>
  <c r="H93" i="8"/>
  <c r="G93" i="8"/>
  <c r="F93" i="8"/>
  <c r="E93" i="8"/>
  <c r="D93" i="8"/>
  <c r="C93" i="8"/>
  <c r="B93" i="8"/>
  <c r="U92" i="8"/>
  <c r="I92" i="8"/>
  <c r="H92" i="8"/>
  <c r="G92" i="8"/>
  <c r="F92" i="8"/>
  <c r="E92" i="8"/>
  <c r="D92" i="8"/>
  <c r="C92" i="8"/>
  <c r="B92" i="8"/>
  <c r="U91" i="8"/>
  <c r="I91" i="8"/>
  <c r="H91" i="8"/>
  <c r="G91" i="8"/>
  <c r="F91" i="8"/>
  <c r="E91" i="8"/>
  <c r="D91" i="8"/>
  <c r="C91" i="8"/>
  <c r="B91" i="8"/>
  <c r="U90" i="8"/>
  <c r="I90" i="8"/>
  <c r="H90" i="8"/>
  <c r="G90" i="8"/>
  <c r="F90" i="8"/>
  <c r="E90" i="8"/>
  <c r="D90" i="8"/>
  <c r="C90" i="8"/>
  <c r="B90" i="8"/>
  <c r="U89" i="8"/>
  <c r="B89" i="8"/>
  <c r="U88" i="8"/>
  <c r="B88" i="8"/>
  <c r="U87" i="8"/>
  <c r="B87" i="8"/>
  <c r="U86" i="8"/>
  <c r="C86" i="8"/>
  <c r="B86" i="8"/>
  <c r="U85" i="8"/>
  <c r="B85" i="8"/>
  <c r="U84" i="8"/>
  <c r="B84" i="8"/>
  <c r="U83" i="8"/>
  <c r="B83" i="8"/>
  <c r="U82" i="8"/>
  <c r="B82" i="8"/>
  <c r="U81" i="8"/>
  <c r="B81" i="8"/>
  <c r="U80" i="8"/>
  <c r="B80" i="8"/>
  <c r="U79" i="8"/>
  <c r="B79" i="8"/>
  <c r="U78" i="8"/>
  <c r="B78" i="8"/>
  <c r="U77" i="8"/>
  <c r="B77" i="8"/>
  <c r="U76" i="8"/>
  <c r="B76" i="8"/>
  <c r="AB75" i="8"/>
  <c r="AA75" i="8"/>
  <c r="Z75" i="8"/>
  <c r="Y75" i="8"/>
  <c r="X75" i="8"/>
  <c r="U75" i="8"/>
  <c r="R75" i="8"/>
  <c r="Q75" i="8"/>
  <c r="P75" i="8"/>
  <c r="O75" i="8"/>
  <c r="N75" i="8"/>
  <c r="I75" i="8"/>
  <c r="H75" i="8"/>
  <c r="G75" i="8"/>
  <c r="F75" i="8"/>
  <c r="B75" i="8"/>
  <c r="U74" i="8"/>
  <c r="B74" i="8"/>
  <c r="U73" i="8"/>
  <c r="B73" i="8"/>
  <c r="U98" i="8" l="1"/>
  <c r="B98" i="8"/>
  <c r="B129" i="8"/>
  <c r="U129" i="8"/>
  <c r="R18" i="1" l="1"/>
  <c r="S18" i="1" l="1"/>
  <c r="T18" i="1" l="1"/>
  <c r="U18" i="1" l="1"/>
  <c r="V18" i="1" l="1"/>
  <c r="W18" i="1" l="1"/>
  <c r="X18" i="1" l="1"/>
  <c r="G8" i="40"/>
  <c r="G9" i="40"/>
  <c r="G13" i="40"/>
  <c r="G14" i="40"/>
  <c r="G15" i="40"/>
  <c r="G16" i="40"/>
  <c r="G17" i="40"/>
  <c r="G18" i="40"/>
  <c r="G19" i="40"/>
  <c r="G20" i="40"/>
  <c r="G22" i="40"/>
  <c r="G23" i="40"/>
  <c r="G26" i="40"/>
  <c r="G28" i="40"/>
  <c r="G29" i="40"/>
  <c r="G30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8" i="40"/>
  <c r="G169" i="40"/>
  <c r="G170" i="40"/>
  <c r="G171" i="40"/>
  <c r="G172" i="40"/>
  <c r="G173" i="40"/>
  <c r="G174" i="40"/>
  <c r="G175" i="40"/>
  <c r="BM362" i="1" l="1"/>
  <c r="BM363" i="1"/>
  <c r="G24" i="40"/>
  <c r="K8" i="40"/>
  <c r="L8" i="40" s="1"/>
  <c r="G12" i="40"/>
  <c r="BH125" i="1" s="1"/>
  <c r="K15" i="40"/>
  <c r="L15" i="40" s="1"/>
  <c r="G7" i="40"/>
  <c r="K7" i="40"/>
  <c r="G167" i="40"/>
  <c r="K13" i="40"/>
  <c r="L13" i="40" s="1"/>
  <c r="G31" i="40"/>
  <c r="K12" i="40"/>
  <c r="L12" i="40" s="1"/>
  <c r="BM106" i="1" s="1"/>
  <c r="G27" i="40"/>
  <c r="BM180" i="1" s="1"/>
  <c r="K10" i="40"/>
  <c r="L10" i="40" s="1"/>
  <c r="G11" i="40"/>
  <c r="K11" i="40"/>
  <c r="L11" i="40" s="1"/>
  <c r="BM371" i="1" s="1"/>
  <c r="G10" i="40"/>
  <c r="K9" i="40"/>
  <c r="L9" i="40" s="1"/>
  <c r="G25" i="40"/>
  <c r="K14" i="40"/>
  <c r="L14" i="40" s="1"/>
  <c r="BM370" i="1" s="1"/>
  <c r="G21" i="40"/>
  <c r="K16" i="40"/>
  <c r="L16" i="40" s="1"/>
  <c r="BI357" i="1"/>
  <c r="BM357" i="1"/>
  <c r="BI359" i="1"/>
  <c r="BM359" i="1"/>
  <c r="BJ357" i="1"/>
  <c r="BN357" i="1"/>
  <c r="BJ359" i="1"/>
  <c r="BN359" i="1"/>
  <c r="BK357" i="1"/>
  <c r="BK359" i="1"/>
  <c r="BH357" i="1"/>
  <c r="BH359" i="1"/>
  <c r="BL359" i="1"/>
  <c r="BG357" i="1"/>
  <c r="BG359" i="1"/>
  <c r="BL357" i="1"/>
  <c r="BI354" i="1"/>
  <c r="BM354" i="1"/>
  <c r="BI355" i="1"/>
  <c r="BM355" i="1"/>
  <c r="BI356" i="1"/>
  <c r="BM356" i="1"/>
  <c r="BI358" i="1"/>
  <c r="BM358" i="1"/>
  <c r="BJ354" i="1"/>
  <c r="BN354" i="1"/>
  <c r="BJ355" i="1"/>
  <c r="BN355" i="1"/>
  <c r="BJ356" i="1"/>
  <c r="BN356" i="1"/>
  <c r="BJ358" i="1"/>
  <c r="BN358" i="1"/>
  <c r="BG354" i="1"/>
  <c r="BK354" i="1"/>
  <c r="BK355" i="1"/>
  <c r="BK356" i="1"/>
  <c r="BK358" i="1"/>
  <c r="BH354" i="1"/>
  <c r="BH355" i="1"/>
  <c r="BH356" i="1"/>
  <c r="BH358" i="1"/>
  <c r="BG355" i="1"/>
  <c r="BG356" i="1"/>
  <c r="BG358" i="1"/>
  <c r="BL354" i="1"/>
  <c r="BL355" i="1"/>
  <c r="BL356" i="1"/>
  <c r="BL358" i="1"/>
  <c r="BG115" i="1"/>
  <c r="BG142" i="1"/>
  <c r="BG178" i="1"/>
  <c r="BG296" i="1"/>
  <c r="BH39" i="1"/>
  <c r="BH60" i="1"/>
  <c r="BH178" i="1"/>
  <c r="BH296" i="1"/>
  <c r="BG60" i="1"/>
  <c r="BH41" i="1"/>
  <c r="BG41" i="1"/>
  <c r="BG80" i="1"/>
  <c r="BH29" i="1"/>
  <c r="BH80" i="1"/>
  <c r="BH141" i="1"/>
  <c r="BH142" i="1"/>
  <c r="BG141" i="1"/>
  <c r="BG39" i="1"/>
  <c r="BG29" i="1"/>
  <c r="BH115" i="1"/>
  <c r="BI41" i="1"/>
  <c r="BI80" i="1"/>
  <c r="BI29" i="1"/>
  <c r="BI141" i="1"/>
  <c r="BI296" i="1"/>
  <c r="BI115" i="1"/>
  <c r="BI142" i="1"/>
  <c r="BI39" i="1"/>
  <c r="BI60" i="1"/>
  <c r="BI178" i="1"/>
  <c r="BJ41" i="1"/>
  <c r="BJ29" i="1"/>
  <c r="BJ178" i="1"/>
  <c r="BJ60" i="1"/>
  <c r="BJ115" i="1"/>
  <c r="BJ39" i="1"/>
  <c r="BJ80" i="1"/>
  <c r="BJ142" i="1"/>
  <c r="BJ141" i="1"/>
  <c r="BJ296" i="1"/>
  <c r="BK41" i="1"/>
  <c r="BK29" i="1"/>
  <c r="BK39" i="1"/>
  <c r="BK115" i="1"/>
  <c r="BK178" i="1"/>
  <c r="BK80" i="1"/>
  <c r="BK296" i="1"/>
  <c r="BK141" i="1"/>
  <c r="BK142" i="1"/>
  <c r="BK60" i="1"/>
  <c r="BM29" i="1"/>
  <c r="BM115" i="1"/>
  <c r="BM178" i="1"/>
  <c r="BL41" i="1"/>
  <c r="BL80" i="1"/>
  <c r="BL115" i="1"/>
  <c r="BM141" i="1"/>
  <c r="BL29" i="1"/>
  <c r="BL141" i="1"/>
  <c r="BL142" i="1"/>
  <c r="BM39" i="1"/>
  <c r="BM60" i="1"/>
  <c r="BM296" i="1"/>
  <c r="BL178" i="1"/>
  <c r="BL296" i="1"/>
  <c r="BM41" i="1"/>
  <c r="BM142" i="1"/>
  <c r="BM80" i="1"/>
  <c r="BL39" i="1"/>
  <c r="BL60" i="1"/>
  <c r="BM293" i="1"/>
  <c r="BG293" i="1"/>
  <c r="BM291" i="1"/>
  <c r="BG291" i="1"/>
  <c r="BM278" i="1"/>
  <c r="BG278" i="1"/>
  <c r="BM274" i="1"/>
  <c r="BG274" i="1"/>
  <c r="BM267" i="1"/>
  <c r="BG267" i="1"/>
  <c r="BM264" i="1"/>
  <c r="BG264" i="1"/>
  <c r="BM256" i="1"/>
  <c r="BG256" i="1"/>
  <c r="BM253" i="1"/>
  <c r="BG253" i="1"/>
  <c r="BM247" i="1"/>
  <c r="BG247" i="1"/>
  <c r="BM241" i="1"/>
  <c r="BG241" i="1"/>
  <c r="BM235" i="1"/>
  <c r="BG235" i="1"/>
  <c r="BM223" i="1"/>
  <c r="BG223" i="1"/>
  <c r="BM219" i="1"/>
  <c r="BG219" i="1"/>
  <c r="BM215" i="1"/>
  <c r="BG215" i="1"/>
  <c r="BM211" i="1"/>
  <c r="BG211" i="1"/>
  <c r="BM208" i="1"/>
  <c r="BG208" i="1"/>
  <c r="BM203" i="1"/>
  <c r="BG203" i="1"/>
  <c r="BM199" i="1"/>
  <c r="BG199" i="1"/>
  <c r="BM195" i="1"/>
  <c r="BG195" i="1"/>
  <c r="BM191" i="1"/>
  <c r="BG191" i="1"/>
  <c r="BM186" i="1"/>
  <c r="BG186" i="1"/>
  <c r="BM179" i="1"/>
  <c r="BG179" i="1"/>
  <c r="BM161" i="1"/>
  <c r="BG161" i="1"/>
  <c r="BM325" i="1"/>
  <c r="BM334" i="1"/>
  <c r="BG334" i="1"/>
  <c r="BM322" i="1"/>
  <c r="BG322" i="1"/>
  <c r="BM316" i="1"/>
  <c r="BG316" i="1"/>
  <c r="BM315" i="1"/>
  <c r="BG315" i="1"/>
  <c r="BM298" i="1"/>
  <c r="BG298" i="1"/>
  <c r="BM294" i="1"/>
  <c r="BG294" i="1"/>
  <c r="BM290" i="1"/>
  <c r="BG290" i="1"/>
  <c r="BM285" i="1"/>
  <c r="BG285" i="1"/>
  <c r="BM277" i="1"/>
  <c r="BG277" i="1"/>
  <c r="BM273" i="1"/>
  <c r="BG273" i="1"/>
  <c r="BM271" i="1"/>
  <c r="BG271" i="1"/>
  <c r="BM266" i="1"/>
  <c r="BG266" i="1"/>
  <c r="BM263" i="1"/>
  <c r="BG263" i="1"/>
  <c r="BM252" i="1"/>
  <c r="BG252" i="1"/>
  <c r="BM246" i="1"/>
  <c r="BG246" i="1"/>
  <c r="BM240" i="1"/>
  <c r="BG240" i="1"/>
  <c r="BM232" i="1"/>
  <c r="BG232" i="1"/>
  <c r="BM222" i="1"/>
  <c r="BG222" i="1"/>
  <c r="BM218" i="1"/>
  <c r="BG218" i="1"/>
  <c r="BM214" i="1"/>
  <c r="BG214" i="1"/>
  <c r="BM210" i="1"/>
  <c r="BG210" i="1"/>
  <c r="BM207" i="1"/>
  <c r="BG207" i="1"/>
  <c r="BM202" i="1"/>
  <c r="BG202" i="1"/>
  <c r="BM198" i="1"/>
  <c r="BG198" i="1"/>
  <c r="BM194" i="1"/>
  <c r="BG194" i="1"/>
  <c r="BM189" i="1"/>
  <c r="BG189" i="1"/>
  <c r="BM185" i="1"/>
  <c r="BG185" i="1"/>
  <c r="BM182" i="1"/>
  <c r="BG182" i="1"/>
  <c r="BM154" i="1"/>
  <c r="BG154" i="1"/>
  <c r="BM326" i="1"/>
  <c r="BG326" i="1"/>
  <c r="BM318" i="1"/>
  <c r="BG318" i="1"/>
  <c r="BM302" i="1"/>
  <c r="BG302" i="1"/>
  <c r="BM297" i="1"/>
  <c r="BG297" i="1"/>
  <c r="BM289" i="1"/>
  <c r="BG289" i="1"/>
  <c r="BM284" i="1"/>
  <c r="BG284" i="1"/>
  <c r="BM276" i="1"/>
  <c r="BG276" i="1"/>
  <c r="BM272" i="1"/>
  <c r="BG272" i="1"/>
  <c r="BM270" i="1"/>
  <c r="BG270" i="1"/>
  <c r="BM259" i="1"/>
  <c r="BG259" i="1"/>
  <c r="BM255" i="1"/>
  <c r="BG255" i="1"/>
  <c r="BM245" i="1"/>
  <c r="BG245" i="1"/>
  <c r="BM231" i="1"/>
  <c r="BG231" i="1"/>
  <c r="BM221" i="1"/>
  <c r="BG221" i="1"/>
  <c r="BM217" i="1"/>
  <c r="BG217" i="1"/>
  <c r="BM213" i="1"/>
  <c r="BG213" i="1"/>
  <c r="BM206" i="1"/>
  <c r="BG206" i="1"/>
  <c r="BM204" i="1"/>
  <c r="BG204" i="1"/>
  <c r="BM197" i="1"/>
  <c r="BG197" i="1"/>
  <c r="BM193" i="1"/>
  <c r="BG193" i="1"/>
  <c r="BM188" i="1"/>
  <c r="BG188" i="1"/>
  <c r="BM184" i="1"/>
  <c r="BG184" i="1"/>
  <c r="BM181" i="1"/>
  <c r="BG181" i="1"/>
  <c r="BG125" i="1"/>
  <c r="BM299" i="1"/>
  <c r="BG299" i="1"/>
  <c r="BM295" i="1"/>
  <c r="BG295" i="1"/>
  <c r="BM292" i="1"/>
  <c r="BG292" i="1"/>
  <c r="BM286" i="1"/>
  <c r="BG286" i="1"/>
  <c r="BM279" i="1"/>
  <c r="BG279" i="1"/>
  <c r="BM275" i="1"/>
  <c r="BG275" i="1"/>
  <c r="BM269" i="1"/>
  <c r="BG269" i="1"/>
  <c r="BM265" i="1"/>
  <c r="BG265" i="1"/>
  <c r="BM254" i="1"/>
  <c r="BG254" i="1"/>
  <c r="BM248" i="1"/>
  <c r="BG248" i="1"/>
  <c r="BM242" i="1"/>
  <c r="BG242" i="1"/>
  <c r="BM237" i="1"/>
  <c r="BG237" i="1"/>
  <c r="BM229" i="1"/>
  <c r="BG229" i="1"/>
  <c r="BM220" i="1"/>
  <c r="BG220" i="1"/>
  <c r="BM216" i="1"/>
  <c r="BG216" i="1"/>
  <c r="BM212" i="1"/>
  <c r="BG212" i="1"/>
  <c r="BM209" i="1"/>
  <c r="BG209" i="1"/>
  <c r="BM205" i="1"/>
  <c r="BG205" i="1"/>
  <c r="BM200" i="1"/>
  <c r="BG200" i="1"/>
  <c r="BM196" i="1"/>
  <c r="BG196" i="1"/>
  <c r="BM192" i="1"/>
  <c r="BG192" i="1"/>
  <c r="BM187" i="1"/>
  <c r="BG187" i="1"/>
  <c r="BM183" i="1"/>
  <c r="BG183" i="1"/>
  <c r="BG180" i="1"/>
  <c r="BM165" i="1"/>
  <c r="BG165" i="1"/>
  <c r="BM108" i="1"/>
  <c r="BG108" i="1"/>
  <c r="BH295" i="1"/>
  <c r="BL295" i="1"/>
  <c r="BI295" i="1"/>
  <c r="BJ295" i="1"/>
  <c r="BK295" i="1"/>
  <c r="BH292" i="1"/>
  <c r="BL292" i="1"/>
  <c r="BI292" i="1"/>
  <c r="BJ292" i="1"/>
  <c r="BK292" i="1"/>
  <c r="BH279" i="1"/>
  <c r="BL279" i="1"/>
  <c r="BI279" i="1"/>
  <c r="BJ279" i="1"/>
  <c r="BK279" i="1"/>
  <c r="BI293" i="1"/>
  <c r="BJ293" i="1"/>
  <c r="BK293" i="1"/>
  <c r="BH293" i="1"/>
  <c r="BL293" i="1"/>
  <c r="BI291" i="1"/>
  <c r="BJ291" i="1"/>
  <c r="BK291" i="1"/>
  <c r="BH291" i="1"/>
  <c r="BL291" i="1"/>
  <c r="BI278" i="1"/>
  <c r="BJ278" i="1"/>
  <c r="BK278" i="1"/>
  <c r="BH278" i="1"/>
  <c r="BL278" i="1"/>
  <c r="BJ274" i="1"/>
  <c r="BK274" i="1"/>
  <c r="BH274" i="1"/>
  <c r="BL274" i="1"/>
  <c r="BI274" i="1"/>
  <c r="BI267" i="1"/>
  <c r="BJ267" i="1"/>
  <c r="BK267" i="1"/>
  <c r="BH267" i="1"/>
  <c r="BL267" i="1"/>
  <c r="BI264" i="1"/>
  <c r="BJ264" i="1"/>
  <c r="BK264" i="1"/>
  <c r="BH264" i="1"/>
  <c r="BL264" i="1"/>
  <c r="BK256" i="1"/>
  <c r="BH256" i="1"/>
  <c r="BL256" i="1"/>
  <c r="BI256" i="1"/>
  <c r="BJ256" i="1"/>
  <c r="BJ253" i="1"/>
  <c r="BK253" i="1"/>
  <c r="BH253" i="1"/>
  <c r="BL253" i="1"/>
  <c r="BI253" i="1"/>
  <c r="BH247" i="1"/>
  <c r="BL247" i="1"/>
  <c r="BI247" i="1"/>
  <c r="BJ247" i="1"/>
  <c r="BK247" i="1"/>
  <c r="BJ241" i="1"/>
  <c r="BK241" i="1"/>
  <c r="BH241" i="1"/>
  <c r="BL241" i="1"/>
  <c r="BI241" i="1"/>
  <c r="BH235" i="1"/>
  <c r="BL235" i="1"/>
  <c r="BI235" i="1"/>
  <c r="BJ235" i="1"/>
  <c r="BK235" i="1"/>
  <c r="BH223" i="1"/>
  <c r="BL223" i="1"/>
  <c r="BI223" i="1"/>
  <c r="BJ223" i="1"/>
  <c r="BK223" i="1"/>
  <c r="BJ219" i="1"/>
  <c r="BK219" i="1"/>
  <c r="BL219" i="1"/>
  <c r="BH219" i="1"/>
  <c r="BI219" i="1"/>
  <c r="BI215" i="1"/>
  <c r="BJ215" i="1"/>
  <c r="BK215" i="1"/>
  <c r="BL215" i="1"/>
  <c r="BH215" i="1"/>
  <c r="BI211" i="1"/>
  <c r="BJ211" i="1"/>
  <c r="BK211" i="1"/>
  <c r="BL211" i="1"/>
  <c r="BH211" i="1"/>
  <c r="BI208" i="1"/>
  <c r="BJ208" i="1"/>
  <c r="BK208" i="1"/>
  <c r="BH208" i="1"/>
  <c r="BL208" i="1"/>
  <c r="BJ203" i="1"/>
  <c r="BK203" i="1"/>
  <c r="BH203" i="1"/>
  <c r="BL203" i="1"/>
  <c r="BI203" i="1"/>
  <c r="BI199" i="1"/>
  <c r="BJ199" i="1"/>
  <c r="BK199" i="1"/>
  <c r="BH199" i="1"/>
  <c r="BL199" i="1"/>
  <c r="BH195" i="1"/>
  <c r="BL195" i="1"/>
  <c r="BI195" i="1"/>
  <c r="BJ195" i="1"/>
  <c r="BK195" i="1"/>
  <c r="BJ191" i="1"/>
  <c r="BK191" i="1"/>
  <c r="BH191" i="1"/>
  <c r="BL191" i="1"/>
  <c r="BI191" i="1"/>
  <c r="BH186" i="1"/>
  <c r="BL186" i="1"/>
  <c r="BI186" i="1"/>
  <c r="BJ186" i="1"/>
  <c r="BK186" i="1"/>
  <c r="BJ179" i="1"/>
  <c r="BK179" i="1"/>
  <c r="BH179" i="1"/>
  <c r="BL179" i="1"/>
  <c r="BI179" i="1"/>
  <c r="BJ161" i="1"/>
  <c r="BK161" i="1"/>
  <c r="BH161" i="1"/>
  <c r="BL161" i="1"/>
  <c r="BI161" i="1"/>
  <c r="BJ322" i="1"/>
  <c r="BK322" i="1"/>
  <c r="BH322" i="1"/>
  <c r="BL322" i="1"/>
  <c r="BI322" i="1"/>
  <c r="BJ316" i="1"/>
  <c r="BK316" i="1"/>
  <c r="BH316" i="1"/>
  <c r="BL316" i="1"/>
  <c r="BI316" i="1"/>
  <c r="BK315" i="1"/>
  <c r="BH315" i="1"/>
  <c r="BL315" i="1"/>
  <c r="BI315" i="1"/>
  <c r="BJ315" i="1"/>
  <c r="BJ294" i="1"/>
  <c r="BK294" i="1"/>
  <c r="BH294" i="1"/>
  <c r="BL294" i="1"/>
  <c r="BI294" i="1"/>
  <c r="BJ290" i="1"/>
  <c r="BK290" i="1"/>
  <c r="BH290" i="1"/>
  <c r="BL290" i="1"/>
  <c r="BI290" i="1"/>
  <c r="BJ277" i="1"/>
  <c r="BK277" i="1"/>
  <c r="BH277" i="1"/>
  <c r="BL277" i="1"/>
  <c r="BI277" i="1"/>
  <c r="BK273" i="1"/>
  <c r="BH273" i="1"/>
  <c r="BL273" i="1"/>
  <c r="BI273" i="1"/>
  <c r="BJ273" i="1"/>
  <c r="BI271" i="1"/>
  <c r="BJ271" i="1"/>
  <c r="BK271" i="1"/>
  <c r="BH271" i="1"/>
  <c r="BL271" i="1"/>
  <c r="BJ266" i="1"/>
  <c r="BK266" i="1"/>
  <c r="BH266" i="1"/>
  <c r="BL266" i="1"/>
  <c r="BI266" i="1"/>
  <c r="BJ263" i="1"/>
  <c r="BK263" i="1"/>
  <c r="BH263" i="1"/>
  <c r="BL263" i="1"/>
  <c r="BI263" i="1"/>
  <c r="BH252" i="1"/>
  <c r="BL252" i="1"/>
  <c r="BI252" i="1"/>
  <c r="BJ252" i="1"/>
  <c r="BK252" i="1"/>
  <c r="BI246" i="1"/>
  <c r="BJ246" i="1"/>
  <c r="BK246" i="1"/>
  <c r="BH246" i="1"/>
  <c r="BL246" i="1"/>
  <c r="BK240" i="1"/>
  <c r="BH240" i="1"/>
  <c r="BL240" i="1"/>
  <c r="BI240" i="1"/>
  <c r="BJ240" i="1"/>
  <c r="BK232" i="1"/>
  <c r="BH232" i="1"/>
  <c r="BL232" i="1"/>
  <c r="BI232" i="1"/>
  <c r="BJ232" i="1"/>
  <c r="BJ222" i="1"/>
  <c r="BK222" i="1"/>
  <c r="BH222" i="1"/>
  <c r="BI222" i="1"/>
  <c r="BL222" i="1"/>
  <c r="BH218" i="1"/>
  <c r="BL218" i="1"/>
  <c r="BI218" i="1"/>
  <c r="BJ218" i="1"/>
  <c r="BK218" i="1"/>
  <c r="BJ214" i="1"/>
  <c r="BK214" i="1"/>
  <c r="BH214" i="1"/>
  <c r="BL214" i="1"/>
  <c r="BI214" i="1"/>
  <c r="BJ210" i="1"/>
  <c r="BK210" i="1"/>
  <c r="BH210" i="1"/>
  <c r="BL210" i="1"/>
  <c r="BI210" i="1"/>
  <c r="BJ207" i="1"/>
  <c r="BK207" i="1"/>
  <c r="BH207" i="1"/>
  <c r="BL207" i="1"/>
  <c r="BI207" i="1"/>
  <c r="BK202" i="1"/>
  <c r="BH202" i="1"/>
  <c r="BL202" i="1"/>
  <c r="BI202" i="1"/>
  <c r="BJ202" i="1"/>
  <c r="BJ198" i="1"/>
  <c r="BK198" i="1"/>
  <c r="BH198" i="1"/>
  <c r="BL198" i="1"/>
  <c r="BI198" i="1"/>
  <c r="BJ194" i="1"/>
  <c r="BK194" i="1"/>
  <c r="BH194" i="1"/>
  <c r="BL194" i="1"/>
  <c r="BI194" i="1"/>
  <c r="BJ189" i="1"/>
  <c r="BH189" i="1"/>
  <c r="BL189" i="1"/>
  <c r="BI189" i="1"/>
  <c r="BK189" i="1"/>
  <c r="BI185" i="1"/>
  <c r="BJ185" i="1"/>
  <c r="BK185" i="1"/>
  <c r="BH185" i="1"/>
  <c r="BL185" i="1"/>
  <c r="BJ182" i="1"/>
  <c r="BK182" i="1"/>
  <c r="BH182" i="1"/>
  <c r="BL182" i="1"/>
  <c r="BI182" i="1"/>
  <c r="BI154" i="1"/>
  <c r="BJ154" i="1"/>
  <c r="BK154" i="1"/>
  <c r="BH154" i="1"/>
  <c r="BL154" i="1"/>
  <c r="BJ334" i="1"/>
  <c r="BI334" i="1"/>
  <c r="BK334" i="1"/>
  <c r="BL334" i="1"/>
  <c r="BH334" i="1"/>
  <c r="BI298" i="1"/>
  <c r="BJ298" i="1"/>
  <c r="BK298" i="1"/>
  <c r="BH298" i="1"/>
  <c r="BL298" i="1"/>
  <c r="BI285" i="1"/>
  <c r="BJ285" i="1"/>
  <c r="BK285" i="1"/>
  <c r="BH285" i="1"/>
  <c r="BL285" i="1"/>
  <c r="BI326" i="1"/>
  <c r="BJ326" i="1"/>
  <c r="BK326" i="1"/>
  <c r="BH326" i="1"/>
  <c r="BL326" i="1"/>
  <c r="BK318" i="1"/>
  <c r="BH318" i="1"/>
  <c r="BL318" i="1"/>
  <c r="BI318" i="1"/>
  <c r="BJ318" i="1"/>
  <c r="BH302" i="1"/>
  <c r="BL302" i="1"/>
  <c r="BI302" i="1"/>
  <c r="BJ302" i="1"/>
  <c r="BK302" i="1"/>
  <c r="BJ297" i="1"/>
  <c r="BK297" i="1"/>
  <c r="BH297" i="1"/>
  <c r="BL297" i="1"/>
  <c r="BI297" i="1"/>
  <c r="BK289" i="1"/>
  <c r="BH289" i="1"/>
  <c r="BL289" i="1"/>
  <c r="BI289" i="1"/>
  <c r="BJ289" i="1"/>
  <c r="BJ284" i="1"/>
  <c r="BK284" i="1"/>
  <c r="BH284" i="1"/>
  <c r="BL284" i="1"/>
  <c r="BI284" i="1"/>
  <c r="BK276" i="1"/>
  <c r="BH276" i="1"/>
  <c r="BL276" i="1"/>
  <c r="BI276" i="1"/>
  <c r="BJ276" i="1"/>
  <c r="BH272" i="1"/>
  <c r="BL272" i="1"/>
  <c r="BI272" i="1"/>
  <c r="BJ272" i="1"/>
  <c r="BK272" i="1"/>
  <c r="BJ270" i="1"/>
  <c r="BK270" i="1"/>
  <c r="BH270" i="1"/>
  <c r="BL270" i="1"/>
  <c r="BI270" i="1"/>
  <c r="BJ259" i="1"/>
  <c r="BK259" i="1"/>
  <c r="BH259" i="1"/>
  <c r="BL259" i="1"/>
  <c r="BI259" i="1"/>
  <c r="BH255" i="1"/>
  <c r="BL255" i="1"/>
  <c r="BI255" i="1"/>
  <c r="BJ255" i="1"/>
  <c r="BK255" i="1"/>
  <c r="BJ245" i="1"/>
  <c r="BK245" i="1"/>
  <c r="BH245" i="1"/>
  <c r="BL245" i="1"/>
  <c r="BI245" i="1"/>
  <c r="BH231" i="1"/>
  <c r="BL231" i="1"/>
  <c r="BI231" i="1"/>
  <c r="BJ231" i="1"/>
  <c r="BK231" i="1"/>
  <c r="BH221" i="1"/>
  <c r="BL221" i="1"/>
  <c r="BI221" i="1"/>
  <c r="BJ221" i="1"/>
  <c r="BK221" i="1"/>
  <c r="BK217" i="1"/>
  <c r="BH217" i="1"/>
  <c r="BL217" i="1"/>
  <c r="BI217" i="1"/>
  <c r="BJ217" i="1"/>
  <c r="BK213" i="1"/>
  <c r="BH213" i="1"/>
  <c r="BL213" i="1"/>
  <c r="BI213" i="1"/>
  <c r="BJ213" i="1"/>
  <c r="BJ206" i="1"/>
  <c r="BK206" i="1"/>
  <c r="BH206" i="1"/>
  <c r="BL206" i="1"/>
  <c r="BI206" i="1"/>
  <c r="BH204" i="1"/>
  <c r="BL204" i="1"/>
  <c r="BI204" i="1"/>
  <c r="BJ204" i="1"/>
  <c r="BK204" i="1"/>
  <c r="BK197" i="1"/>
  <c r="BH197" i="1"/>
  <c r="BL197" i="1"/>
  <c r="BI197" i="1"/>
  <c r="BJ197" i="1"/>
  <c r="BK193" i="1"/>
  <c r="BH193" i="1"/>
  <c r="BL193" i="1"/>
  <c r="BI193" i="1"/>
  <c r="BJ193" i="1"/>
  <c r="BI188" i="1"/>
  <c r="BJ188" i="1"/>
  <c r="BK188" i="1"/>
  <c r="BL188" i="1"/>
  <c r="BH188" i="1"/>
  <c r="BJ184" i="1"/>
  <c r="BK184" i="1"/>
  <c r="BH184" i="1"/>
  <c r="BL184" i="1"/>
  <c r="BI184" i="1"/>
  <c r="BK181" i="1"/>
  <c r="BH181" i="1"/>
  <c r="BL181" i="1"/>
  <c r="BI181" i="1"/>
  <c r="BJ181" i="1"/>
  <c r="BJ125" i="1"/>
  <c r="BK125" i="1"/>
  <c r="BI125" i="1"/>
  <c r="BK299" i="1"/>
  <c r="BH299" i="1"/>
  <c r="BL299" i="1"/>
  <c r="BI299" i="1"/>
  <c r="BJ299" i="1"/>
  <c r="BJ286" i="1"/>
  <c r="BK286" i="1"/>
  <c r="BH286" i="1"/>
  <c r="BL286" i="1"/>
  <c r="BI286" i="1"/>
  <c r="BI275" i="1"/>
  <c r="BJ275" i="1"/>
  <c r="BK275" i="1"/>
  <c r="BH275" i="1"/>
  <c r="BL275" i="1"/>
  <c r="BK269" i="1"/>
  <c r="BH269" i="1"/>
  <c r="BL269" i="1"/>
  <c r="BI269" i="1"/>
  <c r="BJ269" i="1"/>
  <c r="BH265" i="1"/>
  <c r="BL265" i="1"/>
  <c r="BI265" i="1"/>
  <c r="BJ265" i="1"/>
  <c r="BK265" i="1"/>
  <c r="BI254" i="1"/>
  <c r="BJ254" i="1"/>
  <c r="BK254" i="1"/>
  <c r="BH254" i="1"/>
  <c r="BL254" i="1"/>
  <c r="BK248" i="1"/>
  <c r="BH248" i="1"/>
  <c r="BL248" i="1"/>
  <c r="BI248" i="1"/>
  <c r="BJ248" i="1"/>
  <c r="BI242" i="1"/>
  <c r="BJ242" i="1"/>
  <c r="BK242" i="1"/>
  <c r="BH242" i="1"/>
  <c r="BL242" i="1"/>
  <c r="BJ237" i="1"/>
  <c r="BK237" i="1"/>
  <c r="BL237" i="1"/>
  <c r="BH237" i="1"/>
  <c r="BI237" i="1"/>
  <c r="BJ229" i="1"/>
  <c r="BK229" i="1"/>
  <c r="BL229" i="1"/>
  <c r="BH229" i="1"/>
  <c r="BI229" i="1"/>
  <c r="BI220" i="1"/>
  <c r="BJ220" i="1"/>
  <c r="BH220" i="1"/>
  <c r="BK220" i="1"/>
  <c r="BL220" i="1"/>
  <c r="BH216" i="1"/>
  <c r="BL216" i="1"/>
  <c r="BI216" i="1"/>
  <c r="BJ216" i="1"/>
  <c r="BK216" i="1"/>
  <c r="BH212" i="1"/>
  <c r="BL212" i="1"/>
  <c r="BI212" i="1"/>
  <c r="BJ212" i="1"/>
  <c r="BK212" i="1"/>
  <c r="BH209" i="1"/>
  <c r="BL209" i="1"/>
  <c r="BI209" i="1"/>
  <c r="BJ209" i="1"/>
  <c r="BK209" i="1"/>
  <c r="BI205" i="1"/>
  <c r="BJ205" i="1"/>
  <c r="BK205" i="1"/>
  <c r="BH205" i="1"/>
  <c r="BL205" i="1"/>
  <c r="BH200" i="1"/>
  <c r="BL200" i="1"/>
  <c r="BI200" i="1"/>
  <c r="BJ200" i="1"/>
  <c r="BK200" i="1"/>
  <c r="BH196" i="1"/>
  <c r="BL196" i="1"/>
  <c r="BI196" i="1"/>
  <c r="BJ196" i="1"/>
  <c r="BK196" i="1"/>
  <c r="BJ192" i="1"/>
  <c r="BK192" i="1"/>
  <c r="BH192" i="1"/>
  <c r="BL192" i="1"/>
  <c r="BI192" i="1"/>
  <c r="BK187" i="1"/>
  <c r="BH187" i="1"/>
  <c r="BL187" i="1"/>
  <c r="BI187" i="1"/>
  <c r="BJ187" i="1"/>
  <c r="BH183" i="1"/>
  <c r="BL183" i="1"/>
  <c r="BI183" i="1"/>
  <c r="BJ183" i="1"/>
  <c r="BK183" i="1"/>
  <c r="BH180" i="1"/>
  <c r="BL180" i="1"/>
  <c r="BI180" i="1"/>
  <c r="BJ180" i="1"/>
  <c r="BK180" i="1"/>
  <c r="BJ165" i="1"/>
  <c r="BK165" i="1"/>
  <c r="BH165" i="1"/>
  <c r="BL165" i="1"/>
  <c r="BI165" i="1"/>
  <c r="BI108" i="1"/>
  <c r="BJ108" i="1"/>
  <c r="BK108" i="1"/>
  <c r="BH108" i="1"/>
  <c r="BL108" i="1"/>
  <c r="F176" i="40"/>
  <c r="K17" i="40" s="1"/>
  <c r="L17" i="40" s="1"/>
  <c r="BM125" i="1" l="1"/>
  <c r="BM365" i="1"/>
  <c r="BL125" i="1"/>
  <c r="BM364" i="1"/>
  <c r="BG361" i="1"/>
  <c r="BH361" i="1"/>
  <c r="BI361" i="1"/>
  <c r="BJ361" i="1"/>
  <c r="BK361" i="1"/>
  <c r="BL361" i="1"/>
  <c r="BM361" i="1"/>
  <c r="BG369" i="1"/>
  <c r="BG79" i="1"/>
  <c r="BH369" i="1"/>
  <c r="BH79" i="1"/>
  <c r="BI369" i="1"/>
  <c r="BI79" i="1"/>
  <c r="BJ369" i="1"/>
  <c r="BJ79" i="1"/>
  <c r="BK369" i="1"/>
  <c r="BK79" i="1"/>
  <c r="BL369" i="1"/>
  <c r="BL79" i="1"/>
  <c r="BG372" i="1"/>
  <c r="BH372" i="1"/>
  <c r="BI372" i="1"/>
  <c r="BJ372" i="1"/>
  <c r="BK372" i="1"/>
  <c r="BL372" i="1"/>
  <c r="BM79" i="1"/>
  <c r="BG50" i="1"/>
  <c r="BG371" i="1"/>
  <c r="BH50" i="1"/>
  <c r="BH371" i="1"/>
  <c r="BI50" i="1"/>
  <c r="BI371" i="1"/>
  <c r="BJ50" i="1"/>
  <c r="BJ371" i="1"/>
  <c r="BK50" i="1"/>
  <c r="BK371" i="1"/>
  <c r="BL50" i="1"/>
  <c r="BL371" i="1"/>
  <c r="BG106" i="1"/>
  <c r="BH106" i="1"/>
  <c r="BI106" i="1"/>
  <c r="BJ106" i="1"/>
  <c r="BK106" i="1"/>
  <c r="BL106" i="1"/>
  <c r="BM369" i="1"/>
  <c r="BM372" i="1"/>
  <c r="BM50" i="1"/>
  <c r="BG360" i="1"/>
  <c r="BK360" i="1"/>
  <c r="BH360" i="1"/>
  <c r="BL360" i="1"/>
  <c r="BM360" i="1"/>
  <c r="BJ360" i="1"/>
  <c r="BI360" i="1"/>
  <c r="BI367" i="1"/>
  <c r="BM367" i="1"/>
  <c r="BJ367" i="1"/>
  <c r="BG366" i="1"/>
  <c r="BK366" i="1"/>
  <c r="BH366" i="1"/>
  <c r="BG367" i="1"/>
  <c r="BK367" i="1"/>
  <c r="BL366" i="1"/>
  <c r="BH367" i="1"/>
  <c r="BL367" i="1"/>
  <c r="BI366" i="1"/>
  <c r="BM366" i="1"/>
  <c r="BJ366" i="1"/>
  <c r="K18" i="40"/>
  <c r="L18" i="40" s="1"/>
  <c r="L7" i="40"/>
  <c r="BG337" i="1"/>
  <c r="BG306" i="1"/>
  <c r="BG230" i="1"/>
  <c r="BG329" i="1"/>
  <c r="BG303" i="1"/>
  <c r="BG344" i="1"/>
  <c r="BG107" i="1"/>
  <c r="BG343" i="1"/>
  <c r="BG122" i="1"/>
  <c r="BG336" i="1"/>
  <c r="BG347" i="1"/>
  <c r="BG226" i="1"/>
  <c r="BG283" i="1"/>
  <c r="BG348" i="1"/>
  <c r="BG339" i="1"/>
  <c r="BG47" i="1"/>
  <c r="BG345" i="1"/>
  <c r="BG159" i="1"/>
  <c r="BG54" i="1"/>
  <c r="BG145" i="1"/>
  <c r="BG282" i="1"/>
  <c r="BG257" i="1"/>
  <c r="BG139" i="1"/>
  <c r="BG45" i="1"/>
  <c r="BG52" i="1"/>
  <c r="BG33" i="1"/>
  <c r="BG123" i="1"/>
  <c r="BG341" i="1"/>
  <c r="BG244" i="1"/>
  <c r="BG338" i="1"/>
  <c r="BG117" i="1"/>
  <c r="BG61" i="1"/>
  <c r="BG346" i="1"/>
  <c r="BG349" i="1"/>
  <c r="BG140" i="1"/>
  <c r="BG76" i="1"/>
  <c r="BG310" i="1"/>
  <c r="BH347" i="1"/>
  <c r="BI347" i="1"/>
  <c r="BJ347" i="1"/>
  <c r="BK347" i="1"/>
  <c r="BM347" i="1"/>
  <c r="BL347" i="1"/>
  <c r="BG260" i="1"/>
  <c r="BG135" i="1"/>
  <c r="BG136" i="1"/>
  <c r="BG111" i="1"/>
  <c r="BG317" i="1"/>
  <c r="BG288" i="1"/>
  <c r="BG261" i="1"/>
  <c r="BG77" i="1"/>
  <c r="BG172" i="1"/>
  <c r="BG118" i="1"/>
  <c r="BG119" i="1"/>
  <c r="BG112" i="1"/>
  <c r="BG313" i="1"/>
  <c r="BG330" i="1"/>
  <c r="BG314" i="1"/>
  <c r="BG121" i="1"/>
  <c r="BG170" i="1"/>
  <c r="BG97" i="1"/>
  <c r="BG262" i="1"/>
  <c r="BG176" i="1"/>
  <c r="BG105" i="1"/>
  <c r="BG70" i="1"/>
  <c r="BG120" i="1"/>
  <c r="BG98" i="1"/>
  <c r="BG171" i="1"/>
  <c r="BG150" i="1"/>
  <c r="BG131" i="1"/>
  <c r="BG85" i="1"/>
  <c r="BG268" i="1"/>
  <c r="BG243" i="1"/>
  <c r="BG169" i="1"/>
  <c r="BG144" i="1"/>
  <c r="BG327" i="1"/>
  <c r="BG304" i="1"/>
  <c r="BG156" i="1"/>
  <c r="BG149" i="1"/>
  <c r="BG90" i="1"/>
  <c r="BG164" i="1"/>
  <c r="BG155" i="1"/>
  <c r="BG49" i="1"/>
  <c r="BG55" i="1"/>
  <c r="BG160" i="1"/>
  <c r="BG324" i="1"/>
  <c r="BG227" i="1"/>
  <c r="BG99" i="1"/>
  <c r="BG147" i="1"/>
  <c r="BG96" i="1"/>
  <c r="BG59" i="1"/>
  <c r="BG56" i="1"/>
  <c r="BG173" i="1"/>
  <c r="BG103" i="1"/>
  <c r="BG35" i="1"/>
  <c r="BG133" i="1"/>
  <c r="BG69" i="1"/>
  <c r="BG342" i="1"/>
  <c r="BG335" i="1"/>
  <c r="BG94" i="1"/>
  <c r="BG31" i="1"/>
  <c r="BG350" i="1"/>
  <c r="BG162" i="1"/>
  <c r="BG81" i="1"/>
  <c r="BG57" i="1"/>
  <c r="BG353" i="1"/>
  <c r="BG351" i="1"/>
  <c r="BG308" i="1"/>
  <c r="BG40" i="1"/>
  <c r="BG305" i="1"/>
  <c r="BG113" i="1"/>
  <c r="BG95" i="1"/>
  <c r="BG84" i="1"/>
  <c r="BG30" i="1"/>
  <c r="BG352" i="1"/>
  <c r="BG307" i="1"/>
  <c r="BG38" i="1"/>
  <c r="BG126" i="1"/>
  <c r="BG32" i="1"/>
  <c r="BG175" i="1"/>
  <c r="BG148" i="1"/>
  <c r="BG138" i="1"/>
  <c r="BG340" i="1"/>
  <c r="BG124" i="1"/>
  <c r="BH351" i="1"/>
  <c r="BH352" i="1"/>
  <c r="BH353" i="1"/>
  <c r="BH350" i="1"/>
  <c r="BI352" i="1"/>
  <c r="BI351" i="1"/>
  <c r="BI353" i="1"/>
  <c r="BI350" i="1"/>
  <c r="BJ350" i="1"/>
  <c r="BJ353" i="1"/>
  <c r="BJ352" i="1"/>
  <c r="BJ351" i="1"/>
  <c r="BK351" i="1"/>
  <c r="BK353" i="1"/>
  <c r="BK350" i="1"/>
  <c r="BK352" i="1"/>
  <c r="BL350" i="1"/>
  <c r="BL351" i="1"/>
  <c r="BL352" i="1"/>
  <c r="BL353" i="1"/>
  <c r="BM351" i="1"/>
  <c r="BM353" i="1"/>
  <c r="BM350" i="1"/>
  <c r="BM352" i="1"/>
  <c r="BG280" i="1"/>
  <c r="BG46" i="1"/>
  <c r="BG158" i="1"/>
  <c r="BG28" i="1"/>
  <c r="BG74" i="1"/>
  <c r="BG71" i="1"/>
  <c r="BG73" i="1"/>
  <c r="BG75" i="1"/>
  <c r="BG72" i="1"/>
  <c r="BG233" i="1"/>
  <c r="BG109" i="1"/>
  <c r="BG83" i="1"/>
  <c r="BG258" i="1"/>
  <c r="BG62" i="1"/>
  <c r="BG51" i="1"/>
  <c r="BG102" i="1"/>
  <c r="BG67" i="1"/>
  <c r="BG201" i="1"/>
  <c r="BG239" i="1"/>
  <c r="BG128" i="1"/>
  <c r="BG236" i="1"/>
  <c r="BG190" i="1"/>
  <c r="BG166" i="1"/>
  <c r="BG88" i="1"/>
  <c r="BG48" i="1"/>
  <c r="BG100" i="1"/>
  <c r="BG238" i="1"/>
  <c r="BG287" i="1"/>
  <c r="BG281" i="1"/>
  <c r="BG228" i="1"/>
  <c r="BG104" i="1"/>
  <c r="BG130" i="1"/>
  <c r="BG92" i="1"/>
  <c r="BG87" i="1"/>
  <c r="BG168" i="1"/>
  <c r="BG143" i="1"/>
  <c r="BG68" i="1"/>
  <c r="BG65" i="1"/>
  <c r="BG153" i="1"/>
  <c r="BG89" i="1"/>
  <c r="BG58" i="1"/>
  <c r="BG101" i="1"/>
  <c r="BG167" i="1"/>
  <c r="BG177" i="1"/>
  <c r="BG43" i="1"/>
  <c r="BG129" i="1"/>
  <c r="BG234" i="1"/>
  <c r="BG42" i="1"/>
  <c r="BG127" i="1"/>
  <c r="BG82" i="1"/>
  <c r="BG64" i="1"/>
  <c r="BG331" i="1"/>
  <c r="BG174" i="1"/>
  <c r="BG312" i="1"/>
  <c r="BG151" i="1"/>
  <c r="BG132" i="1"/>
  <c r="BG328" i="1"/>
  <c r="BG225" i="1"/>
  <c r="BG323" i="1"/>
  <c r="BM151" i="1"/>
  <c r="BM132" i="1"/>
  <c r="BM174" i="1"/>
  <c r="BM312" i="1"/>
  <c r="BM339" i="1"/>
  <c r="BM158" i="1"/>
  <c r="BM28" i="1"/>
  <c r="BM46" i="1"/>
  <c r="BM280" i="1"/>
  <c r="BM71" i="1"/>
  <c r="BM74" i="1"/>
  <c r="BM75" i="1"/>
  <c r="BM72" i="1"/>
  <c r="BM336" i="1"/>
  <c r="BM73" i="1"/>
  <c r="BM328" i="1"/>
  <c r="BM323" i="1"/>
  <c r="BM324" i="1"/>
  <c r="BM331" i="1"/>
  <c r="BM330" i="1"/>
  <c r="BM225" i="1"/>
  <c r="BM51" i="1"/>
  <c r="BM88" i="1"/>
  <c r="BM104" i="1"/>
  <c r="BM166" i="1"/>
  <c r="BM67" i="1"/>
  <c r="BM100" i="1"/>
  <c r="BM62" i="1"/>
  <c r="BM102" i="1"/>
  <c r="BM130" i="1"/>
  <c r="BM64" i="1"/>
  <c r="BM68" i="1"/>
  <c r="BM127" i="1"/>
  <c r="BM65" i="1"/>
  <c r="BM128" i="1"/>
  <c r="BM233" i="1"/>
  <c r="BM42" i="1"/>
  <c r="BM152" i="1"/>
  <c r="BM143" i="1"/>
  <c r="BM287" i="1"/>
  <c r="BM58" i="1"/>
  <c r="BM87" i="1"/>
  <c r="BM43" i="1"/>
  <c r="BM153" i="1"/>
  <c r="BM239" i="1"/>
  <c r="BM234" i="1"/>
  <c r="BM236" i="1"/>
  <c r="BM109" i="1"/>
  <c r="BM48" i="1"/>
  <c r="BM238" i="1"/>
  <c r="BM258" i="1"/>
  <c r="BM83" i="1"/>
  <c r="BM177" i="1"/>
  <c r="BM101" i="1"/>
  <c r="BM129" i="1"/>
  <c r="BM82" i="1"/>
  <c r="BM190" i="1"/>
  <c r="BM201" i="1"/>
  <c r="BM168" i="1"/>
  <c r="BM228" i="1"/>
  <c r="BM281" i="1"/>
  <c r="BM92" i="1"/>
  <c r="BM167" i="1"/>
  <c r="BM89" i="1"/>
  <c r="BM76" i="1"/>
  <c r="BM123" i="1"/>
  <c r="BM122" i="1"/>
  <c r="BM257" i="1"/>
  <c r="BM309" i="1"/>
  <c r="BM140" i="1"/>
  <c r="BM52" i="1"/>
  <c r="BM145" i="1"/>
  <c r="BM33" i="1"/>
  <c r="BM117" i="1"/>
  <c r="BM47" i="1"/>
  <c r="BM310" i="1"/>
  <c r="BM244" i="1"/>
  <c r="BM283" i="1"/>
  <c r="BM343" i="1"/>
  <c r="BM346" i="1"/>
  <c r="BM303" i="1"/>
  <c r="BM344" i="1"/>
  <c r="BM345" i="1"/>
  <c r="BM301" i="1"/>
  <c r="BM159" i="1"/>
  <c r="BM139" i="1"/>
  <c r="BM337" i="1"/>
  <c r="BM306" i="1"/>
  <c r="BM45" i="1"/>
  <c r="BM226" i="1"/>
  <c r="BM54" i="1"/>
  <c r="BM107" i="1"/>
  <c r="BM230" i="1"/>
  <c r="BM282" i="1"/>
  <c r="BM61" i="1"/>
  <c r="BM338" i="1"/>
  <c r="BM118" i="1"/>
  <c r="BM98" i="1"/>
  <c r="BM136" i="1"/>
  <c r="BM70" i="1"/>
  <c r="BM112" i="1"/>
  <c r="BM150" i="1"/>
  <c r="BM172" i="1"/>
  <c r="BM105" i="1"/>
  <c r="BM119" i="1"/>
  <c r="BM131" i="1"/>
  <c r="BM260" i="1"/>
  <c r="BM313" i="1"/>
  <c r="BM97" i="1"/>
  <c r="BM121" i="1"/>
  <c r="BM170" i="1"/>
  <c r="BM77" i="1"/>
  <c r="BM261" i="1"/>
  <c r="BM288" i="1"/>
  <c r="BM314" i="1"/>
  <c r="BM171" i="1"/>
  <c r="BM176" i="1"/>
  <c r="BM120" i="1"/>
  <c r="BM317" i="1"/>
  <c r="BM262" i="1"/>
  <c r="BM135" i="1"/>
  <c r="BM111" i="1"/>
  <c r="BM56" i="1"/>
  <c r="BM59" i="1"/>
  <c r="BM96" i="1"/>
  <c r="BM126" i="1"/>
  <c r="BM155" i="1"/>
  <c r="BM138" i="1"/>
  <c r="BM148" i="1"/>
  <c r="BM85" i="1"/>
  <c r="BM169" i="1"/>
  <c r="BM305" i="1"/>
  <c r="BM103" i="1"/>
  <c r="BM160" i="1"/>
  <c r="BM90" i="1"/>
  <c r="BM147" i="1"/>
  <c r="BM32" i="1"/>
  <c r="BM49" i="1"/>
  <c r="BM164" i="1"/>
  <c r="BM30" i="1"/>
  <c r="BM40" i="1"/>
  <c r="BM84" i="1"/>
  <c r="BM149" i="1"/>
  <c r="BM81" i="1"/>
  <c r="BM95" i="1"/>
  <c r="BM69" i="1"/>
  <c r="BM31" i="1"/>
  <c r="BM94" i="1"/>
  <c r="BM57" i="1"/>
  <c r="BM162" i="1"/>
  <c r="BM113" i="1"/>
  <c r="BM307" i="1"/>
  <c r="BM124" i="1"/>
  <c r="BM304" i="1"/>
  <c r="BM327" i="1"/>
  <c r="BM268" i="1"/>
  <c r="BM38" i="1"/>
  <c r="BM133" i="1"/>
  <c r="BM173" i="1"/>
  <c r="BM99" i="1"/>
  <c r="BM308" i="1"/>
  <c r="BM342" i="1"/>
  <c r="BM243" i="1"/>
  <c r="BM175" i="1"/>
  <c r="BM144" i="1"/>
  <c r="BM335" i="1"/>
  <c r="BM55" i="1"/>
  <c r="BM340" i="1"/>
  <c r="BM341" i="1"/>
  <c r="BM156" i="1"/>
  <c r="BM35" i="1"/>
  <c r="BM227" i="1"/>
  <c r="BI71" i="1"/>
  <c r="BJ72" i="1"/>
  <c r="BI73" i="1"/>
  <c r="BH74" i="1"/>
  <c r="BL74" i="1"/>
  <c r="BK75" i="1"/>
  <c r="BJ71" i="1"/>
  <c r="BK72" i="1"/>
  <c r="BJ73" i="1"/>
  <c r="BI74" i="1"/>
  <c r="BH75" i="1"/>
  <c r="BL75" i="1"/>
  <c r="BK71" i="1"/>
  <c r="BH72" i="1"/>
  <c r="BL72" i="1"/>
  <c r="BK73" i="1"/>
  <c r="BJ74" i="1"/>
  <c r="BI75" i="1"/>
  <c r="BH71" i="1"/>
  <c r="BI72" i="1"/>
  <c r="BJ75" i="1"/>
  <c r="BL71" i="1"/>
  <c r="BH73" i="1"/>
  <c r="BL73" i="1"/>
  <c r="BK74" i="1"/>
  <c r="BH336" i="1"/>
  <c r="BL336" i="1"/>
  <c r="BI336" i="1"/>
  <c r="BJ336" i="1"/>
  <c r="BK336" i="1"/>
  <c r="BK42" i="1"/>
  <c r="BJ43" i="1"/>
  <c r="BH48" i="1"/>
  <c r="BL48" i="1"/>
  <c r="BH42" i="1"/>
  <c r="BL42" i="1"/>
  <c r="BK43" i="1"/>
  <c r="BI48" i="1"/>
  <c r="BI42" i="1"/>
  <c r="BH43" i="1"/>
  <c r="BL43" i="1"/>
  <c r="BJ48" i="1"/>
  <c r="BK48" i="1"/>
  <c r="BI51" i="1"/>
  <c r="BJ58" i="1"/>
  <c r="BI62" i="1"/>
  <c r="BK64" i="1"/>
  <c r="BJ65" i="1"/>
  <c r="BJ51" i="1"/>
  <c r="BK58" i="1"/>
  <c r="BJ62" i="1"/>
  <c r="BH64" i="1"/>
  <c r="BL64" i="1"/>
  <c r="BK65" i="1"/>
  <c r="BJ42" i="1"/>
  <c r="BK51" i="1"/>
  <c r="BH58" i="1"/>
  <c r="BL58" i="1"/>
  <c r="BK62" i="1"/>
  <c r="BI64" i="1"/>
  <c r="BH65" i="1"/>
  <c r="BL65" i="1"/>
  <c r="BI43" i="1"/>
  <c r="BI58" i="1"/>
  <c r="BK67" i="1"/>
  <c r="BJ68" i="1"/>
  <c r="BJ82" i="1"/>
  <c r="BI83" i="1"/>
  <c r="BI87" i="1"/>
  <c r="BH88" i="1"/>
  <c r="BL88" i="1"/>
  <c r="BJ89" i="1"/>
  <c r="BH51" i="1"/>
  <c r="BH67" i="1"/>
  <c r="BL67" i="1"/>
  <c r="BK68" i="1"/>
  <c r="BK82" i="1"/>
  <c r="BJ83" i="1"/>
  <c r="BJ87" i="1"/>
  <c r="BI88" i="1"/>
  <c r="BK89" i="1"/>
  <c r="BL51" i="1"/>
  <c r="BH62" i="1"/>
  <c r="BJ64" i="1"/>
  <c r="BI67" i="1"/>
  <c r="BH68" i="1"/>
  <c r="BL68" i="1"/>
  <c r="BH82" i="1"/>
  <c r="BL82" i="1"/>
  <c r="BK83" i="1"/>
  <c r="BK87" i="1"/>
  <c r="BJ88" i="1"/>
  <c r="BH89" i="1"/>
  <c r="BL89" i="1"/>
  <c r="BL62" i="1"/>
  <c r="BI82" i="1"/>
  <c r="BH87" i="1"/>
  <c r="BI89" i="1"/>
  <c r="BK92" i="1"/>
  <c r="BI100" i="1"/>
  <c r="BJ101" i="1"/>
  <c r="BI102" i="1"/>
  <c r="BJ104" i="1"/>
  <c r="BK109" i="1"/>
  <c r="BH127" i="1"/>
  <c r="BL127" i="1"/>
  <c r="BK128" i="1"/>
  <c r="BJ129" i="1"/>
  <c r="BI130" i="1"/>
  <c r="BH143" i="1"/>
  <c r="BL143" i="1"/>
  <c r="BJ67" i="1"/>
  <c r="BH83" i="1"/>
  <c r="BL87" i="1"/>
  <c r="BH92" i="1"/>
  <c r="BL92" i="1"/>
  <c r="BJ100" i="1"/>
  <c r="BK101" i="1"/>
  <c r="BJ102" i="1"/>
  <c r="BK104" i="1"/>
  <c r="BH109" i="1"/>
  <c r="BL109" i="1"/>
  <c r="BI127" i="1"/>
  <c r="BH128" i="1"/>
  <c r="BL128" i="1"/>
  <c r="BK129" i="1"/>
  <c r="BJ130" i="1"/>
  <c r="BI143" i="1"/>
  <c r="BI65" i="1"/>
  <c r="BI68" i="1"/>
  <c r="BL83" i="1"/>
  <c r="BK88" i="1"/>
  <c r="BI92" i="1"/>
  <c r="BK100" i="1"/>
  <c r="BH101" i="1"/>
  <c r="BL101" i="1"/>
  <c r="BK102" i="1"/>
  <c r="BH104" i="1"/>
  <c r="BL104" i="1"/>
  <c r="BI109" i="1"/>
  <c r="BJ127" i="1"/>
  <c r="BI128" i="1"/>
  <c r="BH129" i="1"/>
  <c r="BL129" i="1"/>
  <c r="BK130" i="1"/>
  <c r="BJ143" i="1"/>
  <c r="BJ128" i="1"/>
  <c r="BK143" i="1"/>
  <c r="BK153" i="1"/>
  <c r="BI166" i="1"/>
  <c r="BH167" i="1"/>
  <c r="BL167" i="1"/>
  <c r="BK168" i="1"/>
  <c r="BK177" i="1"/>
  <c r="BI190" i="1"/>
  <c r="BH100" i="1"/>
  <c r="BI101" i="1"/>
  <c r="BI129" i="1"/>
  <c r="BH153" i="1"/>
  <c r="BL153" i="1"/>
  <c r="BJ166" i="1"/>
  <c r="BI167" i="1"/>
  <c r="BH168" i="1"/>
  <c r="BL168" i="1"/>
  <c r="BH177" i="1"/>
  <c r="BL177" i="1"/>
  <c r="BL100" i="1"/>
  <c r="BH102" i="1"/>
  <c r="BI104" i="1"/>
  <c r="BH130" i="1"/>
  <c r="BI153" i="1"/>
  <c r="BK166" i="1"/>
  <c r="BJ167" i="1"/>
  <c r="BI168" i="1"/>
  <c r="BI177" i="1"/>
  <c r="BK190" i="1"/>
  <c r="BL102" i="1"/>
  <c r="BH166" i="1"/>
  <c r="BJ190" i="1"/>
  <c r="BK201" i="1"/>
  <c r="BK228" i="1"/>
  <c r="BJ233" i="1"/>
  <c r="BI234" i="1"/>
  <c r="BK236" i="1"/>
  <c r="BI238" i="1"/>
  <c r="BJ92" i="1"/>
  <c r="BL166" i="1"/>
  <c r="BL190" i="1"/>
  <c r="BH201" i="1"/>
  <c r="BL201" i="1"/>
  <c r="BH228" i="1"/>
  <c r="BL228" i="1"/>
  <c r="BK233" i="1"/>
  <c r="BJ234" i="1"/>
  <c r="BH236" i="1"/>
  <c r="BL236" i="1"/>
  <c r="BJ238" i="1"/>
  <c r="BK127" i="1"/>
  <c r="BK167" i="1"/>
  <c r="BI201" i="1"/>
  <c r="BJ109" i="1"/>
  <c r="BL130" i="1"/>
  <c r="BJ153" i="1"/>
  <c r="BJ168" i="1"/>
  <c r="BJ177" i="1"/>
  <c r="BH190" i="1"/>
  <c r="BJ201" i="1"/>
  <c r="BI228" i="1"/>
  <c r="BH233" i="1"/>
  <c r="BK234" i="1"/>
  <c r="BI236" i="1"/>
  <c r="BI239" i="1"/>
  <c r="BK258" i="1"/>
  <c r="BJ281" i="1"/>
  <c r="BI287" i="1"/>
  <c r="BJ228" i="1"/>
  <c r="BI233" i="1"/>
  <c r="BL234" i="1"/>
  <c r="BJ236" i="1"/>
  <c r="BH238" i="1"/>
  <c r="BJ239" i="1"/>
  <c r="BH258" i="1"/>
  <c r="BL258" i="1"/>
  <c r="BK281" i="1"/>
  <c r="BJ287" i="1"/>
  <c r="BL233" i="1"/>
  <c r="BK238" i="1"/>
  <c r="BK239" i="1"/>
  <c r="BI258" i="1"/>
  <c r="BH281" i="1"/>
  <c r="BL281" i="1"/>
  <c r="BK287" i="1"/>
  <c r="BH234" i="1"/>
  <c r="BL238" i="1"/>
  <c r="BH239" i="1"/>
  <c r="BL239" i="1"/>
  <c r="BJ258" i="1"/>
  <c r="BI281" i="1"/>
  <c r="BH287" i="1"/>
  <c r="BL287" i="1"/>
  <c r="BJ33" i="1"/>
  <c r="BI45" i="1"/>
  <c r="BI47" i="1"/>
  <c r="BK33" i="1"/>
  <c r="BJ45" i="1"/>
  <c r="BJ47" i="1"/>
  <c r="BH33" i="1"/>
  <c r="BL33" i="1"/>
  <c r="BK45" i="1"/>
  <c r="BK47" i="1"/>
  <c r="BH52" i="1"/>
  <c r="BL52" i="1"/>
  <c r="BJ54" i="1"/>
  <c r="BK61" i="1"/>
  <c r="BH45" i="1"/>
  <c r="BI52" i="1"/>
  <c r="BK54" i="1"/>
  <c r="BH61" i="1"/>
  <c r="BL61" i="1"/>
  <c r="BI33" i="1"/>
  <c r="BL45" i="1"/>
  <c r="BH47" i="1"/>
  <c r="BJ52" i="1"/>
  <c r="BH54" i="1"/>
  <c r="BL54" i="1"/>
  <c r="BI61" i="1"/>
  <c r="BJ61" i="1"/>
  <c r="BJ76" i="1"/>
  <c r="BI54" i="1"/>
  <c r="BK76" i="1"/>
  <c r="BH76" i="1"/>
  <c r="BL76" i="1"/>
  <c r="BL47" i="1"/>
  <c r="BK107" i="1"/>
  <c r="BH117" i="1"/>
  <c r="BL117" i="1"/>
  <c r="BJ122" i="1"/>
  <c r="BH123" i="1"/>
  <c r="BL123" i="1"/>
  <c r="BK139" i="1"/>
  <c r="BJ140" i="1"/>
  <c r="BI145" i="1"/>
  <c r="BK52" i="1"/>
  <c r="BI76" i="1"/>
  <c r="BH107" i="1"/>
  <c r="BL107" i="1"/>
  <c r="BI117" i="1"/>
  <c r="BK122" i="1"/>
  <c r="BI123" i="1"/>
  <c r="BH139" i="1"/>
  <c r="BL139" i="1"/>
  <c r="BK140" i="1"/>
  <c r="BJ145" i="1"/>
  <c r="BI107" i="1"/>
  <c r="BJ117" i="1"/>
  <c r="BH122" i="1"/>
  <c r="BL122" i="1"/>
  <c r="BJ123" i="1"/>
  <c r="BI139" i="1"/>
  <c r="BH140" i="1"/>
  <c r="BL140" i="1"/>
  <c r="BK145" i="1"/>
  <c r="BK117" i="1"/>
  <c r="BI140" i="1"/>
  <c r="BL145" i="1"/>
  <c r="BJ159" i="1"/>
  <c r="BK159" i="1"/>
  <c r="BJ107" i="1"/>
  <c r="BK123" i="1"/>
  <c r="BH159" i="1"/>
  <c r="BL159" i="1"/>
  <c r="BI122" i="1"/>
  <c r="BI159" i="1"/>
  <c r="BI226" i="1"/>
  <c r="BI230" i="1"/>
  <c r="BJ226" i="1"/>
  <c r="BJ230" i="1"/>
  <c r="BH145" i="1"/>
  <c r="BJ139" i="1"/>
  <c r="BK226" i="1"/>
  <c r="BK244" i="1"/>
  <c r="BI257" i="1"/>
  <c r="BH282" i="1"/>
  <c r="BL282" i="1"/>
  <c r="BK283" i="1"/>
  <c r="BK303" i="1"/>
  <c r="BH306" i="1"/>
  <c r="BL306" i="1"/>
  <c r="BL226" i="1"/>
  <c r="BH230" i="1"/>
  <c r="BH244" i="1"/>
  <c r="BL244" i="1"/>
  <c r="BJ257" i="1"/>
  <c r="BI282" i="1"/>
  <c r="BH283" i="1"/>
  <c r="BL283" i="1"/>
  <c r="BH303" i="1"/>
  <c r="BL303" i="1"/>
  <c r="BI306" i="1"/>
  <c r="BK230" i="1"/>
  <c r="BI244" i="1"/>
  <c r="BK257" i="1"/>
  <c r="BJ282" i="1"/>
  <c r="BI283" i="1"/>
  <c r="BI303" i="1"/>
  <c r="BJ306" i="1"/>
  <c r="BH226" i="1"/>
  <c r="BL230" i="1"/>
  <c r="BJ244" i="1"/>
  <c r="BH257" i="1"/>
  <c r="BL257" i="1"/>
  <c r="BK282" i="1"/>
  <c r="BJ283" i="1"/>
  <c r="BJ303" i="1"/>
  <c r="BK306" i="1"/>
  <c r="BK337" i="1"/>
  <c r="BJ338" i="1"/>
  <c r="BI343" i="1"/>
  <c r="BH344" i="1"/>
  <c r="BL344" i="1"/>
  <c r="BK345" i="1"/>
  <c r="BJ346" i="1"/>
  <c r="BI310" i="1"/>
  <c r="BH337" i="1"/>
  <c r="BL337" i="1"/>
  <c r="BK338" i="1"/>
  <c r="BJ343" i="1"/>
  <c r="BI344" i="1"/>
  <c r="BH345" i="1"/>
  <c r="BL345" i="1"/>
  <c r="BK346" i="1"/>
  <c r="BL310" i="1"/>
  <c r="BH310" i="1"/>
  <c r="BI337" i="1"/>
  <c r="BH338" i="1"/>
  <c r="BL338" i="1"/>
  <c r="BK343" i="1"/>
  <c r="BJ344" i="1"/>
  <c r="BI345" i="1"/>
  <c r="BH346" i="1"/>
  <c r="BL346" i="1"/>
  <c r="BK310" i="1"/>
  <c r="BJ337" i="1"/>
  <c r="BI338" i="1"/>
  <c r="BH343" i="1"/>
  <c r="BL343" i="1"/>
  <c r="BK344" i="1"/>
  <c r="BJ345" i="1"/>
  <c r="BI346" i="1"/>
  <c r="BJ310" i="1"/>
  <c r="BJ225" i="1"/>
  <c r="BK225" i="1"/>
  <c r="BH225" i="1"/>
  <c r="BI323" i="1"/>
  <c r="BH324" i="1"/>
  <c r="BL324" i="1"/>
  <c r="BK328" i="1"/>
  <c r="BI330" i="1"/>
  <c r="BH331" i="1"/>
  <c r="BL331" i="1"/>
  <c r="BI225" i="1"/>
  <c r="BJ323" i="1"/>
  <c r="BI324" i="1"/>
  <c r="BH328" i="1"/>
  <c r="BL328" i="1"/>
  <c r="BJ330" i="1"/>
  <c r="BI331" i="1"/>
  <c r="BL225" i="1"/>
  <c r="BK323" i="1"/>
  <c r="BJ324" i="1"/>
  <c r="BI328" i="1"/>
  <c r="BK330" i="1"/>
  <c r="BJ331" i="1"/>
  <c r="BH323" i="1"/>
  <c r="BL323" i="1"/>
  <c r="BK324" i="1"/>
  <c r="BJ328" i="1"/>
  <c r="BH330" i="1"/>
  <c r="BL330" i="1"/>
  <c r="BK331" i="1"/>
  <c r="BK70" i="1"/>
  <c r="BI77" i="1"/>
  <c r="BH70" i="1"/>
  <c r="BL70" i="1"/>
  <c r="BJ77" i="1"/>
  <c r="BI70" i="1"/>
  <c r="BK77" i="1"/>
  <c r="BI97" i="1"/>
  <c r="BH98" i="1"/>
  <c r="BL98" i="1"/>
  <c r="BI105" i="1"/>
  <c r="BJ111" i="1"/>
  <c r="BI112" i="1"/>
  <c r="BJ118" i="1"/>
  <c r="BI119" i="1"/>
  <c r="BH120" i="1"/>
  <c r="BL120" i="1"/>
  <c r="BK121" i="1"/>
  <c r="BH131" i="1"/>
  <c r="BL131" i="1"/>
  <c r="BK135" i="1"/>
  <c r="BJ136" i="1"/>
  <c r="BJ97" i="1"/>
  <c r="BI98" i="1"/>
  <c r="BJ105" i="1"/>
  <c r="BK111" i="1"/>
  <c r="BJ112" i="1"/>
  <c r="BK118" i="1"/>
  <c r="BJ119" i="1"/>
  <c r="BI120" i="1"/>
  <c r="BH121" i="1"/>
  <c r="BL121" i="1"/>
  <c r="BI131" i="1"/>
  <c r="BH135" i="1"/>
  <c r="BL135" i="1"/>
  <c r="BK136" i="1"/>
  <c r="BJ70" i="1"/>
  <c r="BH77" i="1"/>
  <c r="BK97" i="1"/>
  <c r="BJ98" i="1"/>
  <c r="BK105" i="1"/>
  <c r="BH111" i="1"/>
  <c r="BL111" i="1"/>
  <c r="BK112" i="1"/>
  <c r="BH118" i="1"/>
  <c r="BL118" i="1"/>
  <c r="BK119" i="1"/>
  <c r="BJ120" i="1"/>
  <c r="BI121" i="1"/>
  <c r="BJ131" i="1"/>
  <c r="BI135" i="1"/>
  <c r="BH136" i="1"/>
  <c r="BL136" i="1"/>
  <c r="BJ150" i="1"/>
  <c r="BH97" i="1"/>
  <c r="BL105" i="1"/>
  <c r="BL119" i="1"/>
  <c r="BK131" i="1"/>
  <c r="BH150" i="1"/>
  <c r="BH170" i="1"/>
  <c r="BL170" i="1"/>
  <c r="BK171" i="1"/>
  <c r="BJ172" i="1"/>
  <c r="BH176" i="1"/>
  <c r="BL176" i="1"/>
  <c r="BL97" i="1"/>
  <c r="BI111" i="1"/>
  <c r="BK120" i="1"/>
  <c r="BI150" i="1"/>
  <c r="BI170" i="1"/>
  <c r="BH171" i="1"/>
  <c r="BL171" i="1"/>
  <c r="BK172" i="1"/>
  <c r="BI176" i="1"/>
  <c r="BK98" i="1"/>
  <c r="BH112" i="1"/>
  <c r="BI118" i="1"/>
  <c r="BJ121" i="1"/>
  <c r="BK150" i="1"/>
  <c r="BJ170" i="1"/>
  <c r="BI171" i="1"/>
  <c r="BH172" i="1"/>
  <c r="BL172" i="1"/>
  <c r="BJ176" i="1"/>
  <c r="BJ171" i="1"/>
  <c r="BH105" i="1"/>
  <c r="BL112" i="1"/>
  <c r="BI172" i="1"/>
  <c r="BL77" i="1"/>
  <c r="BJ135" i="1"/>
  <c r="BI136" i="1"/>
  <c r="BL150" i="1"/>
  <c r="BK176" i="1"/>
  <c r="BH119" i="1"/>
  <c r="BK170" i="1"/>
  <c r="BI260" i="1"/>
  <c r="BH261" i="1"/>
  <c r="BL261" i="1"/>
  <c r="BK262" i="1"/>
  <c r="BH288" i="1"/>
  <c r="BL288" i="1"/>
  <c r="BJ260" i="1"/>
  <c r="BI261" i="1"/>
  <c r="BH262" i="1"/>
  <c r="BL262" i="1"/>
  <c r="BI288" i="1"/>
  <c r="BK260" i="1"/>
  <c r="BJ261" i="1"/>
  <c r="BI262" i="1"/>
  <c r="BJ288" i="1"/>
  <c r="BH260" i="1"/>
  <c r="BL260" i="1"/>
  <c r="BK261" i="1"/>
  <c r="BJ262" i="1"/>
  <c r="BK288" i="1"/>
  <c r="BI313" i="1"/>
  <c r="BH314" i="1"/>
  <c r="BL314" i="1"/>
  <c r="BH317" i="1"/>
  <c r="BL317" i="1"/>
  <c r="BJ313" i="1"/>
  <c r="BI314" i="1"/>
  <c r="BI317" i="1"/>
  <c r="BK313" i="1"/>
  <c r="BJ314" i="1"/>
  <c r="BJ317" i="1"/>
  <c r="BH313" i="1"/>
  <c r="BL313" i="1"/>
  <c r="BK314" i="1"/>
  <c r="BK317" i="1"/>
  <c r="BJ30" i="1"/>
  <c r="BH31" i="1"/>
  <c r="BL31" i="1"/>
  <c r="BK32" i="1"/>
  <c r="BI35" i="1"/>
  <c r="BI38" i="1"/>
  <c r="BJ40" i="1"/>
  <c r="BK49" i="1"/>
  <c r="BK30" i="1"/>
  <c r="BI31" i="1"/>
  <c r="BH32" i="1"/>
  <c r="BL32" i="1"/>
  <c r="BJ35" i="1"/>
  <c r="BJ38" i="1"/>
  <c r="BK40" i="1"/>
  <c r="BH49" i="1"/>
  <c r="BL49" i="1"/>
  <c r="BH30" i="1"/>
  <c r="BL30" i="1"/>
  <c r="BJ31" i="1"/>
  <c r="BI32" i="1"/>
  <c r="BK35" i="1"/>
  <c r="BK38" i="1"/>
  <c r="BH40" i="1"/>
  <c r="BL40" i="1"/>
  <c r="BI49" i="1"/>
  <c r="BK31" i="1"/>
  <c r="BH35" i="1"/>
  <c r="BJ55" i="1"/>
  <c r="BI56" i="1"/>
  <c r="BH57" i="1"/>
  <c r="BL57" i="1"/>
  <c r="BI59" i="1"/>
  <c r="BI30" i="1"/>
  <c r="BJ32" i="1"/>
  <c r="BL35" i="1"/>
  <c r="BH38" i="1"/>
  <c r="BI40" i="1"/>
  <c r="BJ49" i="1"/>
  <c r="BK55" i="1"/>
  <c r="BJ56" i="1"/>
  <c r="BI57" i="1"/>
  <c r="BJ59" i="1"/>
  <c r="BL38" i="1"/>
  <c r="BH55" i="1"/>
  <c r="BL55" i="1"/>
  <c r="BK56" i="1"/>
  <c r="BJ57" i="1"/>
  <c r="BK59" i="1"/>
  <c r="BK57" i="1"/>
  <c r="BI69" i="1"/>
  <c r="BK81" i="1"/>
  <c r="BJ84" i="1"/>
  <c r="BI85" i="1"/>
  <c r="BH90" i="1"/>
  <c r="BL90" i="1"/>
  <c r="BH56" i="1"/>
  <c r="BH59" i="1"/>
  <c r="BJ69" i="1"/>
  <c r="BH81" i="1"/>
  <c r="BL81" i="1"/>
  <c r="BK84" i="1"/>
  <c r="BJ85" i="1"/>
  <c r="BI90" i="1"/>
  <c r="BI55" i="1"/>
  <c r="BL56" i="1"/>
  <c r="BL59" i="1"/>
  <c r="BK69" i="1"/>
  <c r="BI81" i="1"/>
  <c r="BH84" i="1"/>
  <c r="BL84" i="1"/>
  <c r="BK85" i="1"/>
  <c r="BJ90" i="1"/>
  <c r="BL69" i="1"/>
  <c r="BL85" i="1"/>
  <c r="BJ94" i="1"/>
  <c r="BH95" i="1"/>
  <c r="BL95" i="1"/>
  <c r="BJ96" i="1"/>
  <c r="BK99" i="1"/>
  <c r="BK103" i="1"/>
  <c r="BK113" i="1"/>
  <c r="BK124" i="1"/>
  <c r="BI126" i="1"/>
  <c r="BK133" i="1"/>
  <c r="BH138" i="1"/>
  <c r="BL138" i="1"/>
  <c r="BK144" i="1"/>
  <c r="BJ147" i="1"/>
  <c r="BH148" i="1"/>
  <c r="BL148" i="1"/>
  <c r="BJ149" i="1"/>
  <c r="BK94" i="1"/>
  <c r="BI95" i="1"/>
  <c r="BK96" i="1"/>
  <c r="BH99" i="1"/>
  <c r="BL99" i="1"/>
  <c r="BH103" i="1"/>
  <c r="BL103" i="1"/>
  <c r="BH113" i="1"/>
  <c r="BL113" i="1"/>
  <c r="BH124" i="1"/>
  <c r="BL124" i="1"/>
  <c r="BJ126" i="1"/>
  <c r="BH133" i="1"/>
  <c r="BL133" i="1"/>
  <c r="BI138" i="1"/>
  <c r="BH144" i="1"/>
  <c r="BL144" i="1"/>
  <c r="BK147" i="1"/>
  <c r="BI148" i="1"/>
  <c r="BK149" i="1"/>
  <c r="BI84" i="1"/>
  <c r="BH94" i="1"/>
  <c r="BL94" i="1"/>
  <c r="BJ95" i="1"/>
  <c r="BH96" i="1"/>
  <c r="BL96" i="1"/>
  <c r="BI99" i="1"/>
  <c r="BI103" i="1"/>
  <c r="BI113" i="1"/>
  <c r="BI124" i="1"/>
  <c r="BK126" i="1"/>
  <c r="BI133" i="1"/>
  <c r="BJ138" i="1"/>
  <c r="BI144" i="1"/>
  <c r="BH147" i="1"/>
  <c r="BL147" i="1"/>
  <c r="BJ148" i="1"/>
  <c r="BH149" i="1"/>
  <c r="BL149" i="1"/>
  <c r="BK90" i="1"/>
  <c r="BK95" i="1"/>
  <c r="BI149" i="1"/>
  <c r="BH155" i="1"/>
  <c r="BL155" i="1"/>
  <c r="BI156" i="1"/>
  <c r="BJ160" i="1"/>
  <c r="BH162" i="1"/>
  <c r="BL162" i="1"/>
  <c r="BH164" i="1"/>
  <c r="BL164" i="1"/>
  <c r="BJ169" i="1"/>
  <c r="BH173" i="1"/>
  <c r="BL173" i="1"/>
  <c r="BK175" i="1"/>
  <c r="BH85" i="1"/>
  <c r="BI94" i="1"/>
  <c r="BJ103" i="1"/>
  <c r="BJ113" i="1"/>
  <c r="BH126" i="1"/>
  <c r="BJ144" i="1"/>
  <c r="BI155" i="1"/>
  <c r="BJ156" i="1"/>
  <c r="BK160" i="1"/>
  <c r="BI162" i="1"/>
  <c r="BI164" i="1"/>
  <c r="BK169" i="1"/>
  <c r="BI173" i="1"/>
  <c r="BH175" i="1"/>
  <c r="BL175" i="1"/>
  <c r="BJ81" i="1"/>
  <c r="BI96" i="1"/>
  <c r="BL126" i="1"/>
  <c r="BJ133" i="1"/>
  <c r="BK138" i="1"/>
  <c r="BK148" i="1"/>
  <c r="BJ155" i="1"/>
  <c r="BK156" i="1"/>
  <c r="BH160" i="1"/>
  <c r="BL160" i="1"/>
  <c r="BJ162" i="1"/>
  <c r="BJ164" i="1"/>
  <c r="BH169" i="1"/>
  <c r="BL169" i="1"/>
  <c r="BJ173" i="1"/>
  <c r="BI175" i="1"/>
  <c r="BK155" i="1"/>
  <c r="BL156" i="1"/>
  <c r="BI169" i="1"/>
  <c r="BK173" i="1"/>
  <c r="BH227" i="1"/>
  <c r="BL227" i="1"/>
  <c r="BH69" i="1"/>
  <c r="BJ124" i="1"/>
  <c r="BK164" i="1"/>
  <c r="BI227" i="1"/>
  <c r="BJ99" i="1"/>
  <c r="BJ175" i="1"/>
  <c r="BI147" i="1"/>
  <c r="BH156" i="1"/>
  <c r="BI160" i="1"/>
  <c r="BK162" i="1"/>
  <c r="BH243" i="1"/>
  <c r="BL243" i="1"/>
  <c r="BH268" i="1"/>
  <c r="BL268" i="1"/>
  <c r="BJ304" i="1"/>
  <c r="BI305" i="1"/>
  <c r="BK307" i="1"/>
  <c r="BJ308" i="1"/>
  <c r="BH327" i="1"/>
  <c r="BL327" i="1"/>
  <c r="BI243" i="1"/>
  <c r="BI268" i="1"/>
  <c r="BK304" i="1"/>
  <c r="BJ305" i="1"/>
  <c r="BH307" i="1"/>
  <c r="BL307" i="1"/>
  <c r="BK308" i="1"/>
  <c r="BI327" i="1"/>
  <c r="BJ227" i="1"/>
  <c r="BJ243" i="1"/>
  <c r="BJ268" i="1"/>
  <c r="BH304" i="1"/>
  <c r="BL304" i="1"/>
  <c r="BK305" i="1"/>
  <c r="BI307" i="1"/>
  <c r="BH308" i="1"/>
  <c r="BL308" i="1"/>
  <c r="BJ327" i="1"/>
  <c r="BK227" i="1"/>
  <c r="BK243" i="1"/>
  <c r="BK268" i="1"/>
  <c r="BI304" i="1"/>
  <c r="BH305" i="1"/>
  <c r="BL305" i="1"/>
  <c r="BJ307" i="1"/>
  <c r="BI308" i="1"/>
  <c r="BK327" i="1"/>
  <c r="BI335" i="1"/>
  <c r="BH340" i="1"/>
  <c r="BL340" i="1"/>
  <c r="BK341" i="1"/>
  <c r="BJ342" i="1"/>
  <c r="BJ335" i="1"/>
  <c r="BI340" i="1"/>
  <c r="BH341" i="1"/>
  <c r="BL341" i="1"/>
  <c r="BK342" i="1"/>
  <c r="BK335" i="1"/>
  <c r="BJ340" i="1"/>
  <c r="BI341" i="1"/>
  <c r="BH342" i="1"/>
  <c r="BL342" i="1"/>
  <c r="BH335" i="1"/>
  <c r="BL335" i="1"/>
  <c r="BK340" i="1"/>
  <c r="BJ341" i="1"/>
  <c r="BI342" i="1"/>
  <c r="BK132" i="1"/>
  <c r="BH132" i="1"/>
  <c r="BL132" i="1"/>
  <c r="BI132" i="1"/>
  <c r="BI151" i="1"/>
  <c r="BH151" i="1"/>
  <c r="BH174" i="1"/>
  <c r="BL174" i="1"/>
  <c r="BJ132" i="1"/>
  <c r="BJ151" i="1"/>
  <c r="BI174" i="1"/>
  <c r="BK151" i="1"/>
  <c r="BJ174" i="1"/>
  <c r="BK174" i="1"/>
  <c r="BL151" i="1"/>
  <c r="BI339" i="1"/>
  <c r="BJ312" i="1"/>
  <c r="BJ339" i="1"/>
  <c r="BK312" i="1"/>
  <c r="BK339" i="1"/>
  <c r="BH312" i="1"/>
  <c r="BL312" i="1"/>
  <c r="BH339" i="1"/>
  <c r="BL339" i="1"/>
  <c r="BI312" i="1"/>
  <c r="BJ28" i="1"/>
  <c r="BH46" i="1"/>
  <c r="BL46" i="1"/>
  <c r="BK28" i="1"/>
  <c r="BI46" i="1"/>
  <c r="BH28" i="1"/>
  <c r="BL28" i="1"/>
  <c r="BJ46" i="1"/>
  <c r="BI28" i="1"/>
  <c r="BK46" i="1"/>
  <c r="BI158" i="1"/>
  <c r="BJ158" i="1"/>
  <c r="BK158" i="1"/>
  <c r="BH158" i="1"/>
  <c r="BL158" i="1"/>
  <c r="BK280" i="1"/>
  <c r="BH280" i="1"/>
  <c r="BL280" i="1"/>
  <c r="BI280" i="1"/>
  <c r="BJ280" i="1"/>
  <c r="G176" i="40"/>
  <c r="BG44" i="1" l="1"/>
  <c r="BG368" i="1"/>
  <c r="BH368" i="1"/>
  <c r="BI368" i="1"/>
  <c r="BJ368" i="1"/>
  <c r="BK368" i="1"/>
  <c r="BL368" i="1"/>
  <c r="BM368" i="1"/>
  <c r="BG26" i="1"/>
  <c r="BG320" i="1"/>
  <c r="BG37" i="1"/>
  <c r="BG27" i="1"/>
  <c r="BG333" i="1"/>
  <c r="BG321" i="1"/>
  <c r="BG300" i="1"/>
  <c r="BG91" i="1"/>
  <c r="BG93" i="1"/>
  <c r="BG250" i="1"/>
  <c r="BG319" i="1"/>
  <c r="BG66" i="1"/>
  <c r="BG311" i="1"/>
  <c r="BG163" i="1"/>
  <c r="BG86" i="1"/>
  <c r="BG110" i="1"/>
  <c r="BG114" i="1"/>
  <c r="BG78" i="1"/>
  <c r="BG157" i="1"/>
  <c r="BG63" i="1"/>
  <c r="BG249" i="1"/>
  <c r="BG251" i="1"/>
  <c r="BG137" i="1"/>
  <c r="BG53" i="1"/>
  <c r="BG36" i="1"/>
  <c r="BG332" i="1"/>
  <c r="BG134" i="1"/>
  <c r="BG224" i="1"/>
  <c r="BG34" i="1"/>
  <c r="BG146" i="1"/>
  <c r="BM114" i="1"/>
  <c r="BM110" i="1"/>
  <c r="BM63" i="1"/>
  <c r="BM134" i="1"/>
  <c r="BM37" i="1"/>
  <c r="BM116" i="1"/>
  <c r="BM93" i="1"/>
  <c r="BM319" i="1"/>
  <c r="BM34" i="1"/>
  <c r="BM78" i="1"/>
  <c r="BM157" i="1"/>
  <c r="BM320" i="1"/>
  <c r="BM66" i="1"/>
  <c r="BM348" i="1"/>
  <c r="BM251" i="1"/>
  <c r="BM300" i="1"/>
  <c r="BM333" i="1"/>
  <c r="BM163" i="1"/>
  <c r="BM53" i="1"/>
  <c r="BM249" i="1"/>
  <c r="BM44" i="1"/>
  <c r="BM311" i="1"/>
  <c r="BM321" i="1"/>
  <c r="BM332" i="1"/>
  <c r="BM27" i="1"/>
  <c r="BM91" i="1"/>
  <c r="BM250" i="1"/>
  <c r="BM349" i="1"/>
  <c r="BM224" i="1"/>
  <c r="BM26" i="1"/>
  <c r="BM329" i="1"/>
  <c r="BM86" i="1"/>
  <c r="BM137" i="1"/>
  <c r="BM36" i="1"/>
  <c r="BM146" i="1"/>
  <c r="BH26" i="1"/>
  <c r="BL26" i="1"/>
  <c r="BK27" i="1"/>
  <c r="BI34" i="1"/>
  <c r="BJ36" i="1"/>
  <c r="BH37" i="1"/>
  <c r="BL37" i="1"/>
  <c r="BI44" i="1"/>
  <c r="BI26" i="1"/>
  <c r="BH27" i="1"/>
  <c r="BL27" i="1"/>
  <c r="BJ34" i="1"/>
  <c r="BK36" i="1"/>
  <c r="BI37" i="1"/>
  <c r="BJ44" i="1"/>
  <c r="BJ26" i="1"/>
  <c r="BI27" i="1"/>
  <c r="BK34" i="1"/>
  <c r="BH36" i="1"/>
  <c r="BL36" i="1"/>
  <c r="BJ37" i="1"/>
  <c r="BK44" i="1"/>
  <c r="BK26" i="1"/>
  <c r="BL34" i="1"/>
  <c r="BH44" i="1"/>
  <c r="BK53" i="1"/>
  <c r="BK63" i="1"/>
  <c r="BL44" i="1"/>
  <c r="BH53" i="1"/>
  <c r="BL53" i="1"/>
  <c r="BH63" i="1"/>
  <c r="BL63" i="1"/>
  <c r="BK37" i="1"/>
  <c r="BI53" i="1"/>
  <c r="BI63" i="1"/>
  <c r="BJ53" i="1"/>
  <c r="BI66" i="1"/>
  <c r="BH78" i="1"/>
  <c r="BL78" i="1"/>
  <c r="BH86" i="1"/>
  <c r="BL86" i="1"/>
  <c r="BH34" i="1"/>
  <c r="BJ63" i="1"/>
  <c r="BJ66" i="1"/>
  <c r="BI78" i="1"/>
  <c r="BI86" i="1"/>
  <c r="BJ27" i="1"/>
  <c r="BK66" i="1"/>
  <c r="BJ78" i="1"/>
  <c r="BJ86" i="1"/>
  <c r="BI91" i="1"/>
  <c r="BK78" i="1"/>
  <c r="BH91" i="1"/>
  <c r="BK93" i="1"/>
  <c r="BI110" i="1"/>
  <c r="BJ114" i="1"/>
  <c r="BH134" i="1"/>
  <c r="BL134" i="1"/>
  <c r="BI137" i="1"/>
  <c r="BH146" i="1"/>
  <c r="BL146" i="1"/>
  <c r="BK86" i="1"/>
  <c r="BJ91" i="1"/>
  <c r="BH93" i="1"/>
  <c r="BL93" i="1"/>
  <c r="BJ110" i="1"/>
  <c r="BK114" i="1"/>
  <c r="BI134" i="1"/>
  <c r="BJ137" i="1"/>
  <c r="BI146" i="1"/>
  <c r="BI36" i="1"/>
  <c r="BH66" i="1"/>
  <c r="BK91" i="1"/>
  <c r="BI93" i="1"/>
  <c r="BK110" i="1"/>
  <c r="BH114" i="1"/>
  <c r="BL114" i="1"/>
  <c r="BJ134" i="1"/>
  <c r="BK137" i="1"/>
  <c r="BJ146" i="1"/>
  <c r="BJ93" i="1"/>
  <c r="BH137" i="1"/>
  <c r="BK157" i="1"/>
  <c r="BI163" i="1"/>
  <c r="BL91" i="1"/>
  <c r="BH110" i="1"/>
  <c r="BL137" i="1"/>
  <c r="BK146" i="1"/>
  <c r="BH157" i="1"/>
  <c r="BL157" i="1"/>
  <c r="BJ163" i="1"/>
  <c r="BL66" i="1"/>
  <c r="BL110" i="1"/>
  <c r="BI114" i="1"/>
  <c r="BK134" i="1"/>
  <c r="BI157" i="1"/>
  <c r="BK163" i="1"/>
  <c r="BL163" i="1"/>
  <c r="BK224" i="1"/>
  <c r="BH224" i="1"/>
  <c r="BL224" i="1"/>
  <c r="BJ157" i="1"/>
  <c r="BH163" i="1"/>
  <c r="BH249" i="1"/>
  <c r="BL249" i="1"/>
  <c r="BK250" i="1"/>
  <c r="BJ251" i="1"/>
  <c r="BJ300" i="1"/>
  <c r="BJ319" i="1"/>
  <c r="BI320" i="1"/>
  <c r="BH321" i="1"/>
  <c r="BL321" i="1"/>
  <c r="BJ329" i="1"/>
  <c r="BK332" i="1"/>
  <c r="BI249" i="1"/>
  <c r="BH250" i="1"/>
  <c r="BL250" i="1"/>
  <c r="BK251" i="1"/>
  <c r="BK300" i="1"/>
  <c r="BK319" i="1"/>
  <c r="BJ320" i="1"/>
  <c r="BI321" i="1"/>
  <c r="BK329" i="1"/>
  <c r="BH332" i="1"/>
  <c r="BL332" i="1"/>
  <c r="BK333" i="1"/>
  <c r="BI224" i="1"/>
  <c r="BJ249" i="1"/>
  <c r="BI250" i="1"/>
  <c r="BH251" i="1"/>
  <c r="BL251" i="1"/>
  <c r="BH300" i="1"/>
  <c r="BL300" i="1"/>
  <c r="BH319" i="1"/>
  <c r="BL319" i="1"/>
  <c r="BK320" i="1"/>
  <c r="BJ321" i="1"/>
  <c r="BH329" i="1"/>
  <c r="BL329" i="1"/>
  <c r="BI332" i="1"/>
  <c r="BH333" i="1"/>
  <c r="BL333" i="1"/>
  <c r="BJ224" i="1"/>
  <c r="BK249" i="1"/>
  <c r="BJ250" i="1"/>
  <c r="BI251" i="1"/>
  <c r="BI300" i="1"/>
  <c r="BI319" i="1"/>
  <c r="BH320" i="1"/>
  <c r="BL320" i="1"/>
  <c r="BK321" i="1"/>
  <c r="BI329" i="1"/>
  <c r="BJ332" i="1"/>
  <c r="BI333" i="1"/>
  <c r="BJ333" i="1"/>
  <c r="BJ348" i="1"/>
  <c r="BI349" i="1"/>
  <c r="BK311" i="1"/>
  <c r="BK348" i="1"/>
  <c r="BJ349" i="1"/>
  <c r="BH311" i="1"/>
  <c r="BL311" i="1"/>
  <c r="BH348" i="1"/>
  <c r="BL348" i="1"/>
  <c r="BK349" i="1"/>
  <c r="BI311" i="1"/>
  <c r="BI348" i="1"/>
  <c r="BH349" i="1"/>
  <c r="BL349" i="1"/>
  <c r="BJ311" i="1"/>
  <c r="BN27" i="1" l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7" i="1"/>
  <c r="BN108" i="1"/>
  <c r="BN109" i="1"/>
  <c r="BN110" i="1"/>
  <c r="BN111" i="1"/>
  <c r="BN112" i="1"/>
  <c r="BN113" i="1"/>
  <c r="BN114" i="1"/>
  <c r="BN115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2" i="1"/>
  <c r="BN303" i="1"/>
  <c r="BN304" i="1"/>
  <c r="BN305" i="1"/>
  <c r="BN306" i="1"/>
  <c r="BN307" i="1"/>
  <c r="BN308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26" i="1"/>
  <c r="AK348" i="1" l="1"/>
  <c r="AL338" i="1"/>
  <c r="AL343" i="1"/>
  <c r="AL344" i="1"/>
  <c r="AL346" i="1"/>
  <c r="AL345" i="1" l="1"/>
  <c r="AL339" i="1"/>
  <c r="AL342" i="1" l="1"/>
  <c r="AL347" i="1"/>
  <c r="AL340" i="1"/>
  <c r="AL348" i="1"/>
  <c r="AL341" i="1"/>
  <c r="I2" i="11" l="1"/>
  <c r="I3" i="11" s="1"/>
  <c r="P2" i="11"/>
  <c r="B5" i="8" l="1"/>
  <c r="J2" i="11" l="1"/>
  <c r="K2" i="11" l="1"/>
  <c r="L2" i="11" s="1"/>
  <c r="M2" i="11" s="1"/>
  <c r="J3" i="11"/>
  <c r="K3" i="11" l="1"/>
  <c r="L3" i="11" l="1"/>
  <c r="M3" i="11" l="1"/>
  <c r="F41" i="11" l="1"/>
  <c r="E41" i="11"/>
  <c r="D41" i="11"/>
  <c r="C41" i="11"/>
  <c r="B41" i="11"/>
  <c r="B10" i="11"/>
  <c r="I10" i="11" s="1"/>
  <c r="C10" i="11"/>
  <c r="J10" i="11" s="1"/>
  <c r="D10" i="11"/>
  <c r="K10" i="11" s="1"/>
  <c r="E10" i="11"/>
  <c r="L10" i="11" s="1"/>
  <c r="F10" i="11"/>
  <c r="M10" i="11" s="1"/>
  <c r="B29" i="10"/>
  <c r="C29" i="10"/>
  <c r="X25" i="1" l="1"/>
  <c r="X21" i="1"/>
  <c r="X20" i="1"/>
  <c r="X19" i="1"/>
  <c r="X21" i="29"/>
  <c r="X25" i="29"/>
  <c r="AL321" i="1"/>
  <c r="AL332" i="1" l="1"/>
  <c r="AL333" i="1"/>
  <c r="AL334" i="1"/>
  <c r="AL335" i="1"/>
  <c r="AL336" i="1"/>
  <c r="AL337" i="1"/>
  <c r="Q21" i="29" l="1"/>
  <c r="R21" i="29"/>
  <c r="S21" i="29"/>
  <c r="T21" i="29"/>
  <c r="U21" i="29"/>
  <c r="V21" i="29"/>
  <c r="W21" i="29"/>
  <c r="V20" i="29" s="1"/>
  <c r="W20" i="1"/>
  <c r="W21" i="1"/>
  <c r="U20" i="29" l="1"/>
  <c r="T20" i="29" s="1"/>
  <c r="S20" i="29" s="1"/>
  <c r="R20" i="29" s="1"/>
  <c r="Q20" i="29" s="1"/>
  <c r="P20" i="29" s="1"/>
  <c r="O20" i="29" s="1"/>
  <c r="N20" i="29" s="1"/>
  <c r="M20" i="29" s="1"/>
  <c r="L20" i="29" s="1"/>
  <c r="K20" i="29" s="1"/>
  <c r="J20" i="29" s="1"/>
  <c r="I20" i="29" s="1"/>
  <c r="H20" i="29" s="1"/>
  <c r="V20" i="1"/>
  <c r="I5" i="8"/>
  <c r="R21" i="1"/>
  <c r="S21" i="1"/>
  <c r="E5" i="8" s="1"/>
  <c r="T21" i="1"/>
  <c r="F5" i="8" s="1"/>
  <c r="U21" i="1"/>
  <c r="G5" i="8" s="1"/>
  <c r="V21" i="1"/>
  <c r="V19" i="1"/>
  <c r="W19" i="1"/>
  <c r="U19" i="1"/>
  <c r="T19" i="1"/>
  <c r="S19" i="1"/>
  <c r="Q17" i="29"/>
  <c r="W25" i="29"/>
  <c r="V25" i="29"/>
  <c r="U25" i="29"/>
  <c r="T25" i="29"/>
  <c r="S25" i="29"/>
  <c r="R25" i="29"/>
  <c r="P25" i="29"/>
  <c r="O25" i="29"/>
  <c r="N25" i="29"/>
  <c r="M25" i="29"/>
  <c r="L25" i="29"/>
  <c r="K25" i="29"/>
  <c r="J25" i="29"/>
  <c r="I25" i="29"/>
  <c r="H25" i="29"/>
  <c r="G25" i="29"/>
  <c r="F25" i="29"/>
  <c r="P23" i="29"/>
  <c r="O23" i="29"/>
  <c r="N23" i="29"/>
  <c r="M23" i="29"/>
  <c r="L23" i="29"/>
  <c r="K23" i="29"/>
  <c r="J23" i="29"/>
  <c r="I23" i="29"/>
  <c r="H23" i="29"/>
  <c r="G23" i="29"/>
  <c r="F23" i="29"/>
  <c r="R2" i="29"/>
  <c r="Q63" i="1" l="1"/>
  <c r="Q87" i="1"/>
  <c r="C43" i="21" s="1"/>
  <c r="D31" i="60" s="1"/>
  <c r="F31" i="60" s="1"/>
  <c r="Q368" i="1"/>
  <c r="C26" i="21" s="1"/>
  <c r="Q370" i="1"/>
  <c r="Q372" i="1"/>
  <c r="Q369" i="1"/>
  <c r="Q371" i="1"/>
  <c r="R17" i="29"/>
  <c r="G20" i="29"/>
  <c r="F20" i="29" s="1"/>
  <c r="H19" i="29"/>
  <c r="D5" i="8"/>
  <c r="C5" i="8"/>
  <c r="U20" i="1"/>
  <c r="T20" i="1" s="1"/>
  <c r="S20" i="1" s="1"/>
  <c r="H5" i="8"/>
  <c r="S2" i="29"/>
  <c r="AH1" i="1"/>
  <c r="AK26" i="1"/>
  <c r="R365" i="1" l="1"/>
  <c r="R362" i="1"/>
  <c r="R363" i="1"/>
  <c r="R364" i="1"/>
  <c r="N255" i="6"/>
  <c r="N257" i="6"/>
  <c r="N19" i="6"/>
  <c r="N260" i="6"/>
  <c r="N256" i="6"/>
  <c r="N252" i="6"/>
  <c r="N248" i="6"/>
  <c r="N244" i="6"/>
  <c r="N240" i="6"/>
  <c r="N236" i="6"/>
  <c r="N232" i="6"/>
  <c r="N228" i="6"/>
  <c r="N224" i="6"/>
  <c r="N220" i="6"/>
  <c r="N216" i="6"/>
  <c r="N212" i="6"/>
  <c r="N206" i="6"/>
  <c r="N202" i="6"/>
  <c r="N198" i="6"/>
  <c r="N194" i="6"/>
  <c r="N184" i="6"/>
  <c r="N180" i="6"/>
  <c r="N176" i="6"/>
  <c r="N172" i="6"/>
  <c r="N168" i="6"/>
  <c r="N162" i="6"/>
  <c r="N156" i="6"/>
  <c r="N152" i="6"/>
  <c r="N148" i="6"/>
  <c r="N144" i="6"/>
  <c r="N140" i="6"/>
  <c r="N136" i="6"/>
  <c r="N132" i="6"/>
  <c r="N128" i="6"/>
  <c r="N124" i="6"/>
  <c r="N120" i="6"/>
  <c r="N116" i="6"/>
  <c r="N112" i="6"/>
  <c r="N108" i="6"/>
  <c r="N104" i="6"/>
  <c r="N100" i="6"/>
  <c r="N96" i="6"/>
  <c r="N92" i="6"/>
  <c r="N86" i="6"/>
  <c r="N82" i="6"/>
  <c r="N78" i="6"/>
  <c r="N72" i="6"/>
  <c r="N68" i="6"/>
  <c r="N64" i="6"/>
  <c r="N59" i="6"/>
  <c r="N54" i="6"/>
  <c r="N49" i="6"/>
  <c r="N45" i="6"/>
  <c r="N41" i="6"/>
  <c r="N36" i="6"/>
  <c r="N32" i="6"/>
  <c r="N28" i="6"/>
  <c r="N21" i="6"/>
  <c r="N259" i="6"/>
  <c r="N247" i="6"/>
  <c r="N235" i="6"/>
  <c r="N227" i="6"/>
  <c r="N223" i="6"/>
  <c r="N219" i="6"/>
  <c r="N215" i="6"/>
  <c r="N209" i="6"/>
  <c r="N205" i="6"/>
  <c r="N201" i="6"/>
  <c r="N197" i="6"/>
  <c r="N193" i="6"/>
  <c r="N183" i="6"/>
  <c r="N179" i="6"/>
  <c r="N175" i="6"/>
  <c r="N171" i="6"/>
  <c r="N165" i="6"/>
  <c r="N161" i="6"/>
  <c r="N155" i="6"/>
  <c r="N151" i="6"/>
  <c r="N147" i="6"/>
  <c r="N143" i="6"/>
  <c r="N139" i="6"/>
  <c r="N135" i="6"/>
  <c r="N131" i="6"/>
  <c r="N127" i="6"/>
  <c r="N123" i="6"/>
  <c r="N119" i="6"/>
  <c r="N115" i="6"/>
  <c r="N111" i="6"/>
  <c r="N107" i="6"/>
  <c r="N103" i="6"/>
  <c r="N99" i="6"/>
  <c r="N95" i="6"/>
  <c r="N89" i="6"/>
  <c r="N85" i="6"/>
  <c r="N81" i="6"/>
  <c r="N77" i="6"/>
  <c r="N71" i="6"/>
  <c r="N67" i="6"/>
  <c r="N63" i="6"/>
  <c r="N58" i="6"/>
  <c r="N53" i="6"/>
  <c r="N48" i="6"/>
  <c r="N44" i="6"/>
  <c r="N40" i="6"/>
  <c r="N35" i="6"/>
  <c r="N31" i="6"/>
  <c r="N27" i="6"/>
  <c r="N20" i="6"/>
  <c r="N251" i="6"/>
  <c r="N243" i="6"/>
  <c r="N239" i="6"/>
  <c r="N231" i="6"/>
  <c r="N258" i="6"/>
  <c r="N254" i="6"/>
  <c r="N250" i="6"/>
  <c r="N246" i="6"/>
  <c r="N242" i="6"/>
  <c r="N238" i="6"/>
  <c r="N234" i="6"/>
  <c r="N230" i="6"/>
  <c r="N226" i="6"/>
  <c r="N222" i="6"/>
  <c r="N218" i="6"/>
  <c r="N214" i="6"/>
  <c r="N208" i="6"/>
  <c r="N204" i="6"/>
  <c r="N200" i="6"/>
  <c r="N196" i="6"/>
  <c r="N190" i="6"/>
  <c r="N182" i="6"/>
  <c r="N178" i="6"/>
  <c r="N174" i="6"/>
  <c r="N170" i="6"/>
  <c r="N164" i="6"/>
  <c r="N160" i="6"/>
  <c r="N154" i="6"/>
  <c r="N150" i="6"/>
  <c r="N146" i="6"/>
  <c r="N142" i="6"/>
  <c r="N138" i="6"/>
  <c r="N134" i="6"/>
  <c r="N130" i="6"/>
  <c r="N126" i="6"/>
  <c r="N122" i="6"/>
  <c r="N118" i="6"/>
  <c r="N114" i="6"/>
  <c r="N110" i="6"/>
  <c r="N106" i="6"/>
  <c r="N102" i="6"/>
  <c r="N98" i="6"/>
  <c r="N94" i="6"/>
  <c r="N88" i="6"/>
  <c r="N84" i="6"/>
  <c r="N80" i="6"/>
  <c r="N74" i="6"/>
  <c r="N70" i="6"/>
  <c r="N66" i="6"/>
  <c r="N61" i="6"/>
  <c r="N57" i="6"/>
  <c r="N52" i="6"/>
  <c r="N47" i="6"/>
  <c r="N43" i="6"/>
  <c r="N39" i="6"/>
  <c r="N34" i="6"/>
  <c r="N30" i="6"/>
  <c r="N26" i="6"/>
  <c r="N261" i="6"/>
  <c r="N253" i="6"/>
  <c r="N249" i="6"/>
  <c r="N245" i="6"/>
  <c r="N241" i="6"/>
  <c r="N237" i="6"/>
  <c r="N233" i="6"/>
  <c r="N229" i="6"/>
  <c r="N225" i="6"/>
  <c r="N221" i="6"/>
  <c r="N217" i="6"/>
  <c r="N213" i="6"/>
  <c r="N207" i="6"/>
  <c r="N203" i="6"/>
  <c r="N199" i="6"/>
  <c r="N195" i="6"/>
  <c r="N185" i="6"/>
  <c r="N181" i="6"/>
  <c r="N177" i="6"/>
  <c r="N173" i="6"/>
  <c r="N169" i="6"/>
  <c r="N163" i="6"/>
  <c r="N157" i="6"/>
  <c r="N153" i="6"/>
  <c r="N149" i="6"/>
  <c r="N145" i="6"/>
  <c r="N141" i="6"/>
  <c r="N137" i="6"/>
  <c r="N133" i="6"/>
  <c r="N129" i="6"/>
  <c r="N125" i="6"/>
  <c r="N121" i="6"/>
  <c r="N117" i="6"/>
  <c r="N113" i="6"/>
  <c r="N109" i="6"/>
  <c r="N105" i="6"/>
  <c r="N101" i="6"/>
  <c r="N97" i="6"/>
  <c r="N93" i="6"/>
  <c r="N87" i="6"/>
  <c r="N83" i="6"/>
  <c r="N79" i="6"/>
  <c r="N73" i="6"/>
  <c r="N69" i="6"/>
  <c r="N65" i="6"/>
  <c r="N60" i="6"/>
  <c r="N55" i="6"/>
  <c r="N51" i="6"/>
  <c r="N46" i="6"/>
  <c r="N42" i="6"/>
  <c r="N37" i="6"/>
  <c r="N33" i="6"/>
  <c r="N29" i="6"/>
  <c r="N22" i="6"/>
  <c r="S17" i="29"/>
  <c r="T17" i="29" s="1"/>
  <c r="U17" i="29" s="1"/>
  <c r="V17" i="29" s="1"/>
  <c r="W17" i="29" s="1"/>
  <c r="X17" i="29" s="1"/>
  <c r="G19" i="29"/>
  <c r="F19" i="29" s="1"/>
  <c r="R20" i="1"/>
  <c r="T2" i="29"/>
  <c r="Q20" i="1" l="1"/>
  <c r="U2" i="29"/>
  <c r="P20" i="1" l="1"/>
  <c r="P19" i="1" s="1"/>
  <c r="V2" i="29"/>
  <c r="O20" i="1" l="1"/>
  <c r="W2" i="29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AL1" i="1"/>
  <c r="N20" i="1" l="1"/>
  <c r="X2" i="29"/>
  <c r="I32" i="58" l="1"/>
  <c r="M20" i="1"/>
  <c r="L20" i="1" s="1"/>
  <c r="K20" i="1" s="1"/>
  <c r="J20" i="1" s="1"/>
  <c r="I20" i="1" l="1"/>
  <c r="J18" i="1"/>
  <c r="H32" i="58"/>
  <c r="H20" i="1" l="1"/>
  <c r="I18" i="1"/>
  <c r="G20" i="1" l="1"/>
  <c r="H18" i="1"/>
  <c r="F20" i="1" l="1"/>
  <c r="G18" i="1"/>
  <c r="K61" i="8"/>
  <c r="K126" i="8" s="1"/>
  <c r="K60" i="8"/>
  <c r="K125" i="8" s="1"/>
  <c r="K59" i="8"/>
  <c r="K124" i="8" s="1"/>
  <c r="K58" i="8"/>
  <c r="K123" i="8" s="1"/>
  <c r="K57" i="8"/>
  <c r="K122" i="8" s="1"/>
  <c r="K56" i="8"/>
  <c r="K121" i="8" s="1"/>
  <c r="K55" i="8"/>
  <c r="K120" i="8" s="1"/>
  <c r="K54" i="8"/>
  <c r="K119" i="8" s="1"/>
  <c r="K53" i="8"/>
  <c r="K118" i="8" s="1"/>
  <c r="K52" i="8"/>
  <c r="K117" i="8" s="1"/>
  <c r="K51" i="8"/>
  <c r="K116" i="8" s="1"/>
  <c r="K50" i="8"/>
  <c r="K115" i="8" s="1"/>
  <c r="K49" i="8"/>
  <c r="K114" i="8" s="1"/>
  <c r="K48" i="8"/>
  <c r="K113" i="8" s="1"/>
  <c r="K47" i="8"/>
  <c r="K112" i="8" s="1"/>
  <c r="K46" i="8"/>
  <c r="K111" i="8" s="1"/>
  <c r="K45" i="8"/>
  <c r="K110" i="8" s="1"/>
  <c r="K44" i="8"/>
  <c r="K109" i="8" s="1"/>
  <c r="K43" i="8"/>
  <c r="K108" i="8" s="1"/>
  <c r="K42" i="8"/>
  <c r="K107" i="8" s="1"/>
  <c r="K41" i="8"/>
  <c r="K106" i="8" s="1"/>
  <c r="K40" i="8"/>
  <c r="K105" i="8" s="1"/>
  <c r="K39" i="8"/>
  <c r="K104" i="8" s="1"/>
  <c r="K9" i="8"/>
  <c r="K74" i="8" s="1"/>
  <c r="K10" i="8"/>
  <c r="K75" i="8" s="1"/>
  <c r="K11" i="8"/>
  <c r="K76" i="8" s="1"/>
  <c r="K12" i="8"/>
  <c r="K77" i="8" s="1"/>
  <c r="K13" i="8"/>
  <c r="K78" i="8" s="1"/>
  <c r="K14" i="8"/>
  <c r="K79" i="8" s="1"/>
  <c r="K15" i="8"/>
  <c r="K80" i="8" s="1"/>
  <c r="K16" i="8"/>
  <c r="K81" i="8" s="1"/>
  <c r="K17" i="8"/>
  <c r="K82" i="8" s="1"/>
  <c r="K18" i="8"/>
  <c r="K83" i="8" s="1"/>
  <c r="K19" i="8"/>
  <c r="K84" i="8" s="1"/>
  <c r="K20" i="8"/>
  <c r="K85" i="8" s="1"/>
  <c r="K21" i="8"/>
  <c r="K86" i="8" s="1"/>
  <c r="K22" i="8"/>
  <c r="K87" i="8" s="1"/>
  <c r="K23" i="8"/>
  <c r="K88" i="8" s="1"/>
  <c r="K24" i="8"/>
  <c r="K89" i="8" s="1"/>
  <c r="K25" i="8"/>
  <c r="K90" i="8" s="1"/>
  <c r="K26" i="8"/>
  <c r="K91" i="8" s="1"/>
  <c r="K27" i="8"/>
  <c r="K92" i="8" s="1"/>
  <c r="K28" i="8"/>
  <c r="K93" i="8" s="1"/>
  <c r="K29" i="8"/>
  <c r="K94" i="8" s="1"/>
  <c r="K30" i="8"/>
  <c r="K95" i="8" s="1"/>
  <c r="K8" i="8"/>
  <c r="K73" i="8" s="1"/>
  <c r="B64" i="8"/>
  <c r="B33" i="8"/>
  <c r="K98" i="8" l="1"/>
  <c r="K129" i="8"/>
  <c r="K64" i="8"/>
  <c r="K33" i="8"/>
  <c r="K2" i="21" l="1"/>
  <c r="K1" i="21"/>
  <c r="AL41" i="1"/>
  <c r="K20" i="21" l="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2" i="21"/>
  <c r="K56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55" i="21"/>
  <c r="K59" i="21"/>
  <c r="K60" i="21"/>
  <c r="K51" i="21"/>
  <c r="K54" i="21"/>
  <c r="K58" i="21"/>
  <c r="K53" i="21"/>
  <c r="K57" i="21"/>
  <c r="K76" i="21"/>
  <c r="K77" i="21"/>
  <c r="K78" i="21"/>
  <c r="K19" i="21"/>
  <c r="L1" i="21"/>
  <c r="L2" i="21"/>
  <c r="L20" i="21" l="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40" i="21"/>
  <c r="L44" i="21"/>
  <c r="L48" i="21"/>
  <c r="L51" i="21"/>
  <c r="L39" i="21"/>
  <c r="L43" i="21"/>
  <c r="L47" i="21"/>
  <c r="L38" i="21"/>
  <c r="L53" i="21"/>
  <c r="L57" i="21"/>
  <c r="L41" i="21"/>
  <c r="L45" i="21"/>
  <c r="L49" i="21"/>
  <c r="L52" i="21"/>
  <c r="L56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37" i="21"/>
  <c r="L55" i="21"/>
  <c r="L59" i="21"/>
  <c r="L42" i="21"/>
  <c r="L46" i="21"/>
  <c r="L50" i="21"/>
  <c r="L54" i="21"/>
  <c r="L58" i="21"/>
  <c r="L19" i="21"/>
  <c r="L60" i="21"/>
  <c r="L76" i="21"/>
  <c r="L77" i="21"/>
  <c r="L78" i="21"/>
  <c r="M1" i="21"/>
  <c r="N1" i="21" s="1"/>
  <c r="M2" i="21"/>
  <c r="M20" i="21" l="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41" i="21"/>
  <c r="M45" i="21"/>
  <c r="M49" i="21"/>
  <c r="M52" i="21"/>
  <c r="M53" i="21"/>
  <c r="M54" i="21"/>
  <c r="M55" i="21"/>
  <c r="M56" i="21"/>
  <c r="M57" i="21"/>
  <c r="M58" i="21"/>
  <c r="M59" i="21"/>
  <c r="M60" i="21"/>
  <c r="M40" i="21"/>
  <c r="M44" i="21"/>
  <c r="M48" i="21"/>
  <c r="M51" i="21"/>
  <c r="M39" i="21"/>
  <c r="M42" i="21"/>
  <c r="M46" i="21"/>
  <c r="M50" i="21"/>
  <c r="M38" i="21"/>
  <c r="M43" i="21"/>
  <c r="M47" i="21"/>
  <c r="M62" i="21"/>
  <c r="M64" i="21"/>
  <c r="M66" i="21"/>
  <c r="M68" i="21"/>
  <c r="M70" i="21"/>
  <c r="M73" i="21"/>
  <c r="M75" i="21"/>
  <c r="M19" i="21"/>
  <c r="M78" i="21"/>
  <c r="M72" i="21"/>
  <c r="M61" i="21"/>
  <c r="M63" i="21"/>
  <c r="M65" i="21"/>
  <c r="M67" i="21"/>
  <c r="M69" i="21"/>
  <c r="M71" i="21"/>
  <c r="M76" i="21"/>
  <c r="M77" i="21"/>
  <c r="M74" i="21"/>
  <c r="O1" i="21"/>
  <c r="N2" i="21"/>
  <c r="N23" i="21" l="1"/>
  <c r="N27" i="21"/>
  <c r="N31" i="21"/>
  <c r="N35" i="21"/>
  <c r="N20" i="21"/>
  <c r="N24" i="21"/>
  <c r="N28" i="21"/>
  <c r="N32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21" i="21"/>
  <c r="N25" i="21"/>
  <c r="N29" i="21"/>
  <c r="N33" i="21"/>
  <c r="N22" i="21"/>
  <c r="N26" i="21"/>
  <c r="N30" i="21"/>
  <c r="N34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4" i="21"/>
  <c r="N76" i="21"/>
  <c r="N77" i="21"/>
  <c r="N78" i="21"/>
  <c r="N19" i="21"/>
  <c r="N73" i="21"/>
  <c r="N75" i="21"/>
  <c r="O2" i="21"/>
  <c r="P2" i="21" s="1"/>
  <c r="P1" i="21"/>
  <c r="P20" i="21" l="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42" i="21"/>
  <c r="P46" i="21"/>
  <c r="P50" i="21"/>
  <c r="P41" i="21"/>
  <c r="P45" i="21"/>
  <c r="P49" i="21"/>
  <c r="P40" i="21"/>
  <c r="P44" i="21"/>
  <c r="P48" i="21"/>
  <c r="P51" i="21"/>
  <c r="P55" i="21"/>
  <c r="P59" i="21"/>
  <c r="P39" i="21"/>
  <c r="P54" i="21"/>
  <c r="P58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53" i="21"/>
  <c r="P57" i="21"/>
  <c r="P43" i="21"/>
  <c r="P47" i="21"/>
  <c r="P52" i="21"/>
  <c r="P56" i="21"/>
  <c r="P75" i="21"/>
  <c r="P76" i="21"/>
  <c r="P77" i="21"/>
  <c r="P78" i="21"/>
  <c r="P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4" i="21"/>
  <c r="O58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53" i="21"/>
  <c r="O57" i="21"/>
  <c r="O52" i="21"/>
  <c r="O56" i="21"/>
  <c r="O51" i="21"/>
  <c r="O55" i="21"/>
  <c r="O59" i="21"/>
  <c r="O76" i="21"/>
  <c r="O77" i="21"/>
  <c r="O78" i="21"/>
  <c r="O19" i="21"/>
  <c r="Q1" i="21"/>
  <c r="Q2" i="21"/>
  <c r="Q20" i="21" l="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9" i="21"/>
  <c r="Q43" i="21"/>
  <c r="Q47" i="21"/>
  <c r="Q51" i="21"/>
  <c r="Q52" i="21"/>
  <c r="Q53" i="21"/>
  <c r="Q54" i="21"/>
  <c r="Q55" i="21"/>
  <c r="Q56" i="21"/>
  <c r="Q57" i="21"/>
  <c r="Q58" i="21"/>
  <c r="Q59" i="21"/>
  <c r="Q60" i="21"/>
  <c r="Q38" i="21"/>
  <c r="Q42" i="21"/>
  <c r="Q46" i="21"/>
  <c r="Q50" i="21"/>
  <c r="Q40" i="21"/>
  <c r="Q44" i="21"/>
  <c r="Q48" i="21"/>
  <c r="Q41" i="21"/>
  <c r="Q45" i="21"/>
  <c r="Q49" i="21"/>
  <c r="Q75" i="21"/>
  <c r="Q78" i="21"/>
  <c r="Q61" i="21"/>
  <c r="Q69" i="21"/>
  <c r="Q73" i="21"/>
  <c r="Q62" i="21"/>
  <c r="Q64" i="21"/>
  <c r="Q66" i="21"/>
  <c r="Q68" i="21"/>
  <c r="Q70" i="21"/>
  <c r="Q72" i="21"/>
  <c r="Q74" i="21"/>
  <c r="Q19" i="21"/>
  <c r="Q65" i="21"/>
  <c r="Q67" i="21"/>
  <c r="Q71" i="21"/>
  <c r="Q76" i="21"/>
  <c r="Q77" i="21"/>
  <c r="Q63" i="21"/>
  <c r="R1" i="21"/>
  <c r="R2" i="21"/>
  <c r="R22" i="21" l="1"/>
  <c r="R26" i="21"/>
  <c r="R30" i="21"/>
  <c r="R34" i="21"/>
  <c r="R23" i="21"/>
  <c r="R27" i="21"/>
  <c r="R31" i="21"/>
  <c r="R35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20" i="21"/>
  <c r="R24" i="21"/>
  <c r="R28" i="21"/>
  <c r="R32" i="21"/>
  <c r="R36" i="21"/>
  <c r="R51" i="21"/>
  <c r="R52" i="21"/>
  <c r="R53" i="21"/>
  <c r="R54" i="21"/>
  <c r="R55" i="21"/>
  <c r="R56" i="21"/>
  <c r="R57" i="21"/>
  <c r="R58" i="21"/>
  <c r="R59" i="21"/>
  <c r="R25" i="21"/>
  <c r="R33" i="21"/>
  <c r="R21" i="21"/>
  <c r="R29" i="21"/>
  <c r="R61" i="21"/>
  <c r="R62" i="21"/>
  <c r="R63" i="21"/>
  <c r="R64" i="21"/>
  <c r="R65" i="21"/>
  <c r="R66" i="21"/>
  <c r="R67" i="21"/>
  <c r="R68" i="21"/>
  <c r="R69" i="21"/>
  <c r="R70" i="21"/>
  <c r="R71" i="21"/>
  <c r="R73" i="21"/>
  <c r="R77" i="21"/>
  <c r="R78" i="21"/>
  <c r="R75" i="21"/>
  <c r="R19" i="21"/>
  <c r="R60" i="21"/>
  <c r="R72" i="21"/>
  <c r="R74" i="21"/>
  <c r="R76" i="21"/>
  <c r="S1" i="21"/>
  <c r="S2" i="21"/>
  <c r="S20" i="21" l="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2" i="21"/>
  <c r="S56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51" i="21"/>
  <c r="S55" i="21"/>
  <c r="S59" i="21"/>
  <c r="S54" i="21"/>
  <c r="S58" i="21"/>
  <c r="S53" i="21"/>
  <c r="S57" i="21"/>
  <c r="S60" i="21"/>
  <c r="S76" i="21"/>
  <c r="S77" i="21"/>
  <c r="S78" i="21"/>
  <c r="S19" i="21"/>
  <c r="T1" i="21"/>
  <c r="T2" i="21"/>
  <c r="T20" i="21" l="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40" i="21"/>
  <c r="T44" i="21"/>
  <c r="T48" i="21"/>
  <c r="T37" i="21"/>
  <c r="T39" i="21"/>
  <c r="T43" i="21"/>
  <c r="T47" i="21"/>
  <c r="T38" i="21"/>
  <c r="T53" i="21"/>
  <c r="T57" i="21"/>
  <c r="T60" i="21"/>
  <c r="T42" i="21"/>
  <c r="T46" i="21"/>
  <c r="T50" i="21"/>
  <c r="T52" i="21"/>
  <c r="T56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51" i="21"/>
  <c r="T55" i="21"/>
  <c r="T59" i="21"/>
  <c r="T41" i="21"/>
  <c r="T45" i="21"/>
  <c r="T49" i="21"/>
  <c r="T54" i="21"/>
  <c r="T58" i="21"/>
  <c r="T76" i="21"/>
  <c r="T77" i="21"/>
  <c r="T78" i="21"/>
  <c r="T19" i="21"/>
  <c r="T75" i="21"/>
  <c r="U1" i="21"/>
  <c r="U2" i="21"/>
  <c r="U20" i="21" l="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41" i="21"/>
  <c r="U45" i="21"/>
  <c r="U49" i="21"/>
  <c r="U51" i="21"/>
  <c r="U52" i="21"/>
  <c r="U53" i="21"/>
  <c r="U54" i="21"/>
  <c r="U55" i="21"/>
  <c r="U56" i="21"/>
  <c r="U57" i="21"/>
  <c r="U58" i="21"/>
  <c r="U59" i="21"/>
  <c r="U60" i="21"/>
  <c r="U40" i="21"/>
  <c r="U44" i="21"/>
  <c r="U48" i="21"/>
  <c r="U39" i="21"/>
  <c r="U43" i="21"/>
  <c r="U47" i="21"/>
  <c r="U38" i="21"/>
  <c r="U42" i="21"/>
  <c r="U46" i="21"/>
  <c r="U50" i="21"/>
  <c r="U61" i="21"/>
  <c r="U63" i="21"/>
  <c r="U65" i="21"/>
  <c r="U67" i="21"/>
  <c r="U69" i="21"/>
  <c r="U72" i="21"/>
  <c r="U74" i="21"/>
  <c r="U71" i="21"/>
  <c r="U73" i="21"/>
  <c r="U78" i="21"/>
  <c r="U19" i="21"/>
  <c r="U75" i="21"/>
  <c r="U62" i="21"/>
  <c r="U64" i="21"/>
  <c r="U66" i="21"/>
  <c r="U68" i="21"/>
  <c r="U70" i="21"/>
  <c r="U76" i="21"/>
  <c r="U77" i="21"/>
  <c r="V1" i="21"/>
  <c r="V2" i="21"/>
  <c r="V21" i="21" l="1"/>
  <c r="V25" i="21"/>
  <c r="V29" i="21"/>
  <c r="V33" i="21"/>
  <c r="V22" i="21"/>
  <c r="V26" i="21"/>
  <c r="V30" i="21"/>
  <c r="V34" i="21"/>
  <c r="V37" i="21"/>
  <c r="V38" i="21"/>
  <c r="V39" i="21"/>
  <c r="V40" i="21"/>
  <c r="V41" i="21"/>
  <c r="V42" i="21"/>
  <c r="V43" i="21"/>
  <c r="V44" i="21"/>
  <c r="V45" i="21"/>
  <c r="V46" i="21"/>
  <c r="V47" i="21"/>
  <c r="V48" i="21"/>
  <c r="V49" i="21"/>
  <c r="V50" i="21"/>
  <c r="V23" i="21"/>
  <c r="V27" i="21"/>
  <c r="V31" i="21"/>
  <c r="V35" i="21"/>
  <c r="V20" i="21"/>
  <c r="V24" i="21"/>
  <c r="V28" i="21"/>
  <c r="V32" i="21"/>
  <c r="V36" i="21"/>
  <c r="V51" i="21"/>
  <c r="V52" i="21"/>
  <c r="V53" i="21"/>
  <c r="V54" i="21"/>
  <c r="V55" i="21"/>
  <c r="V56" i="21"/>
  <c r="V57" i="21"/>
  <c r="V58" i="21"/>
  <c r="V59" i="21"/>
  <c r="V60" i="21"/>
  <c r="V61" i="21"/>
  <c r="V62" i="21"/>
  <c r="V63" i="21"/>
  <c r="V64" i="21"/>
  <c r="V65" i="21"/>
  <c r="V66" i="21"/>
  <c r="V67" i="21"/>
  <c r="V68" i="21"/>
  <c r="V69" i="21"/>
  <c r="V70" i="21"/>
  <c r="V72" i="21"/>
  <c r="V74" i="21"/>
  <c r="V75" i="21"/>
  <c r="V76" i="21"/>
  <c r="V77" i="21"/>
  <c r="V19" i="21"/>
  <c r="V71" i="21"/>
  <c r="V73" i="21"/>
  <c r="V78" i="21"/>
  <c r="W1" i="21"/>
  <c r="W2" i="21"/>
  <c r="W20" i="21" l="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4" i="21"/>
  <c r="W58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53" i="21"/>
  <c r="W57" i="21"/>
  <c r="W52" i="21"/>
  <c r="W56" i="21"/>
  <c r="W51" i="21"/>
  <c r="W55" i="21"/>
  <c r="W59" i="21"/>
  <c r="W76" i="21"/>
  <c r="W77" i="21"/>
  <c r="W78" i="21"/>
  <c r="W19" i="21"/>
  <c r="W60" i="21"/>
  <c r="X1" i="21"/>
  <c r="X2" i="21"/>
  <c r="X20" i="21" l="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8" i="21"/>
  <c r="X42" i="21"/>
  <c r="X46" i="21"/>
  <c r="X41" i="21"/>
  <c r="X45" i="21"/>
  <c r="X49" i="21"/>
  <c r="X50" i="21"/>
  <c r="X37" i="21"/>
  <c r="X51" i="21"/>
  <c r="X55" i="21"/>
  <c r="X59" i="21"/>
  <c r="X43" i="21"/>
  <c r="X47" i="21"/>
  <c r="X54" i="21"/>
  <c r="X58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39" i="21"/>
  <c r="X40" i="21"/>
  <c r="X44" i="21"/>
  <c r="X48" i="21"/>
  <c r="X53" i="21"/>
  <c r="X57" i="21"/>
  <c r="X52" i="21"/>
  <c r="X56" i="21"/>
  <c r="X60" i="21"/>
  <c r="X75" i="21"/>
  <c r="X76" i="21"/>
  <c r="X77" i="21"/>
  <c r="X78" i="21"/>
  <c r="X19" i="21"/>
  <c r="Y1" i="21"/>
  <c r="Y2" i="21"/>
  <c r="Y20" i="21" l="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9" i="21"/>
  <c r="Y43" i="21"/>
  <c r="Y47" i="21"/>
  <c r="Y51" i="21"/>
  <c r="Y52" i="21"/>
  <c r="Y53" i="21"/>
  <c r="Y54" i="21"/>
  <c r="Y55" i="21"/>
  <c r="Y56" i="21"/>
  <c r="Y57" i="21"/>
  <c r="Y58" i="21"/>
  <c r="Y59" i="21"/>
  <c r="Y60" i="21"/>
  <c r="Y38" i="21"/>
  <c r="Y42" i="21"/>
  <c r="Y46" i="21"/>
  <c r="Y41" i="21"/>
  <c r="Y45" i="21"/>
  <c r="Y49" i="21"/>
  <c r="Y40" i="21"/>
  <c r="Y44" i="21"/>
  <c r="Y48" i="21"/>
  <c r="Y50" i="21"/>
  <c r="Y64" i="21"/>
  <c r="Y66" i="21"/>
  <c r="Y70" i="21"/>
  <c r="Y71" i="21"/>
  <c r="Y61" i="21"/>
  <c r="Y63" i="21"/>
  <c r="Y65" i="21"/>
  <c r="Y67" i="21"/>
  <c r="Y69" i="21"/>
  <c r="Y72" i="21"/>
  <c r="Y74" i="21"/>
  <c r="Y77" i="21"/>
  <c r="Y19" i="21"/>
  <c r="Y62" i="21"/>
  <c r="Y73" i="21"/>
  <c r="Y75" i="21"/>
  <c r="Y76" i="21"/>
  <c r="Y78" i="21"/>
  <c r="Y68" i="21"/>
  <c r="Z1" i="21"/>
  <c r="Z2" i="21"/>
  <c r="Z20" i="21" l="1"/>
  <c r="Z24" i="21"/>
  <c r="Z28" i="21"/>
  <c r="Z32" i="21"/>
  <c r="Z36" i="21"/>
  <c r="Z21" i="21"/>
  <c r="Z25" i="21"/>
  <c r="Z29" i="21"/>
  <c r="Z33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22" i="21"/>
  <c r="Z26" i="21"/>
  <c r="Z30" i="21"/>
  <c r="Z34" i="21"/>
  <c r="Z51" i="21"/>
  <c r="Z52" i="21"/>
  <c r="Z53" i="21"/>
  <c r="Z54" i="21"/>
  <c r="Z55" i="21"/>
  <c r="Z56" i="21"/>
  <c r="Z57" i="21"/>
  <c r="Z58" i="21"/>
  <c r="Z60" i="21"/>
  <c r="Z23" i="21"/>
  <c r="Z31" i="21"/>
  <c r="Z59" i="21"/>
  <c r="Z27" i="21"/>
  <c r="Z35" i="21"/>
  <c r="Z61" i="21"/>
  <c r="Z62" i="21"/>
  <c r="Z63" i="21"/>
  <c r="Z64" i="21"/>
  <c r="Z65" i="21"/>
  <c r="Z66" i="21"/>
  <c r="Z67" i="21"/>
  <c r="Z68" i="21"/>
  <c r="Z69" i="21"/>
  <c r="Z70" i="21"/>
  <c r="Z71" i="21"/>
  <c r="Z73" i="21"/>
  <c r="Z78" i="21"/>
  <c r="Z76" i="21"/>
  <c r="Z77" i="21"/>
  <c r="Z19" i="21"/>
  <c r="Z72" i="21"/>
  <c r="Z74" i="21"/>
  <c r="Z75" i="21"/>
  <c r="AA1" i="21"/>
  <c r="AA2" i="21"/>
  <c r="AA20" i="21" l="1"/>
  <c r="AA21" i="21"/>
  <c r="AA22" i="21"/>
  <c r="AA23" i="21"/>
  <c r="AA24" i="21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6" i="21"/>
  <c r="AA47" i="21"/>
  <c r="AA48" i="21"/>
  <c r="AA49" i="21"/>
  <c r="AA50" i="21"/>
  <c r="AA52" i="21"/>
  <c r="AA56" i="21"/>
  <c r="AA61" i="21"/>
  <c r="AA62" i="21"/>
  <c r="AA63" i="21"/>
  <c r="AA64" i="21"/>
  <c r="AA65" i="21"/>
  <c r="AA66" i="21"/>
  <c r="AA67" i="21"/>
  <c r="AA68" i="21"/>
  <c r="AA69" i="21"/>
  <c r="AA70" i="21"/>
  <c r="AA71" i="21"/>
  <c r="AA72" i="21"/>
  <c r="AA73" i="21"/>
  <c r="AA74" i="21"/>
  <c r="AA51" i="21"/>
  <c r="AA55" i="21"/>
  <c r="AA60" i="21"/>
  <c r="AA54" i="21"/>
  <c r="AA58" i="21"/>
  <c r="AA59" i="21"/>
  <c r="AA53" i="21"/>
  <c r="AA57" i="21"/>
  <c r="AA75" i="21"/>
  <c r="AA76" i="21"/>
  <c r="AA77" i="21"/>
  <c r="AA78" i="21"/>
  <c r="AA19" i="21"/>
  <c r="AB1" i="21"/>
  <c r="AB2" i="21"/>
  <c r="AB20" i="21" l="1"/>
  <c r="AB21" i="21"/>
  <c r="AD21" i="21" s="1"/>
  <c r="AB22" i="21"/>
  <c r="AD22" i="21" s="1"/>
  <c r="AB23" i="21"/>
  <c r="AD23" i="21" s="1"/>
  <c r="AB24" i="21"/>
  <c r="AB25" i="21"/>
  <c r="AD25" i="21" s="1"/>
  <c r="AB26" i="21"/>
  <c r="AD26" i="21" s="1"/>
  <c r="D10" i="60" s="1"/>
  <c r="F10" i="60" s="1"/>
  <c r="AB27" i="21"/>
  <c r="AD27" i="21" s="1"/>
  <c r="AB28" i="21"/>
  <c r="AB29" i="21"/>
  <c r="AB30" i="21"/>
  <c r="AD30" i="21" s="1"/>
  <c r="AB31" i="21"/>
  <c r="AB32" i="21"/>
  <c r="AB33" i="21"/>
  <c r="AB34" i="21"/>
  <c r="AD34" i="21" s="1"/>
  <c r="AB35" i="21"/>
  <c r="AD35" i="21" s="1"/>
  <c r="AB36" i="21"/>
  <c r="AB40" i="21"/>
  <c r="AB44" i="21"/>
  <c r="AD44" i="21" s="1"/>
  <c r="AB48" i="21"/>
  <c r="AD48" i="21" s="1"/>
  <c r="AB50" i="21"/>
  <c r="AB39" i="21"/>
  <c r="AB43" i="21"/>
  <c r="AD43" i="21" s="1"/>
  <c r="AB47" i="21"/>
  <c r="AD47" i="21" s="1"/>
  <c r="AB38" i="21"/>
  <c r="AB53" i="21"/>
  <c r="AD53" i="21" s="1"/>
  <c r="AB57" i="21"/>
  <c r="AD57" i="21" s="1"/>
  <c r="AB41" i="21"/>
  <c r="AD41" i="21" s="1"/>
  <c r="AB45" i="21"/>
  <c r="AB49" i="21"/>
  <c r="AD49" i="21" s="1"/>
  <c r="AB52" i="21"/>
  <c r="AB56" i="21"/>
  <c r="AD56" i="21" s="1"/>
  <c r="AB61" i="21"/>
  <c r="AB62" i="21"/>
  <c r="AB63" i="21"/>
  <c r="AD63" i="21" s="1"/>
  <c r="AB64" i="21"/>
  <c r="AD64" i="21" s="1"/>
  <c r="AB65" i="21"/>
  <c r="AB66" i="21"/>
  <c r="AD66" i="21" s="1"/>
  <c r="AB67" i="21"/>
  <c r="AD67" i="21" s="1"/>
  <c r="AB68" i="21"/>
  <c r="AD68" i="21" s="1"/>
  <c r="AB69" i="21"/>
  <c r="AB70" i="21"/>
  <c r="AD70" i="21" s="1"/>
  <c r="AB71" i="21"/>
  <c r="AD71" i="21" s="1"/>
  <c r="AB72" i="21"/>
  <c r="AD72" i="21" s="1"/>
  <c r="AB73" i="21"/>
  <c r="AD73" i="21" s="1"/>
  <c r="AB74" i="21"/>
  <c r="AB51" i="21"/>
  <c r="AB55" i="21"/>
  <c r="AD55" i="21" s="1"/>
  <c r="AB37" i="21"/>
  <c r="AD37" i="21" s="1"/>
  <c r="AB42" i="21"/>
  <c r="AD42" i="21" s="1"/>
  <c r="AB46" i="21"/>
  <c r="AD46" i="21" s="1"/>
  <c r="AB54" i="21"/>
  <c r="AD54" i="21" s="1"/>
  <c r="AB58" i="21"/>
  <c r="AD58" i="21" s="1"/>
  <c r="AB59" i="21"/>
  <c r="AD59" i="21" s="1"/>
  <c r="AB60" i="21"/>
  <c r="AD60" i="21" s="1"/>
  <c r="AB75" i="21"/>
  <c r="AD75" i="21" s="1"/>
  <c r="AB76" i="21"/>
  <c r="AD76" i="21" s="1"/>
  <c r="AB77" i="21"/>
  <c r="AB78" i="21"/>
  <c r="AD78" i="21" s="1"/>
  <c r="AB19" i="21"/>
  <c r="AD19" i="21" s="1"/>
  <c r="AD36" i="21"/>
  <c r="AD45" i="21"/>
  <c r="AD50" i="21"/>
  <c r="AD52" i="21"/>
  <c r="AD61" i="21"/>
  <c r="AD62" i="21"/>
  <c r="AD65" i="21"/>
  <c r="AD69" i="21"/>
  <c r="AD74" i="21"/>
  <c r="AD77" i="21"/>
  <c r="AD29" i="21"/>
  <c r="AD24" i="21"/>
  <c r="AD20" i="21"/>
  <c r="AD28" i="21"/>
  <c r="AD31" i="21"/>
  <c r="AD32" i="21"/>
  <c r="AD33" i="21"/>
  <c r="AD38" i="21"/>
  <c r="AD39" i="21"/>
  <c r="AD40" i="21"/>
  <c r="AD51" i="21"/>
  <c r="AC2" i="21"/>
  <c r="AC1" i="21"/>
  <c r="AC20" i="21" l="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41" i="21"/>
  <c r="AC45" i="21"/>
  <c r="AC49" i="21"/>
  <c r="AC51" i="21"/>
  <c r="AC52" i="21"/>
  <c r="AC53" i="21"/>
  <c r="AC54" i="21"/>
  <c r="AC55" i="21"/>
  <c r="AC56" i="21"/>
  <c r="AC57" i="21"/>
  <c r="AC58" i="21"/>
  <c r="AC59" i="21"/>
  <c r="AC60" i="21"/>
  <c r="AC40" i="21"/>
  <c r="AC44" i="21"/>
  <c r="AC48" i="21"/>
  <c r="AC50" i="21"/>
  <c r="AC39" i="21"/>
  <c r="AC42" i="21"/>
  <c r="AC46" i="21"/>
  <c r="AC43" i="21"/>
  <c r="AC47" i="21"/>
  <c r="AC38" i="21"/>
  <c r="AC62" i="21"/>
  <c r="AC64" i="21"/>
  <c r="AC66" i="21"/>
  <c r="AC68" i="21"/>
  <c r="AC70" i="21"/>
  <c r="AC78" i="21"/>
  <c r="AC71" i="21"/>
  <c r="AC73" i="21"/>
  <c r="AC19" i="21"/>
  <c r="AC74" i="21"/>
  <c r="AC61" i="21"/>
  <c r="AC63" i="21"/>
  <c r="AC65" i="21"/>
  <c r="AC67" i="21"/>
  <c r="AC69" i="21"/>
  <c r="AC75" i="21"/>
  <c r="AC76" i="21"/>
  <c r="AC77" i="21"/>
  <c r="AC72" i="21"/>
  <c r="AL102" i="1" l="1"/>
  <c r="AL31" i="1" l="1"/>
  <c r="AL39" i="1"/>
  <c r="AL43" i="1"/>
  <c r="AL45" i="1"/>
  <c r="AL48" i="1"/>
  <c r="AL52" i="1"/>
  <c r="AL61" i="1"/>
  <c r="AL63" i="1"/>
  <c r="AL64" i="1"/>
  <c r="AL76" i="1"/>
  <c r="AL82" i="1"/>
  <c r="AL85" i="1"/>
  <c r="AL90" i="1"/>
  <c r="AL101" i="1"/>
  <c r="AL113" i="1"/>
  <c r="AL126" i="1"/>
  <c r="AL133" i="1"/>
  <c r="AL145" i="1"/>
  <c r="AL227" i="1"/>
  <c r="AL231" i="1"/>
  <c r="AL235" i="1"/>
  <c r="AL53" i="1"/>
  <c r="AL65" i="1"/>
  <c r="AL77" i="1"/>
  <c r="AL83" i="1"/>
  <c r="AL28" i="1"/>
  <c r="AL86" i="1"/>
  <c r="AL123" i="1"/>
  <c r="AL146" i="1"/>
  <c r="AL159" i="1"/>
  <c r="AL188" i="1"/>
  <c r="AL213" i="1"/>
  <c r="AL224" i="1"/>
  <c r="AL228" i="1"/>
  <c r="AL232" i="1"/>
  <c r="AL236" i="1"/>
  <c r="AL283" i="1"/>
  <c r="AL293" i="1"/>
  <c r="AL307" i="1"/>
  <c r="AL329" i="1"/>
  <c r="AL32" i="1"/>
  <c r="AL40" i="1"/>
  <c r="AL49" i="1"/>
  <c r="AL114" i="1"/>
  <c r="AL54" i="1"/>
  <c r="AL59" i="1"/>
  <c r="AL62" i="1"/>
  <c r="AL67" i="1"/>
  <c r="AL71" i="1"/>
  <c r="AL78" i="1"/>
  <c r="AL93" i="1"/>
  <c r="AL103" i="1"/>
  <c r="AL107" i="1"/>
  <c r="AL147" i="1"/>
  <c r="AL160" i="1"/>
  <c r="AL164" i="1"/>
  <c r="AL175" i="1"/>
  <c r="AL178" i="1"/>
  <c r="AL225" i="1"/>
  <c r="AL229" i="1"/>
  <c r="AL233" i="1"/>
  <c r="AL46" i="1"/>
  <c r="AL80" i="1"/>
  <c r="AL110" i="1"/>
  <c r="AL30" i="1"/>
  <c r="AL34" i="1"/>
  <c r="AL36" i="1"/>
  <c r="AL38" i="1"/>
  <c r="AL42" i="1"/>
  <c r="AL47" i="1"/>
  <c r="AL51" i="1"/>
  <c r="AL57" i="1"/>
  <c r="AL60" i="1"/>
  <c r="AL68" i="1"/>
  <c r="AL81" i="1"/>
  <c r="AL84" i="1"/>
  <c r="AL87" i="1"/>
  <c r="AL94" i="1"/>
  <c r="AL104" i="1"/>
  <c r="AL115" i="1"/>
  <c r="AL140" i="1"/>
  <c r="AL158" i="1"/>
  <c r="AL161" i="1"/>
  <c r="AL182" i="1"/>
  <c r="AL189" i="1"/>
  <c r="AL226" i="1"/>
  <c r="AL230" i="1"/>
  <c r="AL234" i="1"/>
  <c r="AL44" i="1"/>
  <c r="AL55" i="1"/>
  <c r="AL58" i="1"/>
  <c r="AL91" i="1"/>
  <c r="AL239" i="1"/>
  <c r="AL243" i="1"/>
  <c r="AL251" i="1"/>
  <c r="AL262" i="1"/>
  <c r="AL287" i="1"/>
  <c r="AL296" i="1"/>
  <c r="AL300" i="1"/>
  <c r="AL312" i="1"/>
  <c r="AL330" i="1"/>
  <c r="AL244" i="1"/>
  <c r="AL288" i="1"/>
  <c r="AL301" i="1"/>
  <c r="AL313" i="1"/>
  <c r="AL317" i="1"/>
  <c r="AL319" i="1"/>
  <c r="AL324" i="1"/>
  <c r="AL327" i="1"/>
  <c r="AL331" i="1"/>
  <c r="AL249" i="1"/>
  <c r="AL282" i="1"/>
  <c r="AL302" i="1"/>
  <c r="AL306" i="1"/>
  <c r="AL314" i="1"/>
  <c r="AL320" i="1"/>
  <c r="AL328" i="1"/>
  <c r="J15" i="58" l="1"/>
  <c r="J32" i="58"/>
  <c r="P390" i="1"/>
  <c r="P3" i="11" l="1"/>
  <c r="A4" i="10" l="1"/>
  <c r="B4" i="10"/>
  <c r="C4" i="10"/>
  <c r="D4" i="10"/>
  <c r="A5" i="10"/>
  <c r="B5" i="10"/>
  <c r="C5" i="10"/>
  <c r="D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B30" i="10"/>
  <c r="C30" i="10"/>
  <c r="A31" i="10"/>
  <c r="A35" i="10"/>
  <c r="B35" i="10"/>
  <c r="C35" i="10"/>
  <c r="D35" i="10"/>
  <c r="A36" i="10"/>
  <c r="B36" i="10"/>
  <c r="C36" i="10"/>
  <c r="D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B60" i="10"/>
  <c r="C60" i="10"/>
  <c r="D60" i="10"/>
  <c r="B61" i="10"/>
  <c r="C61" i="10"/>
  <c r="A62" i="10"/>
  <c r="R2" i="1" l="1"/>
  <c r="S2" i="1" l="1"/>
  <c r="T2" i="1" l="1"/>
  <c r="U2" i="1" l="1"/>
  <c r="F23" i="1"/>
  <c r="G23" i="1"/>
  <c r="H23" i="1"/>
  <c r="I23" i="1"/>
  <c r="J23" i="1"/>
  <c r="K23" i="1"/>
  <c r="L23" i="1"/>
  <c r="M23" i="1"/>
  <c r="N23" i="1"/>
  <c r="AF60" i="8"/>
  <c r="B58" i="10" s="1"/>
  <c r="AF59" i="8"/>
  <c r="B57" i="10" s="1"/>
  <c r="AF58" i="8"/>
  <c r="B56" i="10" s="1"/>
  <c r="AF57" i="8"/>
  <c r="B55" i="10" s="1"/>
  <c r="AF56" i="8"/>
  <c r="B54" i="10" s="1"/>
  <c r="AF52" i="8"/>
  <c r="B50" i="10" s="1"/>
  <c r="AF21" i="8"/>
  <c r="B19" i="10" s="1"/>
  <c r="AF25" i="8"/>
  <c r="B23" i="10" s="1"/>
  <c r="AF26" i="8"/>
  <c r="B24" i="10" s="1"/>
  <c r="AF27" i="8"/>
  <c r="B25" i="10" s="1"/>
  <c r="AF28" i="8"/>
  <c r="B26" i="10" s="1"/>
  <c r="AF29" i="8"/>
  <c r="B27" i="10" s="1"/>
  <c r="V2" i="1" l="1"/>
  <c r="W2" i="1" l="1"/>
  <c r="O2" i="6"/>
  <c r="O1" i="6"/>
  <c r="R25" i="1"/>
  <c r="S25" i="1"/>
  <c r="T25" i="1"/>
  <c r="U25" i="1"/>
  <c r="V25" i="1"/>
  <c r="W25" i="1"/>
  <c r="F25" i="1"/>
  <c r="G25" i="1"/>
  <c r="H25" i="1"/>
  <c r="I25" i="1"/>
  <c r="J25" i="1"/>
  <c r="K25" i="1"/>
  <c r="L25" i="1"/>
  <c r="M25" i="1"/>
  <c r="N25" i="1"/>
  <c r="O25" i="1"/>
  <c r="P25" i="1"/>
  <c r="AL26" i="1"/>
  <c r="AM23" i="1"/>
  <c r="O211" i="6" l="1"/>
  <c r="O91" i="6"/>
  <c r="O90" i="6"/>
  <c r="O167" i="6"/>
  <c r="O76" i="6"/>
  <c r="O25" i="6"/>
  <c r="O24" i="6"/>
  <c r="O255" i="6"/>
  <c r="O224" i="6"/>
  <c r="O216" i="6"/>
  <c r="O206" i="6"/>
  <c r="O212" i="6"/>
  <c r="O256" i="6"/>
  <c r="O252" i="6"/>
  <c r="O248" i="6"/>
  <c r="O244" i="6"/>
  <c r="O232" i="6"/>
  <c r="O156" i="6"/>
  <c r="O148" i="6"/>
  <c r="O132" i="6"/>
  <c r="O128" i="6"/>
  <c r="O124" i="6"/>
  <c r="O120" i="6"/>
  <c r="O116" i="6"/>
  <c r="O112" i="6"/>
  <c r="O180" i="6"/>
  <c r="O172" i="6"/>
  <c r="O162" i="6"/>
  <c r="O104" i="6"/>
  <c r="O96" i="6"/>
  <c r="O86" i="6"/>
  <c r="O100" i="6"/>
  <c r="O82" i="6"/>
  <c r="O198" i="6"/>
  <c r="O184" i="6"/>
  <c r="O176" i="6"/>
  <c r="O168" i="6"/>
  <c r="O108" i="6"/>
  <c r="O92" i="6"/>
  <c r="O59" i="6"/>
  <c r="O72" i="6"/>
  <c r="O64" i="6"/>
  <c r="O54" i="6"/>
  <c r="O155" i="6"/>
  <c r="O215" i="6"/>
  <c r="O68" i="6"/>
  <c r="O247" i="6"/>
  <c r="O227" i="6"/>
  <c r="O205" i="6"/>
  <c r="O201" i="6"/>
  <c r="O197" i="6"/>
  <c r="O193" i="6"/>
  <c r="O183" i="6"/>
  <c r="O179" i="6"/>
  <c r="O175" i="6"/>
  <c r="O171" i="6"/>
  <c r="O165" i="6"/>
  <c r="O161" i="6"/>
  <c r="O95" i="6"/>
  <c r="O85" i="6"/>
  <c r="O71" i="6"/>
  <c r="O67" i="6"/>
  <c r="O48" i="6"/>
  <c r="O44" i="6"/>
  <c r="O250" i="6"/>
  <c r="O246" i="6"/>
  <c r="O242" i="6"/>
  <c r="O238" i="6"/>
  <c r="O230" i="6"/>
  <c r="O131" i="6"/>
  <c r="O123" i="6"/>
  <c r="O115" i="6"/>
  <c r="O243" i="6"/>
  <c r="O239" i="6"/>
  <c r="O231" i="6"/>
  <c r="O103" i="6"/>
  <c r="O63" i="6"/>
  <c r="O251" i="6"/>
  <c r="O119" i="6"/>
  <c r="O111" i="6"/>
  <c r="O107" i="6"/>
  <c r="O89" i="6"/>
  <c r="O40" i="6"/>
  <c r="O226" i="6"/>
  <c r="O222" i="6"/>
  <c r="O126" i="6"/>
  <c r="O110" i="6"/>
  <c r="O106" i="6"/>
  <c r="O102" i="6"/>
  <c r="O98" i="6"/>
  <c r="O122" i="6"/>
  <c r="O80" i="6"/>
  <c r="O74" i="6"/>
  <c r="O70" i="6"/>
  <c r="O118" i="6"/>
  <c r="O94" i="6"/>
  <c r="O88" i="6"/>
  <c r="O84" i="6"/>
  <c r="O214" i="6"/>
  <c r="O204" i="6"/>
  <c r="O200" i="6"/>
  <c r="O196" i="6"/>
  <c r="O182" i="6"/>
  <c r="O178" i="6"/>
  <c r="O174" i="6"/>
  <c r="O170" i="6"/>
  <c r="O164" i="6"/>
  <c r="O160" i="6"/>
  <c r="O154" i="6"/>
  <c r="O150" i="6"/>
  <c r="O146" i="6"/>
  <c r="O130" i="6"/>
  <c r="O114" i="6"/>
  <c r="O241" i="6"/>
  <c r="O237" i="6"/>
  <c r="O57" i="6"/>
  <c r="O253" i="6"/>
  <c r="O249" i="6"/>
  <c r="O245" i="6"/>
  <c r="O229" i="6"/>
  <c r="O225" i="6"/>
  <c r="O221" i="6"/>
  <c r="O217" i="6"/>
  <c r="O207" i="6"/>
  <c r="O203" i="6"/>
  <c r="O199" i="6"/>
  <c r="O181" i="6"/>
  <c r="O177" i="6"/>
  <c r="O173" i="6"/>
  <c r="O163" i="6"/>
  <c r="O47" i="6"/>
  <c r="O43" i="6"/>
  <c r="O117" i="6"/>
  <c r="O113" i="6"/>
  <c r="O97" i="6"/>
  <c r="O73" i="6"/>
  <c r="O65" i="6"/>
  <c r="O42" i="6"/>
  <c r="O37" i="6"/>
  <c r="O33" i="6"/>
  <c r="O29" i="6"/>
  <c r="O121" i="6"/>
  <c r="O101" i="6"/>
  <c r="O83" i="6"/>
  <c r="O149" i="6"/>
  <c r="O125" i="6"/>
  <c r="O87" i="6"/>
  <c r="O153" i="6"/>
  <c r="O133" i="6"/>
  <c r="O129" i="6"/>
  <c r="O109" i="6"/>
  <c r="O79" i="6"/>
  <c r="O60" i="6"/>
  <c r="O55" i="6"/>
  <c r="O189" i="6"/>
  <c r="O192" i="6"/>
  <c r="O188" i="6"/>
  <c r="O186" i="6"/>
  <c r="O191" i="6"/>
  <c r="O187" i="6"/>
  <c r="O23" i="6"/>
  <c r="O166" i="6"/>
  <c r="O158" i="6"/>
  <c r="O62" i="6"/>
  <c r="O50" i="6"/>
  <c r="O38" i="6"/>
  <c r="O56" i="6"/>
  <c r="O159" i="6"/>
  <c r="O75" i="6"/>
  <c r="O210" i="6"/>
  <c r="O257" i="6"/>
  <c r="O19" i="6"/>
  <c r="O228" i="6"/>
  <c r="O220" i="6"/>
  <c r="O202" i="6"/>
  <c r="O260" i="6"/>
  <c r="O240" i="6"/>
  <c r="O236" i="6"/>
  <c r="O152" i="6"/>
  <c r="O144" i="6"/>
  <c r="O140" i="6"/>
  <c r="O136" i="6"/>
  <c r="O194" i="6"/>
  <c r="O28" i="6"/>
  <c r="O21" i="6"/>
  <c r="O78" i="6"/>
  <c r="O45" i="6"/>
  <c r="O36" i="6"/>
  <c r="O32" i="6"/>
  <c r="O147" i="6"/>
  <c r="O143" i="6"/>
  <c r="O139" i="6"/>
  <c r="O49" i="6"/>
  <c r="O235" i="6"/>
  <c r="O151" i="6"/>
  <c r="O41" i="6"/>
  <c r="O259" i="6"/>
  <c r="O223" i="6"/>
  <c r="O219" i="6"/>
  <c r="O209" i="6"/>
  <c r="O99" i="6"/>
  <c r="O81" i="6"/>
  <c r="O77" i="6"/>
  <c r="O53" i="6"/>
  <c r="O20" i="6"/>
  <c r="O258" i="6"/>
  <c r="O254" i="6"/>
  <c r="O234" i="6"/>
  <c r="O58" i="6"/>
  <c r="O135" i="6"/>
  <c r="O127" i="6"/>
  <c r="O35" i="6"/>
  <c r="O31" i="6"/>
  <c r="O27" i="6"/>
  <c r="O134" i="6"/>
  <c r="O218" i="6"/>
  <c r="O208" i="6"/>
  <c r="O190" i="6"/>
  <c r="O142" i="6"/>
  <c r="O138" i="6"/>
  <c r="O61" i="6"/>
  <c r="O233" i="6"/>
  <c r="O39" i="6"/>
  <c r="O34" i="6"/>
  <c r="O30" i="6"/>
  <c r="O26" i="6"/>
  <c r="O261" i="6"/>
  <c r="O195" i="6"/>
  <c r="O185" i="6"/>
  <c r="O169" i="6"/>
  <c r="O213" i="6"/>
  <c r="O157" i="6"/>
  <c r="O66" i="6"/>
  <c r="O52" i="6"/>
  <c r="O145" i="6"/>
  <c r="O69" i="6"/>
  <c r="O137" i="6"/>
  <c r="O105" i="6"/>
  <c r="O141" i="6"/>
  <c r="O93" i="6"/>
  <c r="O51" i="6"/>
  <c r="O46" i="6"/>
  <c r="O22" i="6"/>
  <c r="AM56" i="1"/>
  <c r="AM155" i="1"/>
  <c r="AM365" i="1"/>
  <c r="AM364" i="1"/>
  <c r="AM370" i="1"/>
  <c r="AM371" i="1"/>
  <c r="AM372" i="1"/>
  <c r="AM369" i="1"/>
  <c r="AM368" i="1"/>
  <c r="AM79" i="1"/>
  <c r="AM50" i="1"/>
  <c r="AM351" i="1"/>
  <c r="AM353" i="1"/>
  <c r="AM335" i="1"/>
  <c r="P1" i="6"/>
  <c r="AM41" i="1"/>
  <c r="AM45" i="1"/>
  <c r="AM61" i="1"/>
  <c r="AM82" i="1"/>
  <c r="AM85" i="1"/>
  <c r="AM90" i="1"/>
  <c r="AM101" i="1"/>
  <c r="AM227" i="1"/>
  <c r="AM43" i="1"/>
  <c r="AM93" i="1"/>
  <c r="AM52" i="1"/>
  <c r="AM64" i="1"/>
  <c r="AM76" i="1"/>
  <c r="AM113" i="1"/>
  <c r="AM126" i="1"/>
  <c r="AM133" i="1"/>
  <c r="AM31" i="1"/>
  <c r="AM39" i="1"/>
  <c r="AM48" i="1"/>
  <c r="AM63" i="1"/>
  <c r="AM145" i="1"/>
  <c r="AM28" i="1"/>
  <c r="AM67" i="1"/>
  <c r="AM65" i="1"/>
  <c r="AM86" i="1"/>
  <c r="AM146" i="1"/>
  <c r="AM159" i="1"/>
  <c r="AM329" i="1"/>
  <c r="AM59" i="1"/>
  <c r="AM123" i="1"/>
  <c r="AM224" i="1"/>
  <c r="AM49" i="1"/>
  <c r="AM283" i="1"/>
  <c r="AM307" i="1"/>
  <c r="AM114" i="1"/>
  <c r="AM147" i="1"/>
  <c r="AM160" i="1"/>
  <c r="AM175" i="1"/>
  <c r="AM178" i="1"/>
  <c r="AM54" i="1"/>
  <c r="AM40" i="1"/>
  <c r="AM55" i="1"/>
  <c r="AM83" i="1"/>
  <c r="AM225" i="1"/>
  <c r="AM103" i="1"/>
  <c r="AM32" i="1"/>
  <c r="AM46" i="1"/>
  <c r="AM77" i="1"/>
  <c r="AM53" i="1"/>
  <c r="AM80" i="1"/>
  <c r="AM30" i="1"/>
  <c r="AM38" i="1"/>
  <c r="AM47" i="1"/>
  <c r="AM57" i="1"/>
  <c r="AM84" i="1"/>
  <c r="AM104" i="1"/>
  <c r="AM140" i="1"/>
  <c r="AM230" i="1"/>
  <c r="AM62" i="1"/>
  <c r="AM251" i="1"/>
  <c r="AM262" i="1"/>
  <c r="AM288" i="1"/>
  <c r="AM313" i="1"/>
  <c r="AM327" i="1"/>
  <c r="AM81" i="1"/>
  <c r="AM115" i="1"/>
  <c r="AM226" i="1"/>
  <c r="AM243" i="1"/>
  <c r="AM300" i="1"/>
  <c r="AM44" i="1"/>
  <c r="AM102" i="1"/>
  <c r="AM34" i="1"/>
  <c r="AM36" i="1"/>
  <c r="AM51" i="1"/>
  <c r="AM60" i="1"/>
  <c r="AM68" i="1"/>
  <c r="AM87" i="1"/>
  <c r="AM234" i="1"/>
  <c r="AM296" i="1"/>
  <c r="AM312" i="1"/>
  <c r="AM244" i="1"/>
  <c r="AM319" i="1"/>
  <c r="AM91" i="1"/>
  <c r="AM94" i="1"/>
  <c r="AM158" i="1"/>
  <c r="AM71" i="1"/>
  <c r="AM301" i="1"/>
  <c r="AM317" i="1"/>
  <c r="AM331" i="1"/>
  <c r="AM314" i="1"/>
  <c r="AM328" i="1"/>
  <c r="AM249" i="1"/>
  <c r="AM282" i="1"/>
  <c r="AM320" i="1"/>
  <c r="P2" i="6"/>
  <c r="AN23" i="1"/>
  <c r="AM26" i="1"/>
  <c r="AM22" i="1"/>
  <c r="P211" i="6" l="1"/>
  <c r="P90" i="6"/>
  <c r="P24" i="6"/>
  <c r="P167" i="6"/>
  <c r="P76" i="6"/>
  <c r="P91" i="6"/>
  <c r="P25" i="6"/>
  <c r="P255" i="6"/>
  <c r="P256" i="6"/>
  <c r="P252" i="6"/>
  <c r="P248" i="6"/>
  <c r="P244" i="6"/>
  <c r="P232" i="6"/>
  <c r="P224" i="6"/>
  <c r="P216" i="6"/>
  <c r="P212" i="6"/>
  <c r="P206" i="6"/>
  <c r="P198" i="6"/>
  <c r="P184" i="6"/>
  <c r="P180" i="6"/>
  <c r="P176" i="6"/>
  <c r="P172" i="6"/>
  <c r="P168" i="6"/>
  <c r="P162" i="6"/>
  <c r="P108" i="6"/>
  <c r="P104" i="6"/>
  <c r="P100" i="6"/>
  <c r="P96" i="6"/>
  <c r="P92" i="6"/>
  <c r="P86" i="6"/>
  <c r="P82" i="6"/>
  <c r="P156" i="6"/>
  <c r="P148" i="6"/>
  <c r="P72" i="6"/>
  <c r="P68" i="6"/>
  <c r="P64" i="6"/>
  <c r="P59" i="6"/>
  <c r="P132" i="6"/>
  <c r="P128" i="6"/>
  <c r="P124" i="6"/>
  <c r="P120" i="6"/>
  <c r="P116" i="6"/>
  <c r="P112" i="6"/>
  <c r="P227" i="6"/>
  <c r="P205" i="6"/>
  <c r="P201" i="6"/>
  <c r="P197" i="6"/>
  <c r="P193" i="6"/>
  <c r="P183" i="6"/>
  <c r="P179" i="6"/>
  <c r="P175" i="6"/>
  <c r="P171" i="6"/>
  <c r="P165" i="6"/>
  <c r="P161" i="6"/>
  <c r="P54" i="6"/>
  <c r="P247" i="6"/>
  <c r="P215" i="6"/>
  <c r="P155" i="6"/>
  <c r="P103" i="6"/>
  <c r="P119" i="6"/>
  <c r="P107" i="6"/>
  <c r="P111" i="6"/>
  <c r="P95" i="6"/>
  <c r="P89" i="6"/>
  <c r="P85" i="6"/>
  <c r="P71" i="6"/>
  <c r="P67" i="6"/>
  <c r="P63" i="6"/>
  <c r="P40" i="6"/>
  <c r="P251" i="6"/>
  <c r="P243" i="6"/>
  <c r="P239" i="6"/>
  <c r="P231" i="6"/>
  <c r="P250" i="6"/>
  <c r="P246" i="6"/>
  <c r="P131" i="6"/>
  <c r="P123" i="6"/>
  <c r="P115" i="6"/>
  <c r="P48" i="6"/>
  <c r="P44" i="6"/>
  <c r="P222" i="6"/>
  <c r="P214" i="6"/>
  <c r="P204" i="6"/>
  <c r="P200" i="6"/>
  <c r="P196" i="6"/>
  <c r="P182" i="6"/>
  <c r="P178" i="6"/>
  <c r="P174" i="6"/>
  <c r="P170" i="6"/>
  <c r="P164" i="6"/>
  <c r="P160" i="6"/>
  <c r="P242" i="6"/>
  <c r="P238" i="6"/>
  <c r="P230" i="6"/>
  <c r="P226" i="6"/>
  <c r="P154" i="6"/>
  <c r="P150" i="6"/>
  <c r="P146" i="6"/>
  <c r="P130" i="6"/>
  <c r="P126" i="6"/>
  <c r="P122" i="6"/>
  <c r="P118" i="6"/>
  <c r="P114" i="6"/>
  <c r="P110" i="6"/>
  <c r="P106" i="6"/>
  <c r="P102" i="6"/>
  <c r="P98" i="6"/>
  <c r="P94" i="6"/>
  <c r="P88" i="6"/>
  <c r="P84" i="6"/>
  <c r="P80" i="6"/>
  <c r="P74" i="6"/>
  <c r="P70" i="6"/>
  <c r="P47" i="6"/>
  <c r="P43" i="6"/>
  <c r="P253" i="6"/>
  <c r="P249" i="6"/>
  <c r="P245" i="6"/>
  <c r="P241" i="6"/>
  <c r="P237" i="6"/>
  <c r="P153" i="6"/>
  <c r="P149" i="6"/>
  <c r="P57" i="6"/>
  <c r="P225" i="6"/>
  <c r="P221" i="6"/>
  <c r="P217" i="6"/>
  <c r="P207" i="6"/>
  <c r="P203" i="6"/>
  <c r="P199" i="6"/>
  <c r="P181" i="6"/>
  <c r="P177" i="6"/>
  <c r="P173" i="6"/>
  <c r="P163" i="6"/>
  <c r="P229" i="6"/>
  <c r="P117" i="6"/>
  <c r="P113" i="6"/>
  <c r="P97" i="6"/>
  <c r="P55" i="6"/>
  <c r="P121" i="6"/>
  <c r="P101" i="6"/>
  <c r="P83" i="6"/>
  <c r="P79" i="6"/>
  <c r="P73" i="6"/>
  <c r="P65" i="6"/>
  <c r="P60" i="6"/>
  <c r="P42" i="6"/>
  <c r="P37" i="6"/>
  <c r="P33" i="6"/>
  <c r="P29" i="6"/>
  <c r="P125" i="6"/>
  <c r="P87" i="6"/>
  <c r="P133" i="6"/>
  <c r="P129" i="6"/>
  <c r="P109" i="6"/>
  <c r="P186" i="6"/>
  <c r="P191" i="6"/>
  <c r="P187" i="6"/>
  <c r="P192" i="6"/>
  <c r="P188" i="6"/>
  <c r="P189" i="6"/>
  <c r="P23" i="6"/>
  <c r="P56" i="6"/>
  <c r="P159" i="6"/>
  <c r="P75" i="6"/>
  <c r="P210" i="6"/>
  <c r="P166" i="6"/>
  <c r="P158" i="6"/>
  <c r="P62" i="6"/>
  <c r="P50" i="6"/>
  <c r="P38" i="6"/>
  <c r="P257" i="6"/>
  <c r="P260" i="6"/>
  <c r="P240" i="6"/>
  <c r="P236" i="6"/>
  <c r="P228" i="6"/>
  <c r="P220" i="6"/>
  <c r="P202" i="6"/>
  <c r="P19" i="6"/>
  <c r="P194" i="6"/>
  <c r="P152" i="6"/>
  <c r="P144" i="6"/>
  <c r="P78" i="6"/>
  <c r="P41" i="6"/>
  <c r="P36" i="6"/>
  <c r="P32" i="6"/>
  <c r="P28" i="6"/>
  <c r="P140" i="6"/>
  <c r="P136" i="6"/>
  <c r="P49" i="6"/>
  <c r="P223" i="6"/>
  <c r="P219" i="6"/>
  <c r="P209" i="6"/>
  <c r="P259" i="6"/>
  <c r="P45" i="6"/>
  <c r="P21" i="6"/>
  <c r="P235" i="6"/>
  <c r="P151" i="6"/>
  <c r="P147" i="6"/>
  <c r="P143" i="6"/>
  <c r="P139" i="6"/>
  <c r="P127" i="6"/>
  <c r="P135" i="6"/>
  <c r="P81" i="6"/>
  <c r="P77" i="6"/>
  <c r="P58" i="6"/>
  <c r="P35" i="6"/>
  <c r="P31" i="6"/>
  <c r="P27" i="6"/>
  <c r="P20" i="6"/>
  <c r="P258" i="6"/>
  <c r="P254" i="6"/>
  <c r="P99" i="6"/>
  <c r="P53" i="6"/>
  <c r="P218" i="6"/>
  <c r="P208" i="6"/>
  <c r="P190" i="6"/>
  <c r="P234" i="6"/>
  <c r="P142" i="6"/>
  <c r="P138" i="6"/>
  <c r="P134" i="6"/>
  <c r="P61" i="6"/>
  <c r="P52" i="6"/>
  <c r="P39" i="6"/>
  <c r="P34" i="6"/>
  <c r="P30" i="6"/>
  <c r="P26" i="6"/>
  <c r="P261" i="6"/>
  <c r="P233" i="6"/>
  <c r="P157" i="6"/>
  <c r="P145" i="6"/>
  <c r="P141" i="6"/>
  <c r="P137" i="6"/>
  <c r="P66" i="6"/>
  <c r="P213" i="6"/>
  <c r="P195" i="6"/>
  <c r="P185" i="6"/>
  <c r="P169" i="6"/>
  <c r="P51" i="6"/>
  <c r="P46" i="6"/>
  <c r="P69" i="6"/>
  <c r="P105" i="6"/>
  <c r="P93" i="6"/>
  <c r="P22" i="6"/>
  <c r="AN155" i="1"/>
  <c r="AN56" i="1"/>
  <c r="AM352" i="1"/>
  <c r="AM360" i="1"/>
  <c r="AM350" i="1"/>
  <c r="AN365" i="1"/>
  <c r="AN364" i="1"/>
  <c r="AM106" i="1"/>
  <c r="AM361" i="1"/>
  <c r="AM363" i="1"/>
  <c r="AM362" i="1"/>
  <c r="AN369" i="1"/>
  <c r="AN368" i="1"/>
  <c r="AN370" i="1"/>
  <c r="AN371" i="1"/>
  <c r="AN372" i="1"/>
  <c r="AM302" i="1"/>
  <c r="AM330" i="1"/>
  <c r="AN79" i="1"/>
  <c r="AN50" i="1"/>
  <c r="AM333" i="1"/>
  <c r="AM337" i="1"/>
  <c r="AM332" i="1"/>
  <c r="AM367" i="1"/>
  <c r="AM366" i="1"/>
  <c r="AM336" i="1"/>
  <c r="AM321" i="1"/>
  <c r="AN351" i="1"/>
  <c r="AN353" i="1"/>
  <c r="AM343" i="1"/>
  <c r="AM338" i="1"/>
  <c r="AM344" i="1"/>
  <c r="AM346" i="1"/>
  <c r="AM107" i="1"/>
  <c r="AM340" i="1"/>
  <c r="AM349" i="1"/>
  <c r="AM339" i="1"/>
  <c r="AM348" i="1"/>
  <c r="AM347" i="1"/>
  <c r="AM345" i="1"/>
  <c r="AM341" i="1"/>
  <c r="AM342" i="1"/>
  <c r="AM334" i="1"/>
  <c r="AN26" i="1"/>
  <c r="AN335" i="1"/>
  <c r="AM58" i="1"/>
  <c r="AM293" i="1"/>
  <c r="AM228" i="1"/>
  <c r="AM188" i="1"/>
  <c r="AM231" i="1"/>
  <c r="AM236" i="1"/>
  <c r="AM306" i="1"/>
  <c r="AM110" i="1"/>
  <c r="AM189" i="1"/>
  <c r="AM161" i="1"/>
  <c r="AM239" i="1"/>
  <c r="AM182" i="1"/>
  <c r="AM78" i="1"/>
  <c r="AM233" i="1"/>
  <c r="AM164" i="1"/>
  <c r="AM213" i="1"/>
  <c r="AM324" i="1"/>
  <c r="AM287" i="1"/>
  <c r="AM42" i="1"/>
  <c r="AM229" i="1"/>
  <c r="AM232" i="1"/>
  <c r="AM235" i="1"/>
  <c r="AN41" i="1"/>
  <c r="AN43" i="1"/>
  <c r="AN52" i="1"/>
  <c r="AN64" i="1"/>
  <c r="AN76" i="1"/>
  <c r="AN113" i="1"/>
  <c r="AN126" i="1"/>
  <c r="AN133" i="1"/>
  <c r="AN31" i="1"/>
  <c r="AN39" i="1"/>
  <c r="AN48" i="1"/>
  <c r="AN63" i="1"/>
  <c r="AN145" i="1"/>
  <c r="AN45" i="1"/>
  <c r="AN61" i="1"/>
  <c r="AN82" i="1"/>
  <c r="AN85" i="1"/>
  <c r="AN90" i="1"/>
  <c r="AN101" i="1"/>
  <c r="AN227" i="1"/>
  <c r="AN30" i="1"/>
  <c r="AN47" i="1"/>
  <c r="AN65" i="1"/>
  <c r="AN86" i="1"/>
  <c r="AN146" i="1"/>
  <c r="AN159" i="1"/>
  <c r="AN38" i="1"/>
  <c r="AN57" i="1"/>
  <c r="AN123" i="1"/>
  <c r="AN307" i="1"/>
  <c r="AN87" i="1"/>
  <c r="AN49" i="1"/>
  <c r="AN283" i="1"/>
  <c r="AN28" i="1"/>
  <c r="AN224" i="1"/>
  <c r="AN36" i="1"/>
  <c r="AN40" i="1"/>
  <c r="AN55" i="1"/>
  <c r="AN83" i="1"/>
  <c r="AN54" i="1"/>
  <c r="AN62" i="1"/>
  <c r="AN71" i="1"/>
  <c r="AN147" i="1"/>
  <c r="AN160" i="1"/>
  <c r="AN175" i="1"/>
  <c r="AN225" i="1"/>
  <c r="AN329" i="1"/>
  <c r="AN60" i="1"/>
  <c r="AN93" i="1"/>
  <c r="AN32" i="1"/>
  <c r="AN46" i="1"/>
  <c r="AN77" i="1"/>
  <c r="AN59" i="1"/>
  <c r="AN67" i="1"/>
  <c r="AN103" i="1"/>
  <c r="AN68" i="1"/>
  <c r="AN114" i="1"/>
  <c r="AN94" i="1"/>
  <c r="AN104" i="1"/>
  <c r="AN115" i="1"/>
  <c r="AN226" i="1"/>
  <c r="AN51" i="1"/>
  <c r="AN262" i="1"/>
  <c r="AN300" i="1"/>
  <c r="AN44" i="1"/>
  <c r="AN102" i="1"/>
  <c r="AN84" i="1"/>
  <c r="AN296" i="1"/>
  <c r="AN312" i="1"/>
  <c r="AN244" i="1"/>
  <c r="AN319" i="1"/>
  <c r="AN91" i="1"/>
  <c r="AN140" i="1"/>
  <c r="AN158" i="1"/>
  <c r="AN234" i="1"/>
  <c r="AN34" i="1"/>
  <c r="AN243" i="1"/>
  <c r="AN301" i="1"/>
  <c r="AN317" i="1"/>
  <c r="AN331" i="1"/>
  <c r="AN178" i="1"/>
  <c r="AN53" i="1"/>
  <c r="AN80" i="1"/>
  <c r="AN81" i="1"/>
  <c r="AN230" i="1"/>
  <c r="AN251" i="1"/>
  <c r="AN288" i="1"/>
  <c r="AN313" i="1"/>
  <c r="AN328" i="1"/>
  <c r="AN249" i="1"/>
  <c r="AN282" i="1"/>
  <c r="AN314" i="1"/>
  <c r="AN327" i="1"/>
  <c r="AN320" i="1"/>
  <c r="Q1" i="6"/>
  <c r="Q2" i="6"/>
  <c r="AO23" i="1"/>
  <c r="AN22" i="1"/>
  <c r="Q186" i="6" l="1"/>
  <c r="Q191" i="6"/>
  <c r="Q187" i="6"/>
  <c r="Q192" i="6"/>
  <c r="Q188" i="6"/>
  <c r="Q189" i="6"/>
  <c r="Q158" i="6"/>
  <c r="Q62" i="6"/>
  <c r="Q38" i="6"/>
  <c r="Q23" i="6"/>
  <c r="Q75" i="6"/>
  <c r="Q210" i="6"/>
  <c r="Q166" i="6"/>
  <c r="Q50" i="6"/>
  <c r="Q56" i="6"/>
  <c r="Q159" i="6"/>
  <c r="Q19" i="6"/>
  <c r="Q260" i="6"/>
  <c r="Q240" i="6"/>
  <c r="Q236" i="6"/>
  <c r="Q228" i="6"/>
  <c r="Q220" i="6"/>
  <c r="Q257" i="6"/>
  <c r="Q194" i="6"/>
  <c r="Q152" i="6"/>
  <c r="Q202" i="6"/>
  <c r="Q144" i="6"/>
  <c r="Q140" i="6"/>
  <c r="Q136" i="6"/>
  <c r="Q49" i="6"/>
  <c r="Q45" i="6"/>
  <c r="Q78" i="6"/>
  <c r="Q41" i="6"/>
  <c r="Q36" i="6"/>
  <c r="Q32" i="6"/>
  <c r="Q28" i="6"/>
  <c r="Q259" i="6"/>
  <c r="Q235" i="6"/>
  <c r="Q127" i="6"/>
  <c r="Q223" i="6"/>
  <c r="Q219" i="6"/>
  <c r="Q209" i="6"/>
  <c r="Q135" i="6"/>
  <c r="Q21" i="6"/>
  <c r="Q151" i="6"/>
  <c r="Q147" i="6"/>
  <c r="Q143" i="6"/>
  <c r="Q139" i="6"/>
  <c r="Q99" i="6"/>
  <c r="Q53" i="6"/>
  <c r="Q81" i="6"/>
  <c r="Q77" i="6"/>
  <c r="Q58" i="6"/>
  <c r="Q35" i="6"/>
  <c r="Q31" i="6"/>
  <c r="Q27" i="6"/>
  <c r="Q20" i="6"/>
  <c r="Q258" i="6"/>
  <c r="Q254" i="6"/>
  <c r="Q234" i="6"/>
  <c r="Q142" i="6"/>
  <c r="Q138" i="6"/>
  <c r="Q134" i="6"/>
  <c r="Q218" i="6"/>
  <c r="Q208" i="6"/>
  <c r="Q190" i="6"/>
  <c r="Q261" i="6"/>
  <c r="Q52" i="6"/>
  <c r="Q213" i="6"/>
  <c r="Q66" i="6"/>
  <c r="Q61" i="6"/>
  <c r="Q39" i="6"/>
  <c r="Q34" i="6"/>
  <c r="Q30" i="6"/>
  <c r="Q26" i="6"/>
  <c r="Q233" i="6"/>
  <c r="Q157" i="6"/>
  <c r="Q195" i="6"/>
  <c r="Q185" i="6"/>
  <c r="Q169" i="6"/>
  <c r="Q141" i="6"/>
  <c r="Q51" i="6"/>
  <c r="Q46" i="6"/>
  <c r="Q145" i="6"/>
  <c r="Q93" i="6"/>
  <c r="Q69" i="6"/>
  <c r="Q137" i="6"/>
  <c r="Q105" i="6"/>
  <c r="Q22" i="6"/>
  <c r="Q167" i="6"/>
  <c r="Q76" i="6"/>
  <c r="Q90" i="6"/>
  <c r="Q91" i="6"/>
  <c r="Q211" i="6"/>
  <c r="Q24" i="6"/>
  <c r="Q25" i="6"/>
  <c r="Q248" i="6"/>
  <c r="Q212" i="6"/>
  <c r="Q255" i="6"/>
  <c r="Q256" i="6"/>
  <c r="Q252" i="6"/>
  <c r="Q244" i="6"/>
  <c r="Q232" i="6"/>
  <c r="Q224" i="6"/>
  <c r="Q216" i="6"/>
  <c r="Q206" i="6"/>
  <c r="Q198" i="6"/>
  <c r="Q184" i="6"/>
  <c r="Q180" i="6"/>
  <c r="Q176" i="6"/>
  <c r="Q172" i="6"/>
  <c r="Q168" i="6"/>
  <c r="Q162" i="6"/>
  <c r="Q156" i="6"/>
  <c r="Q148" i="6"/>
  <c r="Q132" i="6"/>
  <c r="Q128" i="6"/>
  <c r="Q124" i="6"/>
  <c r="Q120" i="6"/>
  <c r="Q116" i="6"/>
  <c r="Q100" i="6"/>
  <c r="Q96" i="6"/>
  <c r="Q92" i="6"/>
  <c r="Q112" i="6"/>
  <c r="Q86" i="6"/>
  <c r="Q82" i="6"/>
  <c r="Q104" i="6"/>
  <c r="Q54" i="6"/>
  <c r="Q72" i="6"/>
  <c r="Q68" i="6"/>
  <c r="Q64" i="6"/>
  <c r="Q59" i="6"/>
  <c r="Q108" i="6"/>
  <c r="Q111" i="6"/>
  <c r="Q103" i="6"/>
  <c r="Q227" i="6"/>
  <c r="Q205" i="6"/>
  <c r="Q201" i="6"/>
  <c r="Q197" i="6"/>
  <c r="Q193" i="6"/>
  <c r="Q183" i="6"/>
  <c r="Q179" i="6"/>
  <c r="Q175" i="6"/>
  <c r="Q171" i="6"/>
  <c r="Q165" i="6"/>
  <c r="Q161" i="6"/>
  <c r="Q119" i="6"/>
  <c r="Q247" i="6"/>
  <c r="Q215" i="6"/>
  <c r="Q155" i="6"/>
  <c r="Q123" i="6"/>
  <c r="Q89" i="6"/>
  <c r="Q226" i="6"/>
  <c r="Q95" i="6"/>
  <c r="Q48" i="6"/>
  <c r="Q44" i="6"/>
  <c r="Q246" i="6"/>
  <c r="Q131" i="6"/>
  <c r="Q115" i="6"/>
  <c r="Q107" i="6"/>
  <c r="Q85" i="6"/>
  <c r="Q71" i="6"/>
  <c r="Q67" i="6"/>
  <c r="Q63" i="6"/>
  <c r="Q40" i="6"/>
  <c r="Q251" i="6"/>
  <c r="Q243" i="6"/>
  <c r="Q239" i="6"/>
  <c r="Q231" i="6"/>
  <c r="Q250" i="6"/>
  <c r="Q242" i="6"/>
  <c r="Q238" i="6"/>
  <c r="Q154" i="6"/>
  <c r="Q150" i="6"/>
  <c r="Q146" i="6"/>
  <c r="Q130" i="6"/>
  <c r="Q126" i="6"/>
  <c r="Q122" i="6"/>
  <c r="Q118" i="6"/>
  <c r="Q114" i="6"/>
  <c r="Q110" i="6"/>
  <c r="Q106" i="6"/>
  <c r="Q102" i="6"/>
  <c r="Q98" i="6"/>
  <c r="Q94" i="6"/>
  <c r="Q230" i="6"/>
  <c r="Q222" i="6"/>
  <c r="Q204" i="6"/>
  <c r="Q200" i="6"/>
  <c r="Q196" i="6"/>
  <c r="Q182" i="6"/>
  <c r="Q178" i="6"/>
  <c r="Q174" i="6"/>
  <c r="Q170" i="6"/>
  <c r="Q164" i="6"/>
  <c r="Q160" i="6"/>
  <c r="Q214" i="6"/>
  <c r="Q84" i="6"/>
  <c r="Q70" i="6"/>
  <c r="Q249" i="6"/>
  <c r="Q229" i="6"/>
  <c r="Q57" i="6"/>
  <c r="Q47" i="6"/>
  <c r="Q43" i="6"/>
  <c r="Q88" i="6"/>
  <c r="Q80" i="6"/>
  <c r="Q74" i="6"/>
  <c r="Q253" i="6"/>
  <c r="Q245" i="6"/>
  <c r="Q241" i="6"/>
  <c r="Q237" i="6"/>
  <c r="Q225" i="6"/>
  <c r="Q221" i="6"/>
  <c r="Q217" i="6"/>
  <c r="Q207" i="6"/>
  <c r="Q203" i="6"/>
  <c r="Q199" i="6"/>
  <c r="Q181" i="6"/>
  <c r="Q177" i="6"/>
  <c r="Q173" i="6"/>
  <c r="Q163" i="6"/>
  <c r="Q149" i="6"/>
  <c r="Q121" i="6"/>
  <c r="Q101" i="6"/>
  <c r="Q29" i="6"/>
  <c r="Q153" i="6"/>
  <c r="Q125" i="6"/>
  <c r="Q97" i="6"/>
  <c r="Q83" i="6"/>
  <c r="Q55" i="6"/>
  <c r="Q133" i="6"/>
  <c r="Q129" i="6"/>
  <c r="Q109" i="6"/>
  <c r="Q87" i="6"/>
  <c r="Q79" i="6"/>
  <c r="Q73" i="6"/>
  <c r="Q65" i="6"/>
  <c r="Q60" i="6"/>
  <c r="Q42" i="6"/>
  <c r="Q33" i="6"/>
  <c r="Q117" i="6"/>
  <c r="Q113" i="6"/>
  <c r="Q37" i="6"/>
  <c r="AN350" i="1"/>
  <c r="AN360" i="1"/>
  <c r="AN352" i="1"/>
  <c r="AO155" i="1"/>
  <c r="AO56" i="1"/>
  <c r="AN106" i="1"/>
  <c r="AN362" i="1"/>
  <c r="AN361" i="1"/>
  <c r="AN363" i="1"/>
  <c r="AO364" i="1"/>
  <c r="AO365" i="1"/>
  <c r="AN330" i="1"/>
  <c r="AO369" i="1"/>
  <c r="AO370" i="1"/>
  <c r="AO368" i="1"/>
  <c r="AO372" i="1"/>
  <c r="AO371" i="1"/>
  <c r="AN302" i="1"/>
  <c r="AO79" i="1"/>
  <c r="AO50" i="1"/>
  <c r="AN337" i="1"/>
  <c r="AN367" i="1"/>
  <c r="AN366" i="1"/>
  <c r="AN333" i="1"/>
  <c r="AN336" i="1"/>
  <c r="AN332" i="1"/>
  <c r="AN321" i="1"/>
  <c r="AO353" i="1"/>
  <c r="AO351" i="1"/>
  <c r="AN346" i="1"/>
  <c r="AN344" i="1"/>
  <c r="AN343" i="1"/>
  <c r="AN338" i="1"/>
  <c r="AN107" i="1"/>
  <c r="AN348" i="1"/>
  <c r="AN339" i="1"/>
  <c r="AN347" i="1"/>
  <c r="AN345" i="1"/>
  <c r="AN342" i="1"/>
  <c r="AN341" i="1"/>
  <c r="AN349" i="1"/>
  <c r="AN340" i="1"/>
  <c r="AN334" i="1"/>
  <c r="AO335" i="1"/>
  <c r="AN306" i="1"/>
  <c r="AN189" i="1"/>
  <c r="AN164" i="1"/>
  <c r="AN42" i="1"/>
  <c r="AN78" i="1"/>
  <c r="AN236" i="1"/>
  <c r="AN293" i="1"/>
  <c r="AN239" i="1"/>
  <c r="AN161" i="1"/>
  <c r="AN324" i="1"/>
  <c r="AN233" i="1"/>
  <c r="AN228" i="1"/>
  <c r="AN188" i="1"/>
  <c r="AN235" i="1"/>
  <c r="AN182" i="1"/>
  <c r="AN229" i="1"/>
  <c r="AN213" i="1"/>
  <c r="AN232" i="1"/>
  <c r="AN231" i="1"/>
  <c r="AN110" i="1"/>
  <c r="AN58" i="1"/>
  <c r="AN287" i="1"/>
  <c r="AM223" i="1"/>
  <c r="AL223" i="1"/>
  <c r="AM192" i="1"/>
  <c r="AL192" i="1"/>
  <c r="AL29" i="1"/>
  <c r="AM315" i="1"/>
  <c r="AL315" i="1"/>
  <c r="AL219" i="1"/>
  <c r="AM191" i="1"/>
  <c r="AL222" i="1"/>
  <c r="AM219" i="1"/>
  <c r="AL191" i="1"/>
  <c r="AL215" i="1"/>
  <c r="AM218" i="1"/>
  <c r="AL218" i="1"/>
  <c r="AM222" i="1"/>
  <c r="AM29" i="1"/>
  <c r="AM215" i="1"/>
  <c r="AM154" i="1"/>
  <c r="AM286" i="1"/>
  <c r="AL154" i="1"/>
  <c r="AL286" i="1"/>
  <c r="AM217" i="1"/>
  <c r="AM261" i="1"/>
  <c r="AL217" i="1"/>
  <c r="AL261" i="1"/>
  <c r="AO41" i="1"/>
  <c r="AO133" i="1"/>
  <c r="AO145" i="1"/>
  <c r="AO113" i="1"/>
  <c r="AO126" i="1"/>
  <c r="AO227" i="1"/>
  <c r="AO52" i="1"/>
  <c r="AO85" i="1"/>
  <c r="AO123" i="1"/>
  <c r="AO307" i="1"/>
  <c r="AO39" i="1"/>
  <c r="AO76" i="1"/>
  <c r="AO49" i="1"/>
  <c r="AO283" i="1"/>
  <c r="AO329" i="1"/>
  <c r="AO31" i="1"/>
  <c r="AO48" i="1"/>
  <c r="AO224" i="1"/>
  <c r="AO64" i="1"/>
  <c r="AO65" i="1"/>
  <c r="AO86" i="1"/>
  <c r="AO146" i="1"/>
  <c r="AO159" i="1"/>
  <c r="AO93" i="1"/>
  <c r="AO63" i="1"/>
  <c r="AO32" i="1"/>
  <c r="AO46" i="1"/>
  <c r="AO77" i="1"/>
  <c r="AO59" i="1"/>
  <c r="AO67" i="1"/>
  <c r="AO103" i="1"/>
  <c r="AO101" i="1"/>
  <c r="AO114" i="1"/>
  <c r="AO178" i="1"/>
  <c r="AO225" i="1"/>
  <c r="AO40" i="1"/>
  <c r="AO55" i="1"/>
  <c r="AO83" i="1"/>
  <c r="AO54" i="1"/>
  <c r="AO62" i="1"/>
  <c r="AO71" i="1"/>
  <c r="AO147" i="1"/>
  <c r="AO160" i="1"/>
  <c r="AO175" i="1"/>
  <c r="AO45" i="1"/>
  <c r="AO44" i="1"/>
  <c r="AO102" i="1"/>
  <c r="AO94" i="1"/>
  <c r="AO158" i="1"/>
  <c r="AO317" i="1"/>
  <c r="AO319" i="1"/>
  <c r="AO327" i="1"/>
  <c r="AO331" i="1"/>
  <c r="AO91" i="1"/>
  <c r="AO30" i="1"/>
  <c r="AO38" i="1"/>
  <c r="AO47" i="1"/>
  <c r="AO57" i="1"/>
  <c r="AO84" i="1"/>
  <c r="AO104" i="1"/>
  <c r="AO140" i="1"/>
  <c r="AO243" i="1"/>
  <c r="AO301" i="1"/>
  <c r="AO28" i="1"/>
  <c r="AO53" i="1"/>
  <c r="AO80" i="1"/>
  <c r="AO115" i="1"/>
  <c r="AO226" i="1"/>
  <c r="AO230" i="1"/>
  <c r="AO82" i="1"/>
  <c r="AO251" i="1"/>
  <c r="AO288" i="1"/>
  <c r="AO313" i="1"/>
  <c r="AO61" i="1"/>
  <c r="AO90" i="1"/>
  <c r="AO34" i="1"/>
  <c r="AO36" i="1"/>
  <c r="AO51" i="1"/>
  <c r="AO60" i="1"/>
  <c r="AO68" i="1"/>
  <c r="AO81" i="1"/>
  <c r="AO87" i="1"/>
  <c r="AO234" i="1"/>
  <c r="AO43" i="1"/>
  <c r="AO262" i="1"/>
  <c r="AO296" i="1"/>
  <c r="AO300" i="1"/>
  <c r="AO312" i="1"/>
  <c r="AO244" i="1"/>
  <c r="AO249" i="1"/>
  <c r="AO314" i="1"/>
  <c r="AO282" i="1"/>
  <c r="AO320" i="1"/>
  <c r="AO328" i="1"/>
  <c r="R1" i="6"/>
  <c r="AN66" i="1"/>
  <c r="AN137" i="1"/>
  <c r="AN153" i="1"/>
  <c r="AN166" i="1"/>
  <c r="AN194" i="1"/>
  <c r="AN208" i="1"/>
  <c r="AN223" i="1"/>
  <c r="AN35" i="1"/>
  <c r="AN88" i="1"/>
  <c r="AN98" i="1"/>
  <c r="AN105" i="1"/>
  <c r="AN119" i="1"/>
  <c r="AN149" i="1"/>
  <c r="AN162" i="1"/>
  <c r="AN177" i="1"/>
  <c r="AN190" i="1"/>
  <c r="AN220" i="1"/>
  <c r="AN112" i="1"/>
  <c r="AN72" i="1"/>
  <c r="AN173" i="1"/>
  <c r="AN187" i="1"/>
  <c r="AN216" i="1"/>
  <c r="AN69" i="1"/>
  <c r="AN95" i="1"/>
  <c r="AN109" i="1"/>
  <c r="AN130" i="1"/>
  <c r="AN141" i="1"/>
  <c r="AN183" i="1"/>
  <c r="AN198" i="1"/>
  <c r="AN212" i="1"/>
  <c r="AN99" i="1"/>
  <c r="AN116" i="1"/>
  <c r="AN174" i="1"/>
  <c r="AN191" i="1"/>
  <c r="AN205" i="1"/>
  <c r="AN221" i="1"/>
  <c r="AN246" i="1"/>
  <c r="AN261" i="1"/>
  <c r="AN322" i="1"/>
  <c r="AN27" i="1"/>
  <c r="AN142" i="1"/>
  <c r="AN156" i="1"/>
  <c r="AN170" i="1"/>
  <c r="AN202" i="1"/>
  <c r="AN217" i="1"/>
  <c r="AN242" i="1"/>
  <c r="AN257" i="1"/>
  <c r="AN272" i="1"/>
  <c r="AN286" i="1"/>
  <c r="AN290" i="1"/>
  <c r="AN295" i="1"/>
  <c r="AN299" i="1"/>
  <c r="AN303" i="1"/>
  <c r="AN311" i="1"/>
  <c r="AN315" i="1"/>
  <c r="AN138" i="1"/>
  <c r="AN167" i="1"/>
  <c r="AN180" i="1"/>
  <c r="AN184" i="1"/>
  <c r="AN199" i="1"/>
  <c r="AN253" i="1"/>
  <c r="AN268" i="1"/>
  <c r="AN134" i="1"/>
  <c r="AN150" i="1"/>
  <c r="AN163" i="1"/>
  <c r="AN195" i="1"/>
  <c r="AN209" i="1"/>
  <c r="AN250" i="1"/>
  <c r="AN265" i="1"/>
  <c r="AN279" i="1"/>
  <c r="AN33" i="1"/>
  <c r="AN100" i="1"/>
  <c r="AN124" i="1"/>
  <c r="AN132" i="1"/>
  <c r="AN185" i="1"/>
  <c r="AN192" i="1"/>
  <c r="AN196" i="1"/>
  <c r="AN200" i="1"/>
  <c r="AN203" i="1"/>
  <c r="AN206" i="1"/>
  <c r="AN210" i="1"/>
  <c r="AN214" i="1"/>
  <c r="AN218" i="1"/>
  <c r="AN125" i="1"/>
  <c r="AN127" i="1"/>
  <c r="AN89" i="1"/>
  <c r="AN111" i="1"/>
  <c r="AN117" i="1"/>
  <c r="AN143" i="1"/>
  <c r="AN157" i="1"/>
  <c r="AN171" i="1"/>
  <c r="AN29" i="1"/>
  <c r="AN74" i="1"/>
  <c r="AN128" i="1"/>
  <c r="AN139" i="1"/>
  <c r="AN154" i="1"/>
  <c r="AN168" i="1"/>
  <c r="AN92" i="1"/>
  <c r="AN121" i="1"/>
  <c r="AN135" i="1"/>
  <c r="AN151" i="1"/>
  <c r="AN181" i="1"/>
  <c r="AN120" i="1"/>
  <c r="AN197" i="1"/>
  <c r="AN211" i="1"/>
  <c r="AN247" i="1"/>
  <c r="AN269" i="1"/>
  <c r="AN255" i="1"/>
  <c r="AN259" i="1"/>
  <c r="AN309" i="1"/>
  <c r="AN73" i="1"/>
  <c r="AN193" i="1"/>
  <c r="AN207" i="1"/>
  <c r="AN222" i="1"/>
  <c r="AN75" i="1"/>
  <c r="AN258" i="1"/>
  <c r="AN280" i="1"/>
  <c r="AN316" i="1"/>
  <c r="AN248" i="1"/>
  <c r="AN294" i="1"/>
  <c r="AN305" i="1"/>
  <c r="AN240" i="1"/>
  <c r="AN131" i="1"/>
  <c r="AN122" i="1"/>
  <c r="AN136" i="1"/>
  <c r="AN144" i="1"/>
  <c r="AN148" i="1"/>
  <c r="AN152" i="1"/>
  <c r="AN165" i="1"/>
  <c r="AN169" i="1"/>
  <c r="AN172" i="1"/>
  <c r="AN176" i="1"/>
  <c r="AN179" i="1"/>
  <c r="AN204" i="1"/>
  <c r="AN219" i="1"/>
  <c r="AN238" i="1"/>
  <c r="AN97" i="1"/>
  <c r="AN254" i="1"/>
  <c r="AN276" i="1"/>
  <c r="AN308" i="1"/>
  <c r="AN281" i="1"/>
  <c r="AN285" i="1"/>
  <c r="AN292" i="1"/>
  <c r="AN237" i="1"/>
  <c r="AN37" i="1"/>
  <c r="AN70" i="1"/>
  <c r="AN96" i="1"/>
  <c r="AN108" i="1"/>
  <c r="AN118" i="1"/>
  <c r="AN129" i="1"/>
  <c r="AN186" i="1"/>
  <c r="AN201" i="1"/>
  <c r="AN215" i="1"/>
  <c r="AN273" i="1"/>
  <c r="AN284" i="1"/>
  <c r="AN291" i="1"/>
  <c r="AN304" i="1"/>
  <c r="AN318" i="1"/>
  <c r="AN323" i="1"/>
  <c r="AN326" i="1"/>
  <c r="AN263" i="1"/>
  <c r="AN266" i="1"/>
  <c r="AN270" i="1"/>
  <c r="AN274" i="1"/>
  <c r="AN277" i="1"/>
  <c r="AN297" i="1"/>
  <c r="AN252" i="1"/>
  <c r="AN264" i="1"/>
  <c r="AN275" i="1"/>
  <c r="AN289" i="1"/>
  <c r="AN260" i="1"/>
  <c r="AN298" i="1"/>
  <c r="AN325" i="1"/>
  <c r="AN245" i="1"/>
  <c r="AN256" i="1"/>
  <c r="AN271" i="1"/>
  <c r="AN278" i="1"/>
  <c r="AN310" i="1"/>
  <c r="AN241" i="1"/>
  <c r="AN267" i="1"/>
  <c r="R2" i="6"/>
  <c r="AP23" i="1"/>
  <c r="AO26" i="1"/>
  <c r="AO22" i="1"/>
  <c r="R188" i="6" l="1"/>
  <c r="R186" i="6"/>
  <c r="R192" i="6"/>
  <c r="R189" i="6"/>
  <c r="R191" i="6"/>
  <c r="R187" i="6"/>
  <c r="R23" i="6"/>
  <c r="R166" i="6"/>
  <c r="R158" i="6"/>
  <c r="R62" i="6"/>
  <c r="R50" i="6"/>
  <c r="R56" i="6"/>
  <c r="R159" i="6"/>
  <c r="R75" i="6"/>
  <c r="R210" i="6"/>
  <c r="R38" i="6"/>
  <c r="R220" i="6"/>
  <c r="R19" i="6"/>
  <c r="R260" i="6"/>
  <c r="R240" i="6"/>
  <c r="R236" i="6"/>
  <c r="R257" i="6"/>
  <c r="R228" i="6"/>
  <c r="R202" i="6"/>
  <c r="R194" i="6"/>
  <c r="R152" i="6"/>
  <c r="R144" i="6"/>
  <c r="R136" i="6"/>
  <c r="R140" i="6"/>
  <c r="R78" i="6"/>
  <c r="R41" i="6"/>
  <c r="R36" i="6"/>
  <c r="R32" i="6"/>
  <c r="R28" i="6"/>
  <c r="R21" i="6"/>
  <c r="R151" i="6"/>
  <c r="R147" i="6"/>
  <c r="R143" i="6"/>
  <c r="R139" i="6"/>
  <c r="R135" i="6"/>
  <c r="R127" i="6"/>
  <c r="R49" i="6"/>
  <c r="R259" i="6"/>
  <c r="R235" i="6"/>
  <c r="R209" i="6"/>
  <c r="R45" i="6"/>
  <c r="R223" i="6"/>
  <c r="R219" i="6"/>
  <c r="R53" i="6"/>
  <c r="R81" i="6"/>
  <c r="R77" i="6"/>
  <c r="R58" i="6"/>
  <c r="R35" i="6"/>
  <c r="R31" i="6"/>
  <c r="R27" i="6"/>
  <c r="R99" i="6"/>
  <c r="R20" i="6"/>
  <c r="R258" i="6"/>
  <c r="R254" i="6"/>
  <c r="R234" i="6"/>
  <c r="R208" i="6"/>
  <c r="R190" i="6"/>
  <c r="R142" i="6"/>
  <c r="R138" i="6"/>
  <c r="R134" i="6"/>
  <c r="R218" i="6"/>
  <c r="R61" i="6"/>
  <c r="R39" i="6"/>
  <c r="R34" i="6"/>
  <c r="R30" i="6"/>
  <c r="R26" i="6"/>
  <c r="R261" i="6"/>
  <c r="R195" i="6"/>
  <c r="R185" i="6"/>
  <c r="R169" i="6"/>
  <c r="R157" i="6"/>
  <c r="R141" i="6"/>
  <c r="R105" i="6"/>
  <c r="R66" i="6"/>
  <c r="R213" i="6"/>
  <c r="R52" i="6"/>
  <c r="R233" i="6"/>
  <c r="R145" i="6"/>
  <c r="R69" i="6"/>
  <c r="R93" i="6"/>
  <c r="R137" i="6"/>
  <c r="R22" i="6"/>
  <c r="R51" i="6"/>
  <c r="R46" i="6"/>
  <c r="R211" i="6"/>
  <c r="R90" i="6"/>
  <c r="R91" i="6"/>
  <c r="R167" i="6"/>
  <c r="R25" i="6"/>
  <c r="R76" i="6"/>
  <c r="R24" i="6"/>
  <c r="R224" i="6"/>
  <c r="R216" i="6"/>
  <c r="R256" i="6"/>
  <c r="R252" i="6"/>
  <c r="R244" i="6"/>
  <c r="R232" i="6"/>
  <c r="R212" i="6"/>
  <c r="R206" i="6"/>
  <c r="R248" i="6"/>
  <c r="R255" i="6"/>
  <c r="R184" i="6"/>
  <c r="R176" i="6"/>
  <c r="R162" i="6"/>
  <c r="R198" i="6"/>
  <c r="R180" i="6"/>
  <c r="R172" i="6"/>
  <c r="R168" i="6"/>
  <c r="R132" i="6"/>
  <c r="R128" i="6"/>
  <c r="R116" i="6"/>
  <c r="R108" i="6"/>
  <c r="R104" i="6"/>
  <c r="R100" i="6"/>
  <c r="R92" i="6"/>
  <c r="R124" i="6"/>
  <c r="R86" i="6"/>
  <c r="R120" i="6"/>
  <c r="R112" i="6"/>
  <c r="R96" i="6"/>
  <c r="R82" i="6"/>
  <c r="R59" i="6"/>
  <c r="R156" i="6"/>
  <c r="R148" i="6"/>
  <c r="R72" i="6"/>
  <c r="R68" i="6"/>
  <c r="R64" i="6"/>
  <c r="R155" i="6"/>
  <c r="R131" i="6"/>
  <c r="R123" i="6"/>
  <c r="R119" i="6"/>
  <c r="R115" i="6"/>
  <c r="R111" i="6"/>
  <c r="R107" i="6"/>
  <c r="R103" i="6"/>
  <c r="R227" i="6"/>
  <c r="R215" i="6"/>
  <c r="R179" i="6"/>
  <c r="R171" i="6"/>
  <c r="R165" i="6"/>
  <c r="R247" i="6"/>
  <c r="R205" i="6"/>
  <c r="R201" i="6"/>
  <c r="R197" i="6"/>
  <c r="R193" i="6"/>
  <c r="R183" i="6"/>
  <c r="R175" i="6"/>
  <c r="R161" i="6"/>
  <c r="R54" i="6"/>
  <c r="R89" i="6"/>
  <c r="R48" i="6"/>
  <c r="R44" i="6"/>
  <c r="R243" i="6"/>
  <c r="R239" i="6"/>
  <c r="R231" i="6"/>
  <c r="R71" i="6"/>
  <c r="R40" i="6"/>
  <c r="R251" i="6"/>
  <c r="R67" i="6"/>
  <c r="R95" i="6"/>
  <c r="R85" i="6"/>
  <c r="R63" i="6"/>
  <c r="R250" i="6"/>
  <c r="R246" i="6"/>
  <c r="R242" i="6"/>
  <c r="R238" i="6"/>
  <c r="R214" i="6"/>
  <c r="R204" i="6"/>
  <c r="R200" i="6"/>
  <c r="R196" i="6"/>
  <c r="R182" i="6"/>
  <c r="R178" i="6"/>
  <c r="R174" i="6"/>
  <c r="R170" i="6"/>
  <c r="R164" i="6"/>
  <c r="R160" i="6"/>
  <c r="R154" i="6"/>
  <c r="R150" i="6"/>
  <c r="R146" i="6"/>
  <c r="R130" i="6"/>
  <c r="R126" i="6"/>
  <c r="R122" i="6"/>
  <c r="R118" i="6"/>
  <c r="R114" i="6"/>
  <c r="R110" i="6"/>
  <c r="R102" i="6"/>
  <c r="R94" i="6"/>
  <c r="R230" i="6"/>
  <c r="R98" i="6"/>
  <c r="R226" i="6"/>
  <c r="R222" i="6"/>
  <c r="R106" i="6"/>
  <c r="R84" i="6"/>
  <c r="R57" i="6"/>
  <c r="R253" i="6"/>
  <c r="R249" i="6"/>
  <c r="R245" i="6"/>
  <c r="R207" i="6"/>
  <c r="R203" i="6"/>
  <c r="R199" i="6"/>
  <c r="R181" i="6"/>
  <c r="R177" i="6"/>
  <c r="R173" i="6"/>
  <c r="R163" i="6"/>
  <c r="R153" i="6"/>
  <c r="R149" i="6"/>
  <c r="R70" i="6"/>
  <c r="R229" i="6"/>
  <c r="R225" i="6"/>
  <c r="R221" i="6"/>
  <c r="R217" i="6"/>
  <c r="R88" i="6"/>
  <c r="R74" i="6"/>
  <c r="R80" i="6"/>
  <c r="R47" i="6"/>
  <c r="R43" i="6"/>
  <c r="R241" i="6"/>
  <c r="R237" i="6"/>
  <c r="R125" i="6"/>
  <c r="R79" i="6"/>
  <c r="R60" i="6"/>
  <c r="R42" i="6"/>
  <c r="R37" i="6"/>
  <c r="R33" i="6"/>
  <c r="R29" i="6"/>
  <c r="R133" i="6"/>
  <c r="R129" i="6"/>
  <c r="R109" i="6"/>
  <c r="R87" i="6"/>
  <c r="R117" i="6"/>
  <c r="R113" i="6"/>
  <c r="R101" i="6"/>
  <c r="R65" i="6"/>
  <c r="R121" i="6"/>
  <c r="R97" i="6"/>
  <c r="R83" i="6"/>
  <c r="R73" i="6"/>
  <c r="R55" i="6"/>
  <c r="AP56" i="1"/>
  <c r="AP155" i="1"/>
  <c r="AO352" i="1"/>
  <c r="AO350" i="1"/>
  <c r="AO360" i="1"/>
  <c r="AO106" i="1"/>
  <c r="AO361" i="1"/>
  <c r="AO363" i="1"/>
  <c r="AO362" i="1"/>
  <c r="AP364" i="1"/>
  <c r="AP365" i="1"/>
  <c r="Q9" i="6"/>
  <c r="Q13" i="6"/>
  <c r="Q8" i="6"/>
  <c r="Q12" i="6"/>
  <c r="Q10" i="6"/>
  <c r="Q11" i="6"/>
  <c r="Q14" i="6"/>
  <c r="AP370" i="1"/>
  <c r="AP369" i="1"/>
  <c r="AP372" i="1"/>
  <c r="AP368" i="1"/>
  <c r="AP371" i="1"/>
  <c r="AO302" i="1"/>
  <c r="AO330" i="1"/>
  <c r="AP79" i="1"/>
  <c r="AP50" i="1"/>
  <c r="AL349" i="1"/>
  <c r="AO321" i="1"/>
  <c r="AO332" i="1"/>
  <c r="AO367" i="1"/>
  <c r="AO366" i="1"/>
  <c r="AO333" i="1"/>
  <c r="AO337" i="1"/>
  <c r="AO336" i="1"/>
  <c r="AL354" i="1"/>
  <c r="AL356" i="1"/>
  <c r="AL355" i="1"/>
  <c r="AL358" i="1"/>
  <c r="AO354" i="1"/>
  <c r="AO355" i="1"/>
  <c r="AO358" i="1"/>
  <c r="AO356" i="1"/>
  <c r="AL357" i="1"/>
  <c r="AL359" i="1"/>
  <c r="AP355" i="1"/>
  <c r="AP358" i="1"/>
  <c r="AP354" i="1"/>
  <c r="AP356" i="1"/>
  <c r="AM359" i="1"/>
  <c r="AM357" i="1"/>
  <c r="AM354" i="1"/>
  <c r="AM356" i="1"/>
  <c r="AM358" i="1"/>
  <c r="AM355" i="1"/>
  <c r="AP359" i="1"/>
  <c r="AP357" i="1"/>
  <c r="AN359" i="1"/>
  <c r="AN357" i="1"/>
  <c r="AN358" i="1"/>
  <c r="AN354" i="1"/>
  <c r="AN356" i="1"/>
  <c r="AN355" i="1"/>
  <c r="AO357" i="1"/>
  <c r="AO359" i="1"/>
  <c r="AP351" i="1"/>
  <c r="AP353" i="1"/>
  <c r="AO343" i="1"/>
  <c r="AO338" i="1"/>
  <c r="AO346" i="1"/>
  <c r="AO344" i="1"/>
  <c r="P12" i="6"/>
  <c r="AO107" i="1"/>
  <c r="AO348" i="1"/>
  <c r="AO347" i="1"/>
  <c r="AO340" i="1"/>
  <c r="AO345" i="1"/>
  <c r="AO349" i="1"/>
  <c r="AO339" i="1"/>
  <c r="AO341" i="1"/>
  <c r="AO342" i="1"/>
  <c r="AO334" i="1"/>
  <c r="AP335" i="1"/>
  <c r="AO306" i="1"/>
  <c r="AO233" i="1"/>
  <c r="AO78" i="1"/>
  <c r="AO232" i="1"/>
  <c r="AO213" i="1"/>
  <c r="AO188" i="1"/>
  <c r="AO161" i="1"/>
  <c r="AO239" i="1"/>
  <c r="AO164" i="1"/>
  <c r="AO236" i="1"/>
  <c r="AO235" i="1"/>
  <c r="AO189" i="1"/>
  <c r="AO58" i="1"/>
  <c r="AO231" i="1"/>
  <c r="AO287" i="1"/>
  <c r="AO182" i="1"/>
  <c r="AO42" i="1"/>
  <c r="AO110" i="1"/>
  <c r="AO324" i="1"/>
  <c r="AO229" i="1"/>
  <c r="AO228" i="1"/>
  <c r="AO293" i="1"/>
  <c r="AM121" i="1"/>
  <c r="AM135" i="1"/>
  <c r="AL72" i="1"/>
  <c r="AL143" i="1"/>
  <c r="AM74" i="1"/>
  <c r="AL33" i="1"/>
  <c r="AM69" i="1"/>
  <c r="AM177" i="1"/>
  <c r="AM185" i="1"/>
  <c r="AM269" i="1"/>
  <c r="AM291" i="1"/>
  <c r="AL129" i="1"/>
  <c r="AM242" i="1"/>
  <c r="AM254" i="1"/>
  <c r="AM88" i="1"/>
  <c r="AM70" i="1"/>
  <c r="AM35" i="1"/>
  <c r="AM96" i="1"/>
  <c r="AL112" i="1"/>
  <c r="AM270" i="1"/>
  <c r="AL100" i="1"/>
  <c r="AM203" i="1"/>
  <c r="AM95" i="1"/>
  <c r="AM139" i="1"/>
  <c r="AM171" i="1"/>
  <c r="AM193" i="1"/>
  <c r="AL197" i="1"/>
  <c r="AL265" i="1"/>
  <c r="AL153" i="1"/>
  <c r="AL304" i="1"/>
  <c r="AM112" i="1"/>
  <c r="AM186" i="1"/>
  <c r="AL245" i="1"/>
  <c r="AL136" i="1"/>
  <c r="AM174" i="1"/>
  <c r="AL268" i="1"/>
  <c r="AL214" i="1"/>
  <c r="AM119" i="1"/>
  <c r="AL201" i="1"/>
  <c r="AM257" i="1"/>
  <c r="AM323" i="1"/>
  <c r="AM194" i="1"/>
  <c r="AL198" i="1"/>
  <c r="AM214" i="1"/>
  <c r="AM292" i="1"/>
  <c r="AM207" i="1"/>
  <c r="AM122" i="1"/>
  <c r="AM259" i="1"/>
  <c r="AM295" i="1"/>
  <c r="AL74" i="1"/>
  <c r="AM131" i="1"/>
  <c r="AL134" i="1"/>
  <c r="AL165" i="1"/>
  <c r="AL199" i="1"/>
  <c r="AM210" i="1"/>
  <c r="AM255" i="1"/>
  <c r="AL292" i="1"/>
  <c r="AL318" i="1"/>
  <c r="AL131" i="1"/>
  <c r="AM157" i="1"/>
  <c r="AL305" i="1"/>
  <c r="AM280" i="1"/>
  <c r="AM108" i="1"/>
  <c r="AM199" i="1"/>
  <c r="AL271" i="1"/>
  <c r="AM33" i="1"/>
  <c r="AM195" i="1"/>
  <c r="AM240" i="1"/>
  <c r="AM72" i="1"/>
  <c r="AM180" i="1"/>
  <c r="AM246" i="1"/>
  <c r="AM273" i="1"/>
  <c r="AL132" i="1"/>
  <c r="AM289" i="1"/>
  <c r="AM149" i="1"/>
  <c r="AL142" i="1"/>
  <c r="AL97" i="1"/>
  <c r="AL105" i="1"/>
  <c r="AM132" i="1"/>
  <c r="AL166" i="1"/>
  <c r="AM184" i="1"/>
  <c r="AM200" i="1"/>
  <c r="AL253" i="1"/>
  <c r="AM105" i="1"/>
  <c r="AM166" i="1"/>
  <c r="AL149" i="1"/>
  <c r="AL196" i="1"/>
  <c r="AL278" i="1"/>
  <c r="AL200" i="1"/>
  <c r="AM298" i="1"/>
  <c r="AM264" i="1"/>
  <c r="AL290" i="1"/>
  <c r="AL294" i="1"/>
  <c r="AM241" i="1"/>
  <c r="AM256" i="1"/>
  <c r="AM253" i="1"/>
  <c r="AL326" i="1"/>
  <c r="AM204" i="1"/>
  <c r="AM248" i="1"/>
  <c r="AL89" i="1"/>
  <c r="AL206" i="1"/>
  <c r="AL242" i="1"/>
  <c r="AL254" i="1"/>
  <c r="AL130" i="1"/>
  <c r="AM172" i="1"/>
  <c r="AM143" i="1"/>
  <c r="AM250" i="1"/>
  <c r="AM197" i="1"/>
  <c r="AM265" i="1"/>
  <c r="AL269" i="1"/>
  <c r="AL194" i="1"/>
  <c r="AM129" i="1"/>
  <c r="AL303" i="1"/>
  <c r="AL204" i="1"/>
  <c r="AL221" i="1"/>
  <c r="AL238" i="1"/>
  <c r="AM156" i="1"/>
  <c r="AM238" i="1"/>
  <c r="AM304" i="1"/>
  <c r="AL109" i="1"/>
  <c r="AM153" i="1"/>
  <c r="AL156" i="1"/>
  <c r="AM201" i="1"/>
  <c r="AM268" i="1"/>
  <c r="AL202" i="1"/>
  <c r="AM245" i="1"/>
  <c r="AL124" i="1"/>
  <c r="AM136" i="1"/>
  <c r="AL168" i="1"/>
  <c r="AL259" i="1"/>
  <c r="AL295" i="1"/>
  <c r="AM75" i="1"/>
  <c r="AM141" i="1"/>
  <c r="AL183" i="1"/>
  <c r="AL272" i="1"/>
  <c r="AM37" i="1"/>
  <c r="AM120" i="1"/>
  <c r="AL108" i="1"/>
  <c r="AL270" i="1"/>
  <c r="AL276" i="1"/>
  <c r="AM318" i="1"/>
  <c r="AM117" i="1"/>
  <c r="AM148" i="1"/>
  <c r="AL208" i="1"/>
  <c r="AL252" i="1"/>
  <c r="AM162" i="1"/>
  <c r="AL180" i="1"/>
  <c r="AL246" i="1"/>
  <c r="AL297" i="1"/>
  <c r="AL263" i="1"/>
  <c r="AM271" i="1"/>
  <c r="AL316" i="1"/>
  <c r="AL170" i="1"/>
  <c r="AL37" i="1"/>
  <c r="AL138" i="1"/>
  <c r="AM138" i="1"/>
  <c r="AL162" i="1"/>
  <c r="AL176" i="1"/>
  <c r="AM125" i="1"/>
  <c r="AL212" i="1"/>
  <c r="AM176" i="1"/>
  <c r="AM311" i="1"/>
  <c r="AM181" i="1"/>
  <c r="AL264" i="1"/>
  <c r="AL216" i="1"/>
  <c r="AL281" i="1"/>
  <c r="AL209" i="1"/>
  <c r="AM216" i="1"/>
  <c r="AL205" i="1"/>
  <c r="AL267" i="1"/>
  <c r="AM326" i="1"/>
  <c r="AM294" i="1"/>
  <c r="AL298" i="1"/>
  <c r="AM73" i="1"/>
  <c r="AM198" i="1"/>
  <c r="AM27" i="1"/>
  <c r="AM221" i="1"/>
  <c r="AM275" i="1"/>
  <c r="AM308" i="1"/>
  <c r="AL185" i="1"/>
  <c r="AL171" i="1"/>
  <c r="AL250" i="1"/>
  <c r="AL193" i="1"/>
  <c r="AM89" i="1"/>
  <c r="AL98" i="1"/>
  <c r="AL118" i="1"/>
  <c r="AL152" i="1"/>
  <c r="AL237" i="1"/>
  <c r="AL248" i="1"/>
  <c r="AL275" i="1"/>
  <c r="AM279" i="1"/>
  <c r="AM150" i="1"/>
  <c r="AL257" i="1"/>
  <c r="AM309" i="1"/>
  <c r="AL186" i="1"/>
  <c r="AM98" i="1"/>
  <c r="AL121" i="1"/>
  <c r="AL167" i="1"/>
  <c r="AL137" i="1"/>
  <c r="AM109" i="1"/>
  <c r="AM116" i="1"/>
  <c r="AM144" i="1"/>
  <c r="AL174" i="1"/>
  <c r="AL190" i="1"/>
  <c r="AM169" i="1"/>
  <c r="AL99" i="1"/>
  <c r="AL144" i="1"/>
  <c r="AM168" i="1"/>
  <c r="AL172" i="1"/>
  <c r="AM202" i="1"/>
  <c r="AL96" i="1"/>
  <c r="AL116" i="1"/>
  <c r="AM124" i="1"/>
  <c r="AL150" i="1"/>
  <c r="AL309" i="1"/>
  <c r="AM179" i="1"/>
  <c r="AL122" i="1"/>
  <c r="AL120" i="1"/>
  <c r="AM163" i="1"/>
  <c r="AL310" i="1"/>
  <c r="AL210" i="1"/>
  <c r="AL255" i="1"/>
  <c r="AM299" i="1"/>
  <c r="AM92" i="1"/>
  <c r="AL157" i="1"/>
  <c r="AL207" i="1"/>
  <c r="AM134" i="1"/>
  <c r="AL169" i="1"/>
  <c r="AL195" i="1"/>
  <c r="AL240" i="1"/>
  <c r="AM258" i="1"/>
  <c r="AM165" i="1"/>
  <c r="AM187" i="1"/>
  <c r="AL203" i="1"/>
  <c r="AM285" i="1"/>
  <c r="AM247" i="1"/>
  <c r="AM266" i="1"/>
  <c r="AL322" i="1"/>
  <c r="AL92" i="1"/>
  <c r="AL184" i="1"/>
  <c r="AL273" i="1"/>
  <c r="AM277" i="1"/>
  <c r="AL285" i="1"/>
  <c r="AM316" i="1"/>
  <c r="AL128" i="1"/>
  <c r="AM170" i="1"/>
  <c r="AL125" i="1"/>
  <c r="AM128" i="1"/>
  <c r="AL151" i="1"/>
  <c r="AM281" i="1"/>
  <c r="AL181" i="1"/>
  <c r="AM151" i="1"/>
  <c r="AM196" i="1"/>
  <c r="AL325" i="1"/>
  <c r="AL241" i="1"/>
  <c r="AL247" i="1"/>
  <c r="AL220" i="1"/>
  <c r="AM290" i="1"/>
  <c r="AL274" i="1"/>
  <c r="AM278" i="1"/>
  <c r="AL95" i="1"/>
  <c r="AL27" i="1"/>
  <c r="AL66" i="1"/>
  <c r="AL135" i="1"/>
  <c r="AM303" i="1"/>
  <c r="AL111" i="1"/>
  <c r="AM167" i="1"/>
  <c r="AL179" i="1"/>
  <c r="AM118" i="1"/>
  <c r="AL177" i="1"/>
  <c r="AL279" i="1"/>
  <c r="AL291" i="1"/>
  <c r="AM100" i="1"/>
  <c r="AL73" i="1"/>
  <c r="AL69" i="1"/>
  <c r="AM284" i="1"/>
  <c r="AL139" i="1"/>
  <c r="AM190" i="1"/>
  <c r="AM111" i="1"/>
  <c r="AM152" i="1"/>
  <c r="AL308" i="1"/>
  <c r="AM206" i="1"/>
  <c r="AM237" i="1"/>
  <c r="AL127" i="1"/>
  <c r="AM137" i="1"/>
  <c r="AL163" i="1"/>
  <c r="AL119" i="1"/>
  <c r="AM130" i="1"/>
  <c r="AL323" i="1"/>
  <c r="AM99" i="1"/>
  <c r="AL289" i="1"/>
  <c r="AM276" i="1"/>
  <c r="AL284" i="1"/>
  <c r="AL299" i="1"/>
  <c r="AL88" i="1"/>
  <c r="AL70" i="1"/>
  <c r="AL211" i="1"/>
  <c r="AL35" i="1"/>
  <c r="AL117" i="1"/>
  <c r="AM127" i="1"/>
  <c r="AL148" i="1"/>
  <c r="AM183" i="1"/>
  <c r="AM272" i="1"/>
  <c r="AL141" i="1"/>
  <c r="AM263" i="1"/>
  <c r="AL280" i="1"/>
  <c r="AM211" i="1"/>
  <c r="AL277" i="1"/>
  <c r="AL258" i="1"/>
  <c r="AM310" i="1"/>
  <c r="AL187" i="1"/>
  <c r="AM208" i="1"/>
  <c r="AM252" i="1"/>
  <c r="AM173" i="1"/>
  <c r="AM305" i="1"/>
  <c r="AL266" i="1"/>
  <c r="AM297" i="1"/>
  <c r="AL75" i="1"/>
  <c r="AM97" i="1"/>
  <c r="AM322" i="1"/>
  <c r="AM66" i="1"/>
  <c r="AM142" i="1"/>
  <c r="AM220" i="1"/>
  <c r="AL173" i="1"/>
  <c r="AL260" i="1"/>
  <c r="AM260" i="1"/>
  <c r="AM325" i="1"/>
  <c r="AL311" i="1"/>
  <c r="AM212" i="1"/>
  <c r="AM267" i="1"/>
  <c r="AM209" i="1"/>
  <c r="AL256" i="1"/>
  <c r="AM205" i="1"/>
  <c r="AM274" i="1"/>
  <c r="AO275" i="1"/>
  <c r="AO105" i="1"/>
  <c r="AO119" i="1"/>
  <c r="AO137" i="1"/>
  <c r="AO141" i="1"/>
  <c r="AO149" i="1"/>
  <c r="AO153" i="1"/>
  <c r="AO162" i="1"/>
  <c r="AO166" i="1"/>
  <c r="AO173" i="1"/>
  <c r="AO177" i="1"/>
  <c r="AO190" i="1"/>
  <c r="AO220" i="1"/>
  <c r="AO187" i="1"/>
  <c r="AO216" i="1"/>
  <c r="AO88" i="1"/>
  <c r="AO98" i="1"/>
  <c r="AO183" i="1"/>
  <c r="AO198" i="1"/>
  <c r="AO212" i="1"/>
  <c r="AO95" i="1"/>
  <c r="AO109" i="1"/>
  <c r="AO194" i="1"/>
  <c r="AO208" i="1"/>
  <c r="AO223" i="1"/>
  <c r="AO142" i="1"/>
  <c r="AO156" i="1"/>
  <c r="AO170" i="1"/>
  <c r="AO202" i="1"/>
  <c r="AO217" i="1"/>
  <c r="AO242" i="1"/>
  <c r="AO257" i="1"/>
  <c r="AO272" i="1"/>
  <c r="AO286" i="1"/>
  <c r="AO138" i="1"/>
  <c r="AO167" i="1"/>
  <c r="AO184" i="1"/>
  <c r="AO199" i="1"/>
  <c r="AO253" i="1"/>
  <c r="AO268" i="1"/>
  <c r="AO290" i="1"/>
  <c r="AO303" i="1"/>
  <c r="AO35" i="1"/>
  <c r="AO134" i="1"/>
  <c r="AO150" i="1"/>
  <c r="AO163" i="1"/>
  <c r="AO180" i="1"/>
  <c r="AO195" i="1"/>
  <c r="AO209" i="1"/>
  <c r="AO250" i="1"/>
  <c r="AO265" i="1"/>
  <c r="AO279" i="1"/>
  <c r="AO299" i="1"/>
  <c r="AO315" i="1"/>
  <c r="AO99" i="1"/>
  <c r="AO116" i="1"/>
  <c r="AO174" i="1"/>
  <c r="AO191" i="1"/>
  <c r="AO205" i="1"/>
  <c r="AO221" i="1"/>
  <c r="AO246" i="1"/>
  <c r="AO261" i="1"/>
  <c r="AO295" i="1"/>
  <c r="AO311" i="1"/>
  <c r="AO322" i="1"/>
  <c r="AO72" i="1"/>
  <c r="AO127" i="1"/>
  <c r="AO89" i="1"/>
  <c r="AO111" i="1"/>
  <c r="AO117" i="1"/>
  <c r="AO143" i="1"/>
  <c r="AO157" i="1"/>
  <c r="AO171" i="1"/>
  <c r="AO203" i="1"/>
  <c r="AO218" i="1"/>
  <c r="AO29" i="1"/>
  <c r="AO74" i="1"/>
  <c r="AO128" i="1"/>
  <c r="AO139" i="1"/>
  <c r="AO154" i="1"/>
  <c r="AO168" i="1"/>
  <c r="AO181" i="1"/>
  <c r="AO185" i="1"/>
  <c r="AO200" i="1"/>
  <c r="AO214" i="1"/>
  <c r="AO92" i="1"/>
  <c r="AO121" i="1"/>
  <c r="AO135" i="1"/>
  <c r="AO151" i="1"/>
  <c r="AO196" i="1"/>
  <c r="AO210" i="1"/>
  <c r="AO33" i="1"/>
  <c r="AO100" i="1"/>
  <c r="AO124" i="1"/>
  <c r="AO132" i="1"/>
  <c r="AO237" i="1"/>
  <c r="AO73" i="1"/>
  <c r="AO118" i="1"/>
  <c r="AO125" i="1"/>
  <c r="AO144" i="1"/>
  <c r="AO172" i="1"/>
  <c r="AO66" i="1"/>
  <c r="AO258" i="1"/>
  <c r="AO280" i="1"/>
  <c r="AO318" i="1"/>
  <c r="AO255" i="1"/>
  <c r="AO263" i="1"/>
  <c r="AO277" i="1"/>
  <c r="AO294" i="1"/>
  <c r="AO305" i="1"/>
  <c r="AO192" i="1"/>
  <c r="AO69" i="1"/>
  <c r="AO131" i="1"/>
  <c r="AO112" i="1"/>
  <c r="AO129" i="1"/>
  <c r="AO169" i="1"/>
  <c r="AO130" i="1"/>
  <c r="AO254" i="1"/>
  <c r="AO276" i="1"/>
  <c r="AO240" i="1"/>
  <c r="AO274" i="1"/>
  <c r="AO285" i="1"/>
  <c r="AO292" i="1"/>
  <c r="AO37" i="1"/>
  <c r="AO70" i="1"/>
  <c r="AO96" i="1"/>
  <c r="AO97" i="1"/>
  <c r="AO122" i="1"/>
  <c r="AO136" i="1"/>
  <c r="AO152" i="1"/>
  <c r="AO165" i="1"/>
  <c r="AO179" i="1"/>
  <c r="AO186" i="1"/>
  <c r="AO193" i="1"/>
  <c r="AO197" i="1"/>
  <c r="AO201" i="1"/>
  <c r="AO204" i="1"/>
  <c r="AO207" i="1"/>
  <c r="AO211" i="1"/>
  <c r="AO215" i="1"/>
  <c r="AO219" i="1"/>
  <c r="AO222" i="1"/>
  <c r="AO238" i="1"/>
  <c r="AO273" i="1"/>
  <c r="AO284" i="1"/>
  <c r="AO326" i="1"/>
  <c r="AO248" i="1"/>
  <c r="AO259" i="1"/>
  <c r="AO270" i="1"/>
  <c r="AO281" i="1"/>
  <c r="AO297" i="1"/>
  <c r="AO206" i="1"/>
  <c r="AO120" i="1"/>
  <c r="AO27" i="1"/>
  <c r="AO75" i="1"/>
  <c r="AO108" i="1"/>
  <c r="AO148" i="1"/>
  <c r="AO176" i="1"/>
  <c r="AO247" i="1"/>
  <c r="AO269" i="1"/>
  <c r="AO291" i="1"/>
  <c r="AO304" i="1"/>
  <c r="AO308" i="1"/>
  <c r="AO316" i="1"/>
  <c r="AO323" i="1"/>
  <c r="AO266" i="1"/>
  <c r="AO309" i="1"/>
  <c r="AO241" i="1"/>
  <c r="AO245" i="1"/>
  <c r="AO252" i="1"/>
  <c r="AO298" i="1"/>
  <c r="AO325" i="1"/>
  <c r="AO278" i="1"/>
  <c r="AO310" i="1"/>
  <c r="AO256" i="1"/>
  <c r="AO260" i="1"/>
  <c r="AO264" i="1"/>
  <c r="AO267" i="1"/>
  <c r="AO271" i="1"/>
  <c r="AO289" i="1"/>
  <c r="AP41" i="1"/>
  <c r="AP77" i="1"/>
  <c r="AP45" i="1"/>
  <c r="AP61" i="1"/>
  <c r="AP82" i="1"/>
  <c r="AP85" i="1"/>
  <c r="AP90" i="1"/>
  <c r="AP101" i="1"/>
  <c r="AP43" i="1"/>
  <c r="AP52" i="1"/>
  <c r="AP64" i="1"/>
  <c r="AP76" i="1"/>
  <c r="AP113" i="1"/>
  <c r="AP126" i="1"/>
  <c r="AP133" i="1"/>
  <c r="AP44" i="1"/>
  <c r="AP31" i="1"/>
  <c r="AP39" i="1"/>
  <c r="AP48" i="1"/>
  <c r="AP63" i="1"/>
  <c r="AP145" i="1"/>
  <c r="AP227" i="1"/>
  <c r="AP55" i="1"/>
  <c r="AP28" i="1"/>
  <c r="AP146" i="1"/>
  <c r="AP159" i="1"/>
  <c r="AP283" i="1"/>
  <c r="AP329" i="1"/>
  <c r="AP224" i="1"/>
  <c r="AP86" i="1"/>
  <c r="AP123" i="1"/>
  <c r="AP307" i="1"/>
  <c r="AP53" i="1"/>
  <c r="AP83" i="1"/>
  <c r="AP59" i="1"/>
  <c r="AP67" i="1"/>
  <c r="AP103" i="1"/>
  <c r="AP49" i="1"/>
  <c r="AP178" i="1"/>
  <c r="AP225" i="1"/>
  <c r="AP65" i="1"/>
  <c r="AP114" i="1"/>
  <c r="AP54" i="1"/>
  <c r="AP62" i="1"/>
  <c r="AP71" i="1"/>
  <c r="AP147" i="1"/>
  <c r="AP160" i="1"/>
  <c r="AP175" i="1"/>
  <c r="AP80" i="1"/>
  <c r="AP93" i="1"/>
  <c r="AP32" i="1"/>
  <c r="AP30" i="1"/>
  <c r="AP38" i="1"/>
  <c r="AP47" i="1"/>
  <c r="AP57" i="1"/>
  <c r="AP84" i="1"/>
  <c r="AP104" i="1"/>
  <c r="AP140" i="1"/>
  <c r="AP230" i="1"/>
  <c r="AP243" i="1"/>
  <c r="AP301" i="1"/>
  <c r="AP327" i="1"/>
  <c r="AP40" i="1"/>
  <c r="AP102" i="1"/>
  <c r="AP115" i="1"/>
  <c r="AP226" i="1"/>
  <c r="AP46" i="1"/>
  <c r="AP251" i="1"/>
  <c r="AP300" i="1"/>
  <c r="AP288" i="1"/>
  <c r="AP91" i="1"/>
  <c r="AP34" i="1"/>
  <c r="AP36" i="1"/>
  <c r="AP51" i="1"/>
  <c r="AP60" i="1"/>
  <c r="AP68" i="1"/>
  <c r="AP81" i="1"/>
  <c r="AP87" i="1"/>
  <c r="AP234" i="1"/>
  <c r="AP262" i="1"/>
  <c r="AP296" i="1"/>
  <c r="AP312" i="1"/>
  <c r="AP244" i="1"/>
  <c r="AP319" i="1"/>
  <c r="AP94" i="1"/>
  <c r="AP158" i="1"/>
  <c r="AP313" i="1"/>
  <c r="AP317" i="1"/>
  <c r="AP320" i="1"/>
  <c r="AP331" i="1"/>
  <c r="AP249" i="1"/>
  <c r="AP282" i="1"/>
  <c r="AP328" i="1"/>
  <c r="AP314" i="1"/>
  <c r="S1" i="6"/>
  <c r="S2" i="6"/>
  <c r="AQ23" i="1"/>
  <c r="AP26" i="1"/>
  <c r="AP22" i="1"/>
  <c r="S186" i="6" l="1"/>
  <c r="S191" i="6"/>
  <c r="S187" i="6"/>
  <c r="S192" i="6"/>
  <c r="S188" i="6"/>
  <c r="S189" i="6"/>
  <c r="S23" i="6"/>
  <c r="S56" i="6"/>
  <c r="S159" i="6"/>
  <c r="S75" i="6"/>
  <c r="S210" i="6"/>
  <c r="S166" i="6"/>
  <c r="S158" i="6"/>
  <c r="S62" i="6"/>
  <c r="S50" i="6"/>
  <c r="S38" i="6"/>
  <c r="S260" i="6"/>
  <c r="S228" i="6"/>
  <c r="S220" i="6"/>
  <c r="S202" i="6"/>
  <c r="S257" i="6"/>
  <c r="S19" i="6"/>
  <c r="S240" i="6"/>
  <c r="S236" i="6"/>
  <c r="S152" i="6"/>
  <c r="S194" i="6"/>
  <c r="S140" i="6"/>
  <c r="S136" i="6"/>
  <c r="S144" i="6"/>
  <c r="S49" i="6"/>
  <c r="S45" i="6"/>
  <c r="S41" i="6"/>
  <c r="S36" i="6"/>
  <c r="S32" i="6"/>
  <c r="S28" i="6"/>
  <c r="S78" i="6"/>
  <c r="S21" i="6"/>
  <c r="S223" i="6"/>
  <c r="S219" i="6"/>
  <c r="S209" i="6"/>
  <c r="S151" i="6"/>
  <c r="S147" i="6"/>
  <c r="S143" i="6"/>
  <c r="S139" i="6"/>
  <c r="S135" i="6"/>
  <c r="S127" i="6"/>
  <c r="S235" i="6"/>
  <c r="S259" i="6"/>
  <c r="S58" i="6"/>
  <c r="S53" i="6"/>
  <c r="S35" i="6"/>
  <c r="S31" i="6"/>
  <c r="S27" i="6"/>
  <c r="S234" i="6"/>
  <c r="S99" i="6"/>
  <c r="S81" i="6"/>
  <c r="S77" i="6"/>
  <c r="S20" i="6"/>
  <c r="S258" i="6"/>
  <c r="S254" i="6"/>
  <c r="S218" i="6"/>
  <c r="S208" i="6"/>
  <c r="S190" i="6"/>
  <c r="S134" i="6"/>
  <c r="S142" i="6"/>
  <c r="S138" i="6"/>
  <c r="S52" i="6"/>
  <c r="S66" i="6"/>
  <c r="S61" i="6"/>
  <c r="S213" i="6"/>
  <c r="S195" i="6"/>
  <c r="S185" i="6"/>
  <c r="S169" i="6"/>
  <c r="S157" i="6"/>
  <c r="S39" i="6"/>
  <c r="S34" i="6"/>
  <c r="S30" i="6"/>
  <c r="S26" i="6"/>
  <c r="S261" i="6"/>
  <c r="S233" i="6"/>
  <c r="S145" i="6"/>
  <c r="S105" i="6"/>
  <c r="S93" i="6"/>
  <c r="S51" i="6"/>
  <c r="S46" i="6"/>
  <c r="S22" i="6"/>
  <c r="S141" i="6"/>
  <c r="S137" i="6"/>
  <c r="S69" i="6"/>
  <c r="S76" i="6"/>
  <c r="S90" i="6"/>
  <c r="S25" i="6"/>
  <c r="S211" i="6"/>
  <c r="S91" i="6"/>
  <c r="S24" i="6"/>
  <c r="S167" i="6"/>
  <c r="S256" i="6"/>
  <c r="S252" i="6"/>
  <c r="S232" i="6"/>
  <c r="S248" i="6"/>
  <c r="S224" i="6"/>
  <c r="S216" i="6"/>
  <c r="S206" i="6"/>
  <c r="S255" i="6"/>
  <c r="S212" i="6"/>
  <c r="S244" i="6"/>
  <c r="S156" i="6"/>
  <c r="S148" i="6"/>
  <c r="S198" i="6"/>
  <c r="S184" i="6"/>
  <c r="S180" i="6"/>
  <c r="S176" i="6"/>
  <c r="S172" i="6"/>
  <c r="S168" i="6"/>
  <c r="S162" i="6"/>
  <c r="S132" i="6"/>
  <c r="S128" i="6"/>
  <c r="S124" i="6"/>
  <c r="S120" i="6"/>
  <c r="S116" i="6"/>
  <c r="S112" i="6"/>
  <c r="S108" i="6"/>
  <c r="S100" i="6"/>
  <c r="S92" i="6"/>
  <c r="S72" i="6"/>
  <c r="S68" i="6"/>
  <c r="S64" i="6"/>
  <c r="S59" i="6"/>
  <c r="S54" i="6"/>
  <c r="S104" i="6"/>
  <c r="S96" i="6"/>
  <c r="S86" i="6"/>
  <c r="S82" i="6"/>
  <c r="S227" i="6"/>
  <c r="S205" i="6"/>
  <c r="S201" i="6"/>
  <c r="S197" i="6"/>
  <c r="S193" i="6"/>
  <c r="S183" i="6"/>
  <c r="S179" i="6"/>
  <c r="S175" i="6"/>
  <c r="S171" i="6"/>
  <c r="S165" i="6"/>
  <c r="S161" i="6"/>
  <c r="S155" i="6"/>
  <c r="S131" i="6"/>
  <c r="S123" i="6"/>
  <c r="S119" i="6"/>
  <c r="S115" i="6"/>
  <c r="S111" i="6"/>
  <c r="S247" i="6"/>
  <c r="S215" i="6"/>
  <c r="S71" i="6"/>
  <c r="S67" i="6"/>
  <c r="S63" i="6"/>
  <c r="S251" i="6"/>
  <c r="S243" i="6"/>
  <c r="S239" i="6"/>
  <c r="S231" i="6"/>
  <c r="S107" i="6"/>
  <c r="S48" i="6"/>
  <c r="S44" i="6"/>
  <c r="S40" i="6"/>
  <c r="S242" i="6"/>
  <c r="S238" i="6"/>
  <c r="S230" i="6"/>
  <c r="S103" i="6"/>
  <c r="S95" i="6"/>
  <c r="S89" i="6"/>
  <c r="S85" i="6"/>
  <c r="S250" i="6"/>
  <c r="S214" i="6"/>
  <c r="S204" i="6"/>
  <c r="S200" i="6"/>
  <c r="S196" i="6"/>
  <c r="S182" i="6"/>
  <c r="S178" i="6"/>
  <c r="S174" i="6"/>
  <c r="S170" i="6"/>
  <c r="S164" i="6"/>
  <c r="S160" i="6"/>
  <c r="S130" i="6"/>
  <c r="S126" i="6"/>
  <c r="S122" i="6"/>
  <c r="S118" i="6"/>
  <c r="S114" i="6"/>
  <c r="S110" i="6"/>
  <c r="S226" i="6"/>
  <c r="S222" i="6"/>
  <c r="S154" i="6"/>
  <c r="S150" i="6"/>
  <c r="S146" i="6"/>
  <c r="S88" i="6"/>
  <c r="S84" i="6"/>
  <c r="S80" i="6"/>
  <c r="S70" i="6"/>
  <c r="S106" i="6"/>
  <c r="S246" i="6"/>
  <c r="S102" i="6"/>
  <c r="S98" i="6"/>
  <c r="S94" i="6"/>
  <c r="S47" i="6"/>
  <c r="S43" i="6"/>
  <c r="S121" i="6"/>
  <c r="S101" i="6"/>
  <c r="S74" i="6"/>
  <c r="S57" i="6"/>
  <c r="S229" i="6"/>
  <c r="S225" i="6"/>
  <c r="S221" i="6"/>
  <c r="S217" i="6"/>
  <c r="S207" i="6"/>
  <c r="S203" i="6"/>
  <c r="S199" i="6"/>
  <c r="S181" i="6"/>
  <c r="S177" i="6"/>
  <c r="S173" i="6"/>
  <c r="S163" i="6"/>
  <c r="S253" i="6"/>
  <c r="S249" i="6"/>
  <c r="S245" i="6"/>
  <c r="S241" i="6"/>
  <c r="S237" i="6"/>
  <c r="S149" i="6"/>
  <c r="S129" i="6"/>
  <c r="S125" i="6"/>
  <c r="S117" i="6"/>
  <c r="S97" i="6"/>
  <c r="S60" i="6"/>
  <c r="S55" i="6"/>
  <c r="S113" i="6"/>
  <c r="S109" i="6"/>
  <c r="S83" i="6"/>
  <c r="S37" i="6"/>
  <c r="S42" i="6"/>
  <c r="S29" i="6"/>
  <c r="S153" i="6"/>
  <c r="S133" i="6"/>
  <c r="S87" i="6"/>
  <c r="S79" i="6"/>
  <c r="S73" i="6"/>
  <c r="S65" i="6"/>
  <c r="S33" i="6"/>
  <c r="AQ155" i="1"/>
  <c r="AQ56" i="1"/>
  <c r="AP360" i="1"/>
  <c r="AP350" i="1"/>
  <c r="AP352" i="1"/>
  <c r="AP106" i="1"/>
  <c r="AP363" i="1"/>
  <c r="AP362" i="1"/>
  <c r="AP361" i="1"/>
  <c r="AQ364" i="1"/>
  <c r="AQ365" i="1"/>
  <c r="O11" i="6"/>
  <c r="O10" i="6"/>
  <c r="O14" i="6"/>
  <c r="O9" i="6"/>
  <c r="O12" i="6"/>
  <c r="O13" i="6"/>
  <c r="O8" i="6"/>
  <c r="P9" i="6"/>
  <c r="P8" i="6"/>
  <c r="R10" i="6"/>
  <c r="R14" i="6"/>
  <c r="R8" i="6"/>
  <c r="R9" i="6"/>
  <c r="R13" i="6"/>
  <c r="R12" i="6"/>
  <c r="R11" i="6"/>
  <c r="P11" i="6"/>
  <c r="N14" i="6"/>
  <c r="N10" i="6"/>
  <c r="N13" i="6"/>
  <c r="N9" i="6"/>
  <c r="N12" i="6"/>
  <c r="N8" i="6"/>
  <c r="N11" i="6"/>
  <c r="P13" i="6"/>
  <c r="P10" i="6"/>
  <c r="P14" i="6"/>
  <c r="AQ369" i="1"/>
  <c r="AQ372" i="1"/>
  <c r="AQ370" i="1"/>
  <c r="AQ368" i="1"/>
  <c r="AQ371" i="1"/>
  <c r="AP302" i="1"/>
  <c r="AP330" i="1"/>
  <c r="AQ79" i="1"/>
  <c r="AQ50" i="1"/>
  <c r="AQ359" i="1"/>
  <c r="AP332" i="1"/>
  <c r="AP337" i="1"/>
  <c r="AQ354" i="1"/>
  <c r="AQ357" i="1"/>
  <c r="AP333" i="1"/>
  <c r="AQ355" i="1"/>
  <c r="AP366" i="1"/>
  <c r="AP367" i="1"/>
  <c r="AP321" i="1"/>
  <c r="AQ358" i="1"/>
  <c r="AP336" i="1"/>
  <c r="AQ356" i="1"/>
  <c r="AP344" i="1"/>
  <c r="AP338" i="1"/>
  <c r="AP346" i="1"/>
  <c r="AP343" i="1"/>
  <c r="AQ353" i="1"/>
  <c r="AQ351" i="1"/>
  <c r="AP107" i="1"/>
  <c r="AP348" i="1"/>
  <c r="AP347" i="1"/>
  <c r="AP345" i="1"/>
  <c r="AP341" i="1"/>
  <c r="AP340" i="1"/>
  <c r="AP339" i="1"/>
  <c r="AP342" i="1"/>
  <c r="AP349" i="1"/>
  <c r="AP334" i="1"/>
  <c r="AQ335" i="1"/>
  <c r="AP306" i="1"/>
  <c r="AP287" i="1"/>
  <c r="AP189" i="1"/>
  <c r="AP188" i="1"/>
  <c r="AP228" i="1"/>
  <c r="AP161" i="1"/>
  <c r="AP324" i="1"/>
  <c r="AP182" i="1"/>
  <c r="AP233" i="1"/>
  <c r="AP78" i="1"/>
  <c r="AP239" i="1"/>
  <c r="AP42" i="1"/>
  <c r="AP110" i="1"/>
  <c r="AP293" i="1"/>
  <c r="AP232" i="1"/>
  <c r="AP231" i="1"/>
  <c r="AP58" i="1"/>
  <c r="AP164" i="1"/>
  <c r="AP229" i="1"/>
  <c r="AP236" i="1"/>
  <c r="AP213" i="1"/>
  <c r="AP235" i="1"/>
  <c r="AQ41" i="1"/>
  <c r="AQ43" i="1"/>
  <c r="AQ52" i="1"/>
  <c r="AQ64" i="1"/>
  <c r="AQ76" i="1"/>
  <c r="AQ113" i="1"/>
  <c r="AQ126" i="1"/>
  <c r="AQ133" i="1"/>
  <c r="AQ59" i="1"/>
  <c r="AQ67" i="1"/>
  <c r="AQ31" i="1"/>
  <c r="AQ39" i="1"/>
  <c r="AQ48" i="1"/>
  <c r="AQ63" i="1"/>
  <c r="AQ145" i="1"/>
  <c r="AQ45" i="1"/>
  <c r="AQ61" i="1"/>
  <c r="AQ82" i="1"/>
  <c r="AQ85" i="1"/>
  <c r="AQ90" i="1"/>
  <c r="AQ101" i="1"/>
  <c r="AQ227" i="1"/>
  <c r="AQ65" i="1"/>
  <c r="AQ86" i="1"/>
  <c r="AQ146" i="1"/>
  <c r="AQ159" i="1"/>
  <c r="AQ224" i="1"/>
  <c r="AQ123" i="1"/>
  <c r="AQ62" i="1"/>
  <c r="AQ71" i="1"/>
  <c r="AQ49" i="1"/>
  <c r="AQ283" i="1"/>
  <c r="AQ307" i="1"/>
  <c r="AQ28" i="1"/>
  <c r="AQ40" i="1"/>
  <c r="AQ55" i="1"/>
  <c r="AQ83" i="1"/>
  <c r="AQ93" i="1"/>
  <c r="AQ103" i="1"/>
  <c r="AQ225" i="1"/>
  <c r="AQ54" i="1"/>
  <c r="AQ329" i="1"/>
  <c r="AQ32" i="1"/>
  <c r="AQ46" i="1"/>
  <c r="AQ77" i="1"/>
  <c r="AQ147" i="1"/>
  <c r="AQ160" i="1"/>
  <c r="AQ175" i="1"/>
  <c r="AQ178" i="1"/>
  <c r="AQ114" i="1"/>
  <c r="AQ115" i="1"/>
  <c r="AQ226" i="1"/>
  <c r="AQ300" i="1"/>
  <c r="AQ44" i="1"/>
  <c r="AQ102" i="1"/>
  <c r="AQ34" i="1"/>
  <c r="AQ36" i="1"/>
  <c r="AQ51" i="1"/>
  <c r="AQ60" i="1"/>
  <c r="AQ68" i="1"/>
  <c r="AQ81" i="1"/>
  <c r="AQ87" i="1"/>
  <c r="AQ234" i="1"/>
  <c r="AQ296" i="1"/>
  <c r="AQ312" i="1"/>
  <c r="AQ244" i="1"/>
  <c r="AQ319" i="1"/>
  <c r="AQ91" i="1"/>
  <c r="AQ94" i="1"/>
  <c r="AQ158" i="1"/>
  <c r="AQ251" i="1"/>
  <c r="AQ262" i="1"/>
  <c r="AQ301" i="1"/>
  <c r="AQ317" i="1"/>
  <c r="AQ331" i="1"/>
  <c r="AQ53" i="1"/>
  <c r="AQ80" i="1"/>
  <c r="AQ30" i="1"/>
  <c r="AQ38" i="1"/>
  <c r="AQ47" i="1"/>
  <c r="AQ57" i="1"/>
  <c r="AQ84" i="1"/>
  <c r="AQ104" i="1"/>
  <c r="AQ140" i="1"/>
  <c r="AQ230" i="1"/>
  <c r="AQ243" i="1"/>
  <c r="AQ288" i="1"/>
  <c r="AQ313" i="1"/>
  <c r="AQ328" i="1"/>
  <c r="AQ249" i="1"/>
  <c r="AQ282" i="1"/>
  <c r="AQ320" i="1"/>
  <c r="AQ327" i="1"/>
  <c r="AQ314" i="1"/>
  <c r="AP69" i="1"/>
  <c r="AP95" i="1"/>
  <c r="AP109" i="1"/>
  <c r="AP130" i="1"/>
  <c r="AP141" i="1"/>
  <c r="AP187" i="1"/>
  <c r="AP216" i="1"/>
  <c r="AP66" i="1"/>
  <c r="AP137" i="1"/>
  <c r="AP153" i="1"/>
  <c r="AP166" i="1"/>
  <c r="AP120" i="1"/>
  <c r="AP35" i="1"/>
  <c r="AP88" i="1"/>
  <c r="AP98" i="1"/>
  <c r="AP105" i="1"/>
  <c r="AP119" i="1"/>
  <c r="AP149" i="1"/>
  <c r="AP162" i="1"/>
  <c r="AP177" i="1"/>
  <c r="AP73" i="1"/>
  <c r="AP72" i="1"/>
  <c r="AP173" i="1"/>
  <c r="AP183" i="1"/>
  <c r="AP190" i="1"/>
  <c r="AP194" i="1"/>
  <c r="AP198" i="1"/>
  <c r="AP208" i="1"/>
  <c r="AP212" i="1"/>
  <c r="AP220" i="1"/>
  <c r="AP223" i="1"/>
  <c r="AP116" i="1"/>
  <c r="AP138" i="1"/>
  <c r="AP142" i="1"/>
  <c r="AP156" i="1"/>
  <c r="AP167" i="1"/>
  <c r="AP170" i="1"/>
  <c r="AP174" i="1"/>
  <c r="AP180" i="1"/>
  <c r="AP184" i="1"/>
  <c r="AP199" i="1"/>
  <c r="AP242" i="1"/>
  <c r="AP246" i="1"/>
  <c r="AP253" i="1"/>
  <c r="AP257" i="1"/>
  <c r="AP261" i="1"/>
  <c r="AP268" i="1"/>
  <c r="AP272" i="1"/>
  <c r="AP286" i="1"/>
  <c r="AP290" i="1"/>
  <c r="AP303" i="1"/>
  <c r="AP134" i="1"/>
  <c r="AP150" i="1"/>
  <c r="AP163" i="1"/>
  <c r="AP195" i="1"/>
  <c r="AP209" i="1"/>
  <c r="AP250" i="1"/>
  <c r="AP265" i="1"/>
  <c r="AP279" i="1"/>
  <c r="AP299" i="1"/>
  <c r="AP315" i="1"/>
  <c r="AP191" i="1"/>
  <c r="AP205" i="1"/>
  <c r="AP221" i="1"/>
  <c r="AP295" i="1"/>
  <c r="AP311" i="1"/>
  <c r="AP322" i="1"/>
  <c r="AP99" i="1"/>
  <c r="AP202" i="1"/>
  <c r="AP217" i="1"/>
  <c r="AP127" i="1"/>
  <c r="AP29" i="1"/>
  <c r="AP74" i="1"/>
  <c r="AP128" i="1"/>
  <c r="AP139" i="1"/>
  <c r="AP154" i="1"/>
  <c r="AP168" i="1"/>
  <c r="AP185" i="1"/>
  <c r="AP200" i="1"/>
  <c r="AP214" i="1"/>
  <c r="AP92" i="1"/>
  <c r="AP121" i="1"/>
  <c r="AP135" i="1"/>
  <c r="AP151" i="1"/>
  <c r="AP181" i="1"/>
  <c r="AP196" i="1"/>
  <c r="AP210" i="1"/>
  <c r="AP237" i="1"/>
  <c r="AP33" i="1"/>
  <c r="AP100" i="1"/>
  <c r="AP124" i="1"/>
  <c r="AP132" i="1"/>
  <c r="AP192" i="1"/>
  <c r="AP206" i="1"/>
  <c r="AP89" i="1"/>
  <c r="AP111" i="1"/>
  <c r="AP117" i="1"/>
  <c r="AP143" i="1"/>
  <c r="AP157" i="1"/>
  <c r="AP203" i="1"/>
  <c r="AP112" i="1"/>
  <c r="AP129" i="1"/>
  <c r="AP169" i="1"/>
  <c r="AP186" i="1"/>
  <c r="AP201" i="1"/>
  <c r="AP215" i="1"/>
  <c r="AP254" i="1"/>
  <c r="AP276" i="1"/>
  <c r="AP291" i="1"/>
  <c r="AP304" i="1"/>
  <c r="AP240" i="1"/>
  <c r="AP274" i="1"/>
  <c r="AP285" i="1"/>
  <c r="AP292" i="1"/>
  <c r="AP294" i="1"/>
  <c r="AP171" i="1"/>
  <c r="AP96" i="1"/>
  <c r="AP97" i="1"/>
  <c r="AP122" i="1"/>
  <c r="AP136" i="1"/>
  <c r="AP152" i="1"/>
  <c r="AP165" i="1"/>
  <c r="AP179" i="1"/>
  <c r="AP197" i="1"/>
  <c r="AP211" i="1"/>
  <c r="AP238" i="1"/>
  <c r="AP273" i="1"/>
  <c r="AP284" i="1"/>
  <c r="AP326" i="1"/>
  <c r="AP248" i="1"/>
  <c r="AP259" i="1"/>
  <c r="AP270" i="1"/>
  <c r="AP281" i="1"/>
  <c r="AP218" i="1"/>
  <c r="AP131" i="1"/>
  <c r="AP27" i="1"/>
  <c r="AP75" i="1"/>
  <c r="AP108" i="1"/>
  <c r="AP148" i="1"/>
  <c r="AP176" i="1"/>
  <c r="AP193" i="1"/>
  <c r="AP207" i="1"/>
  <c r="AP222" i="1"/>
  <c r="AP37" i="1"/>
  <c r="AP70" i="1"/>
  <c r="AP247" i="1"/>
  <c r="AP269" i="1"/>
  <c r="AP323" i="1"/>
  <c r="AP266" i="1"/>
  <c r="AP118" i="1"/>
  <c r="AP125" i="1"/>
  <c r="AP144" i="1"/>
  <c r="AP172" i="1"/>
  <c r="AP204" i="1"/>
  <c r="AP219" i="1"/>
  <c r="AP258" i="1"/>
  <c r="AP280" i="1"/>
  <c r="AP308" i="1"/>
  <c r="AP316" i="1"/>
  <c r="AP318" i="1"/>
  <c r="AP255" i="1"/>
  <c r="AP263" i="1"/>
  <c r="AP277" i="1"/>
  <c r="AP297" i="1"/>
  <c r="AP305" i="1"/>
  <c r="AP309" i="1"/>
  <c r="AP241" i="1"/>
  <c r="AP267" i="1"/>
  <c r="AP310" i="1"/>
  <c r="AP252" i="1"/>
  <c r="AP264" i="1"/>
  <c r="AP275" i="1"/>
  <c r="AP260" i="1"/>
  <c r="AP289" i="1"/>
  <c r="AP245" i="1"/>
  <c r="AP256" i="1"/>
  <c r="AP271" i="1"/>
  <c r="AP278" i="1"/>
  <c r="AP298" i="1"/>
  <c r="AP325" i="1"/>
  <c r="T1" i="6"/>
  <c r="T2" i="6"/>
  <c r="AR23" i="1"/>
  <c r="AQ26" i="1"/>
  <c r="AF10" i="8"/>
  <c r="B8" i="10" s="1"/>
  <c r="AF11" i="8"/>
  <c r="B9" i="10" s="1"/>
  <c r="AF9" i="8"/>
  <c r="B7" i="10" s="1"/>
  <c r="AQ22" i="1"/>
  <c r="T186" i="6" l="1"/>
  <c r="T191" i="6"/>
  <c r="T187" i="6"/>
  <c r="T192" i="6"/>
  <c r="T188" i="6"/>
  <c r="T189" i="6"/>
  <c r="T166" i="6"/>
  <c r="T62" i="6"/>
  <c r="T50" i="6"/>
  <c r="T158" i="6"/>
  <c r="T23" i="6"/>
  <c r="T75" i="6"/>
  <c r="T210" i="6"/>
  <c r="T38" i="6"/>
  <c r="T56" i="6"/>
  <c r="T159" i="6"/>
  <c r="T257" i="6"/>
  <c r="T19" i="6"/>
  <c r="T260" i="6"/>
  <c r="T240" i="6"/>
  <c r="T236" i="6"/>
  <c r="T228" i="6"/>
  <c r="T220" i="6"/>
  <c r="T202" i="6"/>
  <c r="T194" i="6"/>
  <c r="T152" i="6"/>
  <c r="T144" i="6"/>
  <c r="T140" i="6"/>
  <c r="T136" i="6"/>
  <c r="T78" i="6"/>
  <c r="T49" i="6"/>
  <c r="T45" i="6"/>
  <c r="T41" i="6"/>
  <c r="T36" i="6"/>
  <c r="T32" i="6"/>
  <c r="T28" i="6"/>
  <c r="T21" i="6"/>
  <c r="T259" i="6"/>
  <c r="T235" i="6"/>
  <c r="T151" i="6"/>
  <c r="T147" i="6"/>
  <c r="T143" i="6"/>
  <c r="T139" i="6"/>
  <c r="T135" i="6"/>
  <c r="T127" i="6"/>
  <c r="T99" i="6"/>
  <c r="T223" i="6"/>
  <c r="T219" i="6"/>
  <c r="T209" i="6"/>
  <c r="T53" i="6"/>
  <c r="T81" i="6"/>
  <c r="T77" i="6"/>
  <c r="T58" i="6"/>
  <c r="T35" i="6"/>
  <c r="T31" i="6"/>
  <c r="T27" i="6"/>
  <c r="T20" i="6"/>
  <c r="T258" i="6"/>
  <c r="T254" i="6"/>
  <c r="T234" i="6"/>
  <c r="T142" i="6"/>
  <c r="T138" i="6"/>
  <c r="T134" i="6"/>
  <c r="T218" i="6"/>
  <c r="T208" i="6"/>
  <c r="T190" i="6"/>
  <c r="T61" i="6"/>
  <c r="T39" i="6"/>
  <c r="T34" i="6"/>
  <c r="T30" i="6"/>
  <c r="T26" i="6"/>
  <c r="T261" i="6"/>
  <c r="T233" i="6"/>
  <c r="T157" i="6"/>
  <c r="T66" i="6"/>
  <c r="T52" i="6"/>
  <c r="T213" i="6"/>
  <c r="T195" i="6"/>
  <c r="T185" i="6"/>
  <c r="T169" i="6"/>
  <c r="T93" i="6"/>
  <c r="T22" i="6"/>
  <c r="T141" i="6"/>
  <c r="T145" i="6"/>
  <c r="T69" i="6"/>
  <c r="T51" i="6"/>
  <c r="T46" i="6"/>
  <c r="T137" i="6"/>
  <c r="T105" i="6"/>
  <c r="T167" i="6"/>
  <c r="T25" i="6"/>
  <c r="T91" i="6"/>
  <c r="T76" i="6"/>
  <c r="T24" i="6"/>
  <c r="T90" i="6"/>
  <c r="T211" i="6"/>
  <c r="T255" i="6"/>
  <c r="T256" i="6"/>
  <c r="T252" i="6"/>
  <c r="T248" i="6"/>
  <c r="T244" i="6"/>
  <c r="T232" i="6"/>
  <c r="T224" i="6"/>
  <c r="T216" i="6"/>
  <c r="T212" i="6"/>
  <c r="T206" i="6"/>
  <c r="T198" i="6"/>
  <c r="T184" i="6"/>
  <c r="T180" i="6"/>
  <c r="T176" i="6"/>
  <c r="T172" i="6"/>
  <c r="T168" i="6"/>
  <c r="T162" i="6"/>
  <c r="T156" i="6"/>
  <c r="T148" i="6"/>
  <c r="T132" i="6"/>
  <c r="T128" i="6"/>
  <c r="T124" i="6"/>
  <c r="T120" i="6"/>
  <c r="T116" i="6"/>
  <c r="T112" i="6"/>
  <c r="T108" i="6"/>
  <c r="T104" i="6"/>
  <c r="T100" i="6"/>
  <c r="T96" i="6"/>
  <c r="T92" i="6"/>
  <c r="T86" i="6"/>
  <c r="T82" i="6"/>
  <c r="T54" i="6"/>
  <c r="T72" i="6"/>
  <c r="T68" i="6"/>
  <c r="T64" i="6"/>
  <c r="T59" i="6"/>
  <c r="T247" i="6"/>
  <c r="T155" i="6"/>
  <c r="T131" i="6"/>
  <c r="T123" i="6"/>
  <c r="T119" i="6"/>
  <c r="T115" i="6"/>
  <c r="T111" i="6"/>
  <c r="T107" i="6"/>
  <c r="T103" i="6"/>
  <c r="T227" i="6"/>
  <c r="T205" i="6"/>
  <c r="T201" i="6"/>
  <c r="T197" i="6"/>
  <c r="T193" i="6"/>
  <c r="T183" i="6"/>
  <c r="T179" i="6"/>
  <c r="T175" i="6"/>
  <c r="T171" i="6"/>
  <c r="T165" i="6"/>
  <c r="T161" i="6"/>
  <c r="T215" i="6"/>
  <c r="T89" i="6"/>
  <c r="T226" i="6"/>
  <c r="T48" i="6"/>
  <c r="T44" i="6"/>
  <c r="T95" i="6"/>
  <c r="T85" i="6"/>
  <c r="T71" i="6"/>
  <c r="T67" i="6"/>
  <c r="T63" i="6"/>
  <c r="T40" i="6"/>
  <c r="T251" i="6"/>
  <c r="T243" i="6"/>
  <c r="T239" i="6"/>
  <c r="T231" i="6"/>
  <c r="T250" i="6"/>
  <c r="T246" i="6"/>
  <c r="T242" i="6"/>
  <c r="T238" i="6"/>
  <c r="T230" i="6"/>
  <c r="T214" i="6"/>
  <c r="T154" i="6"/>
  <c r="T150" i="6"/>
  <c r="T146" i="6"/>
  <c r="T130" i="6"/>
  <c r="T126" i="6"/>
  <c r="T122" i="6"/>
  <c r="T118" i="6"/>
  <c r="T114" i="6"/>
  <c r="T110" i="6"/>
  <c r="T106" i="6"/>
  <c r="T102" i="6"/>
  <c r="T98" i="6"/>
  <c r="T94" i="6"/>
  <c r="T222" i="6"/>
  <c r="T204" i="6"/>
  <c r="T200" i="6"/>
  <c r="T196" i="6"/>
  <c r="T182" i="6"/>
  <c r="T178" i="6"/>
  <c r="T174" i="6"/>
  <c r="T170" i="6"/>
  <c r="T164" i="6"/>
  <c r="T160" i="6"/>
  <c r="T74" i="6"/>
  <c r="T229" i="6"/>
  <c r="T88" i="6"/>
  <c r="T80" i="6"/>
  <c r="T70" i="6"/>
  <c r="T57" i="6"/>
  <c r="T253" i="6"/>
  <c r="T249" i="6"/>
  <c r="T245" i="6"/>
  <c r="T241" i="6"/>
  <c r="T237" i="6"/>
  <c r="T153" i="6"/>
  <c r="T84" i="6"/>
  <c r="T47" i="6"/>
  <c r="T43" i="6"/>
  <c r="T225" i="6"/>
  <c r="T221" i="6"/>
  <c r="T217" i="6"/>
  <c r="T207" i="6"/>
  <c r="T203" i="6"/>
  <c r="T199" i="6"/>
  <c r="T181" i="6"/>
  <c r="T177" i="6"/>
  <c r="T173" i="6"/>
  <c r="T163" i="6"/>
  <c r="T149" i="6"/>
  <c r="T133" i="6"/>
  <c r="T129" i="6"/>
  <c r="T109" i="6"/>
  <c r="T117" i="6"/>
  <c r="T113" i="6"/>
  <c r="T97" i="6"/>
  <c r="T121" i="6"/>
  <c r="T101" i="6"/>
  <c r="T83" i="6"/>
  <c r="T79" i="6"/>
  <c r="T73" i="6"/>
  <c r="T65" i="6"/>
  <c r="T60" i="6"/>
  <c r="T55" i="6"/>
  <c r="T42" i="6"/>
  <c r="T37" i="6"/>
  <c r="T29" i="6"/>
  <c r="T125" i="6"/>
  <c r="T87" i="6"/>
  <c r="T33" i="6"/>
  <c r="AQ360" i="1"/>
  <c r="AQ352" i="1"/>
  <c r="AQ350" i="1"/>
  <c r="AR155" i="1"/>
  <c r="AR56" i="1"/>
  <c r="AQ106" i="1"/>
  <c r="AQ361" i="1"/>
  <c r="AQ363" i="1"/>
  <c r="AQ362" i="1"/>
  <c r="AR365" i="1"/>
  <c r="AR364" i="1"/>
  <c r="S11" i="6"/>
  <c r="S9" i="6"/>
  <c r="S13" i="6"/>
  <c r="S8" i="6"/>
  <c r="S12" i="6"/>
  <c r="S10" i="6"/>
  <c r="S14" i="6"/>
  <c r="AR370" i="1"/>
  <c r="AR369" i="1"/>
  <c r="AR368" i="1"/>
  <c r="AR371" i="1"/>
  <c r="AR372" i="1"/>
  <c r="AQ302" i="1"/>
  <c r="AQ330" i="1"/>
  <c r="AR79" i="1"/>
  <c r="AR50" i="1"/>
  <c r="AQ333" i="1"/>
  <c r="AQ337" i="1"/>
  <c r="AQ332" i="1"/>
  <c r="AR355" i="1"/>
  <c r="AR357" i="1"/>
  <c r="AR358" i="1"/>
  <c r="AR354" i="1"/>
  <c r="AR359" i="1"/>
  <c r="AR356" i="1"/>
  <c r="AQ367" i="1"/>
  <c r="AQ366" i="1"/>
  <c r="AQ336" i="1"/>
  <c r="AQ321" i="1"/>
  <c r="AR351" i="1"/>
  <c r="AR353" i="1"/>
  <c r="AQ338" i="1"/>
  <c r="AQ346" i="1"/>
  <c r="AQ343" i="1"/>
  <c r="AQ344" i="1"/>
  <c r="AQ107" i="1"/>
  <c r="AQ349" i="1"/>
  <c r="AQ339" i="1"/>
  <c r="AQ348" i="1"/>
  <c r="AQ347" i="1"/>
  <c r="AQ345" i="1"/>
  <c r="AQ342" i="1"/>
  <c r="AQ340" i="1"/>
  <c r="AQ341" i="1"/>
  <c r="AQ334" i="1"/>
  <c r="AR335" i="1"/>
  <c r="AQ306" i="1"/>
  <c r="AQ110" i="1"/>
  <c r="AQ161" i="1"/>
  <c r="AQ324" i="1"/>
  <c r="AQ228" i="1"/>
  <c r="AQ42" i="1"/>
  <c r="AQ189" i="1"/>
  <c r="AQ78" i="1"/>
  <c r="AQ182" i="1"/>
  <c r="AQ287" i="1"/>
  <c r="AQ58" i="1"/>
  <c r="AQ233" i="1"/>
  <c r="AQ239" i="1"/>
  <c r="AQ164" i="1"/>
  <c r="AQ213" i="1"/>
  <c r="AQ231" i="1"/>
  <c r="AQ229" i="1"/>
  <c r="AQ236" i="1"/>
  <c r="AQ293" i="1"/>
  <c r="AQ232" i="1"/>
  <c r="AQ188" i="1"/>
  <c r="AQ235" i="1"/>
  <c r="U1" i="6"/>
  <c r="AQ66" i="1"/>
  <c r="AQ137" i="1"/>
  <c r="AQ153" i="1"/>
  <c r="AQ166" i="1"/>
  <c r="AQ194" i="1"/>
  <c r="AQ208" i="1"/>
  <c r="AQ223" i="1"/>
  <c r="AQ29" i="1"/>
  <c r="AQ111" i="1"/>
  <c r="AQ284" i="1"/>
  <c r="AQ35" i="1"/>
  <c r="AQ88" i="1"/>
  <c r="AQ98" i="1"/>
  <c r="AQ105" i="1"/>
  <c r="AQ119" i="1"/>
  <c r="AQ149" i="1"/>
  <c r="AQ162" i="1"/>
  <c r="AQ177" i="1"/>
  <c r="AQ190" i="1"/>
  <c r="AQ220" i="1"/>
  <c r="AQ72" i="1"/>
  <c r="AQ173" i="1"/>
  <c r="AQ187" i="1"/>
  <c r="AQ216" i="1"/>
  <c r="AQ124" i="1"/>
  <c r="AQ69" i="1"/>
  <c r="AQ95" i="1"/>
  <c r="AQ109" i="1"/>
  <c r="AQ130" i="1"/>
  <c r="AQ141" i="1"/>
  <c r="AQ183" i="1"/>
  <c r="AQ198" i="1"/>
  <c r="AQ212" i="1"/>
  <c r="AQ99" i="1"/>
  <c r="AQ116" i="1"/>
  <c r="AQ174" i="1"/>
  <c r="AQ184" i="1"/>
  <c r="AQ195" i="1"/>
  <c r="AQ199" i="1"/>
  <c r="AQ202" i="1"/>
  <c r="AQ209" i="1"/>
  <c r="AQ217" i="1"/>
  <c r="AQ246" i="1"/>
  <c r="AQ261" i="1"/>
  <c r="AQ299" i="1"/>
  <c r="AQ315" i="1"/>
  <c r="AQ142" i="1"/>
  <c r="AQ156" i="1"/>
  <c r="AQ170" i="1"/>
  <c r="AQ191" i="1"/>
  <c r="AQ205" i="1"/>
  <c r="AQ221" i="1"/>
  <c r="AQ242" i="1"/>
  <c r="AQ257" i="1"/>
  <c r="AQ272" i="1"/>
  <c r="AQ286" i="1"/>
  <c r="AQ295" i="1"/>
  <c r="AQ311" i="1"/>
  <c r="AQ138" i="1"/>
  <c r="AQ167" i="1"/>
  <c r="AQ180" i="1"/>
  <c r="AQ253" i="1"/>
  <c r="AQ268" i="1"/>
  <c r="AQ134" i="1"/>
  <c r="AQ150" i="1"/>
  <c r="AQ163" i="1"/>
  <c r="AQ250" i="1"/>
  <c r="AQ265" i="1"/>
  <c r="AQ279" i="1"/>
  <c r="AQ290" i="1"/>
  <c r="AQ303" i="1"/>
  <c r="AQ322" i="1"/>
  <c r="AQ181" i="1"/>
  <c r="AQ196" i="1"/>
  <c r="AQ210" i="1"/>
  <c r="AQ127" i="1"/>
  <c r="AQ92" i="1"/>
  <c r="AQ100" i="1"/>
  <c r="AQ192" i="1"/>
  <c r="AQ206" i="1"/>
  <c r="AQ89" i="1"/>
  <c r="AQ121" i="1"/>
  <c r="AQ132" i="1"/>
  <c r="AQ135" i="1"/>
  <c r="AQ143" i="1"/>
  <c r="AQ151" i="1"/>
  <c r="AQ157" i="1"/>
  <c r="AQ171" i="1"/>
  <c r="AQ203" i="1"/>
  <c r="AQ218" i="1"/>
  <c r="AQ117" i="1"/>
  <c r="AQ128" i="1"/>
  <c r="AQ139" i="1"/>
  <c r="AQ154" i="1"/>
  <c r="AQ168" i="1"/>
  <c r="AQ237" i="1"/>
  <c r="AQ120" i="1"/>
  <c r="AQ97" i="1"/>
  <c r="AQ122" i="1"/>
  <c r="AQ136" i="1"/>
  <c r="AQ152" i="1"/>
  <c r="AQ165" i="1"/>
  <c r="AQ179" i="1"/>
  <c r="AQ197" i="1"/>
  <c r="AQ211" i="1"/>
  <c r="AQ238" i="1"/>
  <c r="AQ74" i="1"/>
  <c r="AQ273" i="1"/>
  <c r="AQ276" i="1"/>
  <c r="AQ280" i="1"/>
  <c r="AQ326" i="1"/>
  <c r="AQ248" i="1"/>
  <c r="AQ259" i="1"/>
  <c r="AQ270" i="1"/>
  <c r="AQ281" i="1"/>
  <c r="AQ309" i="1"/>
  <c r="AQ200" i="1"/>
  <c r="AQ73" i="1"/>
  <c r="AQ27" i="1"/>
  <c r="AQ75" i="1"/>
  <c r="AQ108" i="1"/>
  <c r="AQ148" i="1"/>
  <c r="AQ176" i="1"/>
  <c r="AQ193" i="1"/>
  <c r="AQ207" i="1"/>
  <c r="AQ222" i="1"/>
  <c r="AQ33" i="1"/>
  <c r="AQ269" i="1"/>
  <c r="AQ323" i="1"/>
  <c r="AQ266" i="1"/>
  <c r="AQ294" i="1"/>
  <c r="AQ305" i="1"/>
  <c r="AQ131" i="1"/>
  <c r="AQ118" i="1"/>
  <c r="AQ125" i="1"/>
  <c r="AQ144" i="1"/>
  <c r="AQ172" i="1"/>
  <c r="AQ204" i="1"/>
  <c r="AQ219" i="1"/>
  <c r="AQ247" i="1"/>
  <c r="AQ258" i="1"/>
  <c r="AQ308" i="1"/>
  <c r="AQ318" i="1"/>
  <c r="AQ255" i="1"/>
  <c r="AQ263" i="1"/>
  <c r="AQ277" i="1"/>
  <c r="AQ292" i="1"/>
  <c r="AQ185" i="1"/>
  <c r="AQ214" i="1"/>
  <c r="AQ37" i="1"/>
  <c r="AQ70" i="1"/>
  <c r="AQ96" i="1"/>
  <c r="AQ112" i="1"/>
  <c r="AQ129" i="1"/>
  <c r="AQ169" i="1"/>
  <c r="AQ186" i="1"/>
  <c r="AQ201" i="1"/>
  <c r="AQ215" i="1"/>
  <c r="AQ254" i="1"/>
  <c r="AQ291" i="1"/>
  <c r="AQ304" i="1"/>
  <c r="AQ316" i="1"/>
  <c r="AQ240" i="1"/>
  <c r="AQ274" i="1"/>
  <c r="AQ285" i="1"/>
  <c r="AQ297" i="1"/>
  <c r="AQ252" i="1"/>
  <c r="AQ264" i="1"/>
  <c r="AQ275" i="1"/>
  <c r="AQ260" i="1"/>
  <c r="AQ325" i="1"/>
  <c r="AQ245" i="1"/>
  <c r="AQ256" i="1"/>
  <c r="AQ271" i="1"/>
  <c r="AQ278" i="1"/>
  <c r="AQ241" i="1"/>
  <c r="AQ267" i="1"/>
  <c r="AQ289" i="1"/>
  <c r="AQ298" i="1"/>
  <c r="AQ310" i="1"/>
  <c r="AR41" i="1"/>
  <c r="AR60" i="1"/>
  <c r="AR68" i="1"/>
  <c r="AR52" i="1"/>
  <c r="AR64" i="1"/>
  <c r="AR76" i="1"/>
  <c r="AR113" i="1"/>
  <c r="AR126" i="1"/>
  <c r="AR133" i="1"/>
  <c r="AR36" i="1"/>
  <c r="AR81" i="1"/>
  <c r="AR31" i="1"/>
  <c r="AR39" i="1"/>
  <c r="AR48" i="1"/>
  <c r="AR63" i="1"/>
  <c r="AR145" i="1"/>
  <c r="AR45" i="1"/>
  <c r="AR61" i="1"/>
  <c r="AR82" i="1"/>
  <c r="AR85" i="1"/>
  <c r="AR90" i="1"/>
  <c r="AR101" i="1"/>
  <c r="AR227" i="1"/>
  <c r="AR34" i="1"/>
  <c r="AR43" i="1"/>
  <c r="AR123" i="1"/>
  <c r="AR30" i="1"/>
  <c r="AR47" i="1"/>
  <c r="AR49" i="1"/>
  <c r="AR283" i="1"/>
  <c r="AR329" i="1"/>
  <c r="AR57" i="1"/>
  <c r="AR28" i="1"/>
  <c r="AR224" i="1"/>
  <c r="AR51" i="1"/>
  <c r="AR65" i="1"/>
  <c r="AR86" i="1"/>
  <c r="AR146" i="1"/>
  <c r="AR159" i="1"/>
  <c r="AR307" i="1"/>
  <c r="AR93" i="1"/>
  <c r="AR32" i="1"/>
  <c r="AR46" i="1"/>
  <c r="AR77" i="1"/>
  <c r="AR59" i="1"/>
  <c r="AR67" i="1"/>
  <c r="AR103" i="1"/>
  <c r="AR38" i="1"/>
  <c r="AR114" i="1"/>
  <c r="AR178" i="1"/>
  <c r="AR40" i="1"/>
  <c r="AR55" i="1"/>
  <c r="AR83" i="1"/>
  <c r="AR54" i="1"/>
  <c r="AR62" i="1"/>
  <c r="AR71" i="1"/>
  <c r="AR147" i="1"/>
  <c r="AR160" i="1"/>
  <c r="AR225" i="1"/>
  <c r="AR44" i="1"/>
  <c r="AR102" i="1"/>
  <c r="AR140" i="1"/>
  <c r="AR234" i="1"/>
  <c r="AR115" i="1"/>
  <c r="AR296" i="1"/>
  <c r="AR312" i="1"/>
  <c r="AR244" i="1"/>
  <c r="AR319" i="1"/>
  <c r="AR175" i="1"/>
  <c r="AR91" i="1"/>
  <c r="AR158" i="1"/>
  <c r="AR243" i="1"/>
  <c r="AR301" i="1"/>
  <c r="AR317" i="1"/>
  <c r="AR331" i="1"/>
  <c r="AR53" i="1"/>
  <c r="AR80" i="1"/>
  <c r="AR87" i="1"/>
  <c r="AR94" i="1"/>
  <c r="AR104" i="1"/>
  <c r="AR230" i="1"/>
  <c r="AR251" i="1"/>
  <c r="AR288" i="1"/>
  <c r="AR313" i="1"/>
  <c r="AR327" i="1"/>
  <c r="AR84" i="1"/>
  <c r="AR226" i="1"/>
  <c r="AR262" i="1"/>
  <c r="AR300" i="1"/>
  <c r="AR249" i="1"/>
  <c r="AR282" i="1"/>
  <c r="AR314" i="1"/>
  <c r="AR320" i="1"/>
  <c r="AR328" i="1"/>
  <c r="AF44" i="8"/>
  <c r="B42" i="10" s="1"/>
  <c r="U2" i="6"/>
  <c r="AS23" i="1"/>
  <c r="AR26" i="1"/>
  <c r="AF40" i="8"/>
  <c r="B38" i="10" s="1"/>
  <c r="AF43" i="8"/>
  <c r="B41" i="10" s="1"/>
  <c r="AF41" i="8"/>
  <c r="B39" i="10" s="1"/>
  <c r="AF42" i="8"/>
  <c r="B40" i="10" s="1"/>
  <c r="AF12" i="8"/>
  <c r="B10" i="10" s="1"/>
  <c r="AR22" i="1"/>
  <c r="U186" i="6" l="1"/>
  <c r="U191" i="6"/>
  <c r="U187" i="6"/>
  <c r="U192" i="6"/>
  <c r="U188" i="6"/>
  <c r="U189" i="6"/>
  <c r="U56" i="6"/>
  <c r="U159" i="6"/>
  <c r="U75" i="6"/>
  <c r="U210" i="6"/>
  <c r="U166" i="6"/>
  <c r="U158" i="6"/>
  <c r="U62" i="6"/>
  <c r="U50" i="6"/>
  <c r="U38" i="6"/>
  <c r="U23" i="6"/>
  <c r="U257" i="6"/>
  <c r="U260" i="6"/>
  <c r="U240" i="6"/>
  <c r="U236" i="6"/>
  <c r="U19" i="6"/>
  <c r="U228" i="6"/>
  <c r="U220" i="6"/>
  <c r="U202" i="6"/>
  <c r="U152" i="6"/>
  <c r="U194" i="6"/>
  <c r="U144" i="6"/>
  <c r="U140" i="6"/>
  <c r="U136" i="6"/>
  <c r="U49" i="6"/>
  <c r="U45" i="6"/>
  <c r="U21" i="6"/>
  <c r="U78" i="6"/>
  <c r="U41" i="6"/>
  <c r="U28" i="6"/>
  <c r="U135" i="6"/>
  <c r="U127" i="6"/>
  <c r="U36" i="6"/>
  <c r="U235" i="6"/>
  <c r="U151" i="6"/>
  <c r="U147" i="6"/>
  <c r="U143" i="6"/>
  <c r="U139" i="6"/>
  <c r="U32" i="6"/>
  <c r="U259" i="6"/>
  <c r="U223" i="6"/>
  <c r="U219" i="6"/>
  <c r="U209" i="6"/>
  <c r="U99" i="6"/>
  <c r="U81" i="6"/>
  <c r="U77" i="6"/>
  <c r="U58" i="6"/>
  <c r="U35" i="6"/>
  <c r="U31" i="6"/>
  <c r="U27" i="6"/>
  <c r="U234" i="6"/>
  <c r="U258" i="6"/>
  <c r="U254" i="6"/>
  <c r="U53" i="6"/>
  <c r="U20" i="6"/>
  <c r="U218" i="6"/>
  <c r="U208" i="6"/>
  <c r="U190" i="6"/>
  <c r="U142" i="6"/>
  <c r="U138" i="6"/>
  <c r="U134" i="6"/>
  <c r="U195" i="6"/>
  <c r="U185" i="6"/>
  <c r="U169" i="6"/>
  <c r="U52" i="6"/>
  <c r="U261" i="6"/>
  <c r="U213" i="6"/>
  <c r="U66" i="6"/>
  <c r="U61" i="6"/>
  <c r="U39" i="6"/>
  <c r="U34" i="6"/>
  <c r="U30" i="6"/>
  <c r="U26" i="6"/>
  <c r="U233" i="6"/>
  <c r="U157" i="6"/>
  <c r="U141" i="6"/>
  <c r="U93" i="6"/>
  <c r="U145" i="6"/>
  <c r="U137" i="6"/>
  <c r="U51" i="6"/>
  <c r="U46" i="6"/>
  <c r="U105" i="6"/>
  <c r="U69" i="6"/>
  <c r="U22" i="6"/>
  <c r="U167" i="6"/>
  <c r="U90" i="6"/>
  <c r="U24" i="6"/>
  <c r="U211" i="6"/>
  <c r="U76" i="6"/>
  <c r="U91" i="6"/>
  <c r="U25" i="6"/>
  <c r="U256" i="6"/>
  <c r="U244" i="6"/>
  <c r="U248" i="6"/>
  <c r="U212" i="6"/>
  <c r="U255" i="6"/>
  <c r="U232" i="6"/>
  <c r="U252" i="6"/>
  <c r="U224" i="6"/>
  <c r="U216" i="6"/>
  <c r="U206" i="6"/>
  <c r="U156" i="6"/>
  <c r="U148" i="6"/>
  <c r="U198" i="6"/>
  <c r="U184" i="6"/>
  <c r="U180" i="6"/>
  <c r="U176" i="6"/>
  <c r="U172" i="6"/>
  <c r="U168" i="6"/>
  <c r="U162" i="6"/>
  <c r="U92" i="6"/>
  <c r="U104" i="6"/>
  <c r="U96" i="6"/>
  <c r="U132" i="6"/>
  <c r="U128" i="6"/>
  <c r="U124" i="6"/>
  <c r="U120" i="6"/>
  <c r="U116" i="6"/>
  <c r="U112" i="6"/>
  <c r="U108" i="6"/>
  <c r="U86" i="6"/>
  <c r="U82" i="6"/>
  <c r="U54" i="6"/>
  <c r="U100" i="6"/>
  <c r="U72" i="6"/>
  <c r="U247" i="6"/>
  <c r="U215" i="6"/>
  <c r="U131" i="6"/>
  <c r="U123" i="6"/>
  <c r="U119" i="6"/>
  <c r="U115" i="6"/>
  <c r="U111" i="6"/>
  <c r="U59" i="6"/>
  <c r="U68" i="6"/>
  <c r="U227" i="6"/>
  <c r="U205" i="6"/>
  <c r="U201" i="6"/>
  <c r="U197" i="6"/>
  <c r="U193" i="6"/>
  <c r="U183" i="6"/>
  <c r="U179" i="6"/>
  <c r="U175" i="6"/>
  <c r="U171" i="6"/>
  <c r="U165" i="6"/>
  <c r="U161" i="6"/>
  <c r="U155" i="6"/>
  <c r="U64" i="6"/>
  <c r="U107" i="6"/>
  <c r="U85" i="6"/>
  <c r="U71" i="6"/>
  <c r="U67" i="6"/>
  <c r="U63" i="6"/>
  <c r="U40" i="6"/>
  <c r="U239" i="6"/>
  <c r="U231" i="6"/>
  <c r="U242" i="6"/>
  <c r="U238" i="6"/>
  <c r="U230" i="6"/>
  <c r="U103" i="6"/>
  <c r="U89" i="6"/>
  <c r="U226" i="6"/>
  <c r="U251" i="6"/>
  <c r="U243" i="6"/>
  <c r="U250" i="6"/>
  <c r="U95" i="6"/>
  <c r="U48" i="6"/>
  <c r="U44" i="6"/>
  <c r="U246" i="6"/>
  <c r="U214" i="6"/>
  <c r="U130" i="6"/>
  <c r="U114" i="6"/>
  <c r="U126" i="6"/>
  <c r="U110" i="6"/>
  <c r="U106" i="6"/>
  <c r="U98" i="6"/>
  <c r="U94" i="6"/>
  <c r="U88" i="6"/>
  <c r="U84" i="6"/>
  <c r="U80" i="6"/>
  <c r="U74" i="6"/>
  <c r="U70" i="6"/>
  <c r="U222" i="6"/>
  <c r="U204" i="6"/>
  <c r="U200" i="6"/>
  <c r="U196" i="6"/>
  <c r="U182" i="6"/>
  <c r="U178" i="6"/>
  <c r="U174" i="6"/>
  <c r="U170" i="6"/>
  <c r="U164" i="6"/>
  <c r="U160" i="6"/>
  <c r="U122" i="6"/>
  <c r="U102" i="6"/>
  <c r="U154" i="6"/>
  <c r="U150" i="6"/>
  <c r="U146" i="6"/>
  <c r="U118" i="6"/>
  <c r="U225" i="6"/>
  <c r="U221" i="6"/>
  <c r="U217" i="6"/>
  <c r="U207" i="6"/>
  <c r="U203" i="6"/>
  <c r="U199" i="6"/>
  <c r="U181" i="6"/>
  <c r="U177" i="6"/>
  <c r="U173" i="6"/>
  <c r="U163" i="6"/>
  <c r="U253" i="6"/>
  <c r="U245" i="6"/>
  <c r="U229" i="6"/>
  <c r="U57" i="6"/>
  <c r="U47" i="6"/>
  <c r="U43" i="6"/>
  <c r="U249" i="6"/>
  <c r="U241" i="6"/>
  <c r="U237" i="6"/>
  <c r="U153" i="6"/>
  <c r="U133" i="6"/>
  <c r="U129" i="6"/>
  <c r="U109" i="6"/>
  <c r="U117" i="6"/>
  <c r="U113" i="6"/>
  <c r="U97" i="6"/>
  <c r="U121" i="6"/>
  <c r="U101" i="6"/>
  <c r="U83" i="6"/>
  <c r="U55" i="6"/>
  <c r="U149" i="6"/>
  <c r="U125" i="6"/>
  <c r="U87" i="6"/>
  <c r="U79" i="6"/>
  <c r="U73" i="6"/>
  <c r="U65" i="6"/>
  <c r="U60" i="6"/>
  <c r="U42" i="6"/>
  <c r="U37" i="6"/>
  <c r="U33" i="6"/>
  <c r="U29" i="6"/>
  <c r="AR352" i="1"/>
  <c r="AR360" i="1"/>
  <c r="AR350" i="1"/>
  <c r="AS155" i="1"/>
  <c r="AS56" i="1"/>
  <c r="AR106" i="1"/>
  <c r="AR361" i="1"/>
  <c r="AR363" i="1"/>
  <c r="AR362" i="1"/>
  <c r="AS364" i="1"/>
  <c r="AS365" i="1"/>
  <c r="T8" i="6"/>
  <c r="T12" i="6"/>
  <c r="T11" i="6"/>
  <c r="T10" i="6"/>
  <c r="T14" i="6"/>
  <c r="T13" i="6"/>
  <c r="T9" i="6"/>
  <c r="AS372" i="1"/>
  <c r="AS370" i="1"/>
  <c r="AS369" i="1"/>
  <c r="AS371" i="1"/>
  <c r="AS368" i="1"/>
  <c r="AR302" i="1"/>
  <c r="AR330" i="1"/>
  <c r="AS79" i="1"/>
  <c r="AS50" i="1"/>
  <c r="AR337" i="1"/>
  <c r="AR333" i="1"/>
  <c r="AS355" i="1"/>
  <c r="AS359" i="1"/>
  <c r="AS356" i="1"/>
  <c r="AS357" i="1"/>
  <c r="AS358" i="1"/>
  <c r="AS354" i="1"/>
  <c r="AR366" i="1"/>
  <c r="AR367" i="1"/>
  <c r="AR336" i="1"/>
  <c r="AR332" i="1"/>
  <c r="AR321" i="1"/>
  <c r="AR344" i="1"/>
  <c r="AR343" i="1"/>
  <c r="AR338" i="1"/>
  <c r="AR346" i="1"/>
  <c r="AS351" i="1"/>
  <c r="AS353" i="1"/>
  <c r="AR107" i="1"/>
  <c r="AR347" i="1"/>
  <c r="AR345" i="1"/>
  <c r="AR341" i="1"/>
  <c r="AR340" i="1"/>
  <c r="AR348" i="1"/>
  <c r="AR339" i="1"/>
  <c r="AR342" i="1"/>
  <c r="AR349" i="1"/>
  <c r="AR334" i="1"/>
  <c r="AS335" i="1"/>
  <c r="AR324" i="1"/>
  <c r="AR287" i="1"/>
  <c r="AR161" i="1"/>
  <c r="AR188" i="1"/>
  <c r="AR239" i="1"/>
  <c r="AR58" i="1"/>
  <c r="AR110" i="1"/>
  <c r="AR293" i="1"/>
  <c r="AR306" i="1"/>
  <c r="AR182" i="1"/>
  <c r="AR229" i="1"/>
  <c r="AR228" i="1"/>
  <c r="AR235" i="1"/>
  <c r="AR42" i="1"/>
  <c r="AR189" i="1"/>
  <c r="AR233" i="1"/>
  <c r="AR78" i="1"/>
  <c r="AR164" i="1"/>
  <c r="AR232" i="1"/>
  <c r="AR236" i="1"/>
  <c r="AR213" i="1"/>
  <c r="AR231" i="1"/>
  <c r="F7" i="21"/>
  <c r="F5" i="21"/>
  <c r="F6" i="21"/>
  <c r="V1" i="6"/>
  <c r="AR35" i="1"/>
  <c r="AR88" i="1"/>
  <c r="AR98" i="1"/>
  <c r="AR105" i="1"/>
  <c r="AR119" i="1"/>
  <c r="AR149" i="1"/>
  <c r="AR162" i="1"/>
  <c r="AR177" i="1"/>
  <c r="AR190" i="1"/>
  <c r="AR220" i="1"/>
  <c r="AR72" i="1"/>
  <c r="AR173" i="1"/>
  <c r="AR187" i="1"/>
  <c r="AR216" i="1"/>
  <c r="AR129" i="1"/>
  <c r="AR69" i="1"/>
  <c r="AR95" i="1"/>
  <c r="AR109" i="1"/>
  <c r="AR130" i="1"/>
  <c r="AR141" i="1"/>
  <c r="AR183" i="1"/>
  <c r="AR198" i="1"/>
  <c r="AR212" i="1"/>
  <c r="AR27" i="1"/>
  <c r="AR259" i="1"/>
  <c r="AR66" i="1"/>
  <c r="AR137" i="1"/>
  <c r="AR153" i="1"/>
  <c r="AR166" i="1"/>
  <c r="AR194" i="1"/>
  <c r="AR208" i="1"/>
  <c r="AR223" i="1"/>
  <c r="AR75" i="1"/>
  <c r="AR142" i="1"/>
  <c r="AR156" i="1"/>
  <c r="AR170" i="1"/>
  <c r="AR202" i="1"/>
  <c r="AR217" i="1"/>
  <c r="AR242" i="1"/>
  <c r="AR257" i="1"/>
  <c r="AR272" i="1"/>
  <c r="AR286" i="1"/>
  <c r="AR295" i="1"/>
  <c r="AR311" i="1"/>
  <c r="AR138" i="1"/>
  <c r="AR167" i="1"/>
  <c r="AR180" i="1"/>
  <c r="AR184" i="1"/>
  <c r="AR199" i="1"/>
  <c r="AR253" i="1"/>
  <c r="AR268" i="1"/>
  <c r="AR134" i="1"/>
  <c r="AR150" i="1"/>
  <c r="AR163" i="1"/>
  <c r="AR195" i="1"/>
  <c r="AR209" i="1"/>
  <c r="AR250" i="1"/>
  <c r="AR265" i="1"/>
  <c r="AR279" i="1"/>
  <c r="AR99" i="1"/>
  <c r="AR116" i="1"/>
  <c r="AR174" i="1"/>
  <c r="AR191" i="1"/>
  <c r="AR205" i="1"/>
  <c r="AR221" i="1"/>
  <c r="AR246" i="1"/>
  <c r="AR261" i="1"/>
  <c r="AR290" i="1"/>
  <c r="AR299" i="1"/>
  <c r="AR303" i="1"/>
  <c r="AR315" i="1"/>
  <c r="AR322" i="1"/>
  <c r="AR127" i="1"/>
  <c r="AR89" i="1"/>
  <c r="AR111" i="1"/>
  <c r="AR117" i="1"/>
  <c r="AR143" i="1"/>
  <c r="AR157" i="1"/>
  <c r="AR171" i="1"/>
  <c r="AR29" i="1"/>
  <c r="AR74" i="1"/>
  <c r="AR128" i="1"/>
  <c r="AR139" i="1"/>
  <c r="AR154" i="1"/>
  <c r="AR168" i="1"/>
  <c r="AR92" i="1"/>
  <c r="AR121" i="1"/>
  <c r="AR135" i="1"/>
  <c r="AR151" i="1"/>
  <c r="AR185" i="1"/>
  <c r="AR192" i="1"/>
  <c r="AR200" i="1"/>
  <c r="AR203" i="1"/>
  <c r="AR206" i="1"/>
  <c r="AR214" i="1"/>
  <c r="AR218" i="1"/>
  <c r="AR33" i="1"/>
  <c r="AR100" i="1"/>
  <c r="AR124" i="1"/>
  <c r="AR132" i="1"/>
  <c r="AR196" i="1"/>
  <c r="AR73" i="1"/>
  <c r="AR112" i="1"/>
  <c r="AR122" i="1"/>
  <c r="AR136" i="1"/>
  <c r="AR148" i="1"/>
  <c r="AR152" i="1"/>
  <c r="AR165" i="1"/>
  <c r="AR169" i="1"/>
  <c r="AR176" i="1"/>
  <c r="AR179" i="1"/>
  <c r="AR193" i="1"/>
  <c r="AR207" i="1"/>
  <c r="AR222" i="1"/>
  <c r="AR238" i="1"/>
  <c r="AR258" i="1"/>
  <c r="AR280" i="1"/>
  <c r="AR240" i="1"/>
  <c r="AR281" i="1"/>
  <c r="AR285" i="1"/>
  <c r="AR294" i="1"/>
  <c r="AR305" i="1"/>
  <c r="AR131" i="1"/>
  <c r="AR97" i="1"/>
  <c r="AR108" i="1"/>
  <c r="AR118" i="1"/>
  <c r="AR144" i="1"/>
  <c r="AR172" i="1"/>
  <c r="AR204" i="1"/>
  <c r="AR219" i="1"/>
  <c r="AR254" i="1"/>
  <c r="AR276" i="1"/>
  <c r="AR308" i="1"/>
  <c r="AR318" i="1"/>
  <c r="AR323" i="1"/>
  <c r="AR326" i="1"/>
  <c r="AR263" i="1"/>
  <c r="AR266" i="1"/>
  <c r="AR270" i="1"/>
  <c r="AR277" i="1"/>
  <c r="AR292" i="1"/>
  <c r="AR181" i="1"/>
  <c r="AR210" i="1"/>
  <c r="AR237" i="1"/>
  <c r="AR37" i="1"/>
  <c r="AR70" i="1"/>
  <c r="AR96" i="1"/>
  <c r="AR186" i="1"/>
  <c r="AR201" i="1"/>
  <c r="AR215" i="1"/>
  <c r="AR273" i="1"/>
  <c r="AR284" i="1"/>
  <c r="AR291" i="1"/>
  <c r="AR304" i="1"/>
  <c r="AR316" i="1"/>
  <c r="AR274" i="1"/>
  <c r="AR297" i="1"/>
  <c r="AR120" i="1"/>
  <c r="AR125" i="1"/>
  <c r="AR197" i="1"/>
  <c r="AR211" i="1"/>
  <c r="AR247" i="1"/>
  <c r="AR269" i="1"/>
  <c r="AR248" i="1"/>
  <c r="AR255" i="1"/>
  <c r="AR309" i="1"/>
  <c r="AR260" i="1"/>
  <c r="AR298" i="1"/>
  <c r="AR325" i="1"/>
  <c r="AR245" i="1"/>
  <c r="AR256" i="1"/>
  <c r="AR271" i="1"/>
  <c r="AR278" i="1"/>
  <c r="AR310" i="1"/>
  <c r="AR241" i="1"/>
  <c r="AR267" i="1"/>
  <c r="AR252" i="1"/>
  <c r="AR264" i="1"/>
  <c r="AR275" i="1"/>
  <c r="AR289" i="1"/>
  <c r="AS41" i="1"/>
  <c r="AS82" i="1"/>
  <c r="AS90" i="1"/>
  <c r="AS101" i="1"/>
  <c r="AS113" i="1"/>
  <c r="AS126" i="1"/>
  <c r="AS227" i="1"/>
  <c r="AS85" i="1"/>
  <c r="AS133" i="1"/>
  <c r="AS145" i="1"/>
  <c r="AS49" i="1"/>
  <c r="AS283" i="1"/>
  <c r="AS329" i="1"/>
  <c r="AS224" i="1"/>
  <c r="AS52" i="1"/>
  <c r="AS65" i="1"/>
  <c r="AS86" i="1"/>
  <c r="AS146" i="1"/>
  <c r="AS159" i="1"/>
  <c r="AS43" i="1"/>
  <c r="AS123" i="1"/>
  <c r="AS307" i="1"/>
  <c r="AS76" i="1"/>
  <c r="AS32" i="1"/>
  <c r="AS46" i="1"/>
  <c r="AS77" i="1"/>
  <c r="AS59" i="1"/>
  <c r="AS67" i="1"/>
  <c r="AS103" i="1"/>
  <c r="AS64" i="1"/>
  <c r="AS114" i="1"/>
  <c r="AS178" i="1"/>
  <c r="AS225" i="1"/>
  <c r="AS31" i="1"/>
  <c r="AS40" i="1"/>
  <c r="AS55" i="1"/>
  <c r="AS83" i="1"/>
  <c r="AS54" i="1"/>
  <c r="AS62" i="1"/>
  <c r="AS71" i="1"/>
  <c r="AS147" i="1"/>
  <c r="AS160" i="1"/>
  <c r="AS175" i="1"/>
  <c r="AS93" i="1"/>
  <c r="AS39" i="1"/>
  <c r="AS48" i="1"/>
  <c r="AS91" i="1"/>
  <c r="AS30" i="1"/>
  <c r="AS38" i="1"/>
  <c r="AS47" i="1"/>
  <c r="AS57" i="1"/>
  <c r="AS84" i="1"/>
  <c r="AS104" i="1"/>
  <c r="AS140" i="1"/>
  <c r="AS45" i="1"/>
  <c r="AS243" i="1"/>
  <c r="AS301" i="1"/>
  <c r="AS53" i="1"/>
  <c r="AS115" i="1"/>
  <c r="AS226" i="1"/>
  <c r="AS230" i="1"/>
  <c r="AS251" i="1"/>
  <c r="AS288" i="1"/>
  <c r="AS313" i="1"/>
  <c r="AS34" i="1"/>
  <c r="AS36" i="1"/>
  <c r="AS51" i="1"/>
  <c r="AS60" i="1"/>
  <c r="AS68" i="1"/>
  <c r="AS81" i="1"/>
  <c r="AS87" i="1"/>
  <c r="AS234" i="1"/>
  <c r="AS28" i="1"/>
  <c r="AS61" i="1"/>
  <c r="AS262" i="1"/>
  <c r="AS296" i="1"/>
  <c r="AS300" i="1"/>
  <c r="AS312" i="1"/>
  <c r="AS244" i="1"/>
  <c r="AS63" i="1"/>
  <c r="AS44" i="1"/>
  <c r="AS80" i="1"/>
  <c r="AS102" i="1"/>
  <c r="AS94" i="1"/>
  <c r="AS158" i="1"/>
  <c r="AS317" i="1"/>
  <c r="AS331" i="1"/>
  <c r="AS282" i="1"/>
  <c r="AS320" i="1"/>
  <c r="AS328" i="1"/>
  <c r="AS327" i="1"/>
  <c r="AS319" i="1"/>
  <c r="AS249" i="1"/>
  <c r="AS314" i="1"/>
  <c r="V2" i="6"/>
  <c r="AT23" i="1"/>
  <c r="AS26" i="1"/>
  <c r="AF39" i="8"/>
  <c r="AF8" i="8"/>
  <c r="B6" i="10" s="1"/>
  <c r="AS22" i="1"/>
  <c r="V25" i="6" l="1"/>
  <c r="V90" i="6"/>
  <c r="V211" i="6"/>
  <c r="V76" i="6"/>
  <c r="V24" i="6"/>
  <c r="V91" i="6"/>
  <c r="V167" i="6"/>
  <c r="V255" i="6"/>
  <c r="V248" i="6"/>
  <c r="V224" i="6"/>
  <c r="V216" i="6"/>
  <c r="V244" i="6"/>
  <c r="V232" i="6"/>
  <c r="V212" i="6"/>
  <c r="V256" i="6"/>
  <c r="V252" i="6"/>
  <c r="V206" i="6"/>
  <c r="V156" i="6"/>
  <c r="V148" i="6"/>
  <c r="V198" i="6"/>
  <c r="V184" i="6"/>
  <c r="V180" i="6"/>
  <c r="V176" i="6"/>
  <c r="V172" i="6"/>
  <c r="V168" i="6"/>
  <c r="V162" i="6"/>
  <c r="V96" i="6"/>
  <c r="V104" i="6"/>
  <c r="V86" i="6"/>
  <c r="V82" i="6"/>
  <c r="V132" i="6"/>
  <c r="V128" i="6"/>
  <c r="V124" i="6"/>
  <c r="V120" i="6"/>
  <c r="V116" i="6"/>
  <c r="V54" i="6"/>
  <c r="V112" i="6"/>
  <c r="V100" i="6"/>
  <c r="V92" i="6"/>
  <c r="V68" i="6"/>
  <c r="V59" i="6"/>
  <c r="V108" i="6"/>
  <c r="V64" i="6"/>
  <c r="V247" i="6"/>
  <c r="V215" i="6"/>
  <c r="V131" i="6"/>
  <c r="V115" i="6"/>
  <c r="V107" i="6"/>
  <c r="V183" i="6"/>
  <c r="V175" i="6"/>
  <c r="V161" i="6"/>
  <c r="V227" i="6"/>
  <c r="V179" i="6"/>
  <c r="V171" i="6"/>
  <c r="V165" i="6"/>
  <c r="V123" i="6"/>
  <c r="V72" i="6"/>
  <c r="V205" i="6"/>
  <c r="V201" i="6"/>
  <c r="V197" i="6"/>
  <c r="V193" i="6"/>
  <c r="V155" i="6"/>
  <c r="V89" i="6"/>
  <c r="V85" i="6"/>
  <c r="V242" i="6"/>
  <c r="V238" i="6"/>
  <c r="V230" i="6"/>
  <c r="V226" i="6"/>
  <c r="V119" i="6"/>
  <c r="V48" i="6"/>
  <c r="V44" i="6"/>
  <c r="V250" i="6"/>
  <c r="V246" i="6"/>
  <c r="V95" i="6"/>
  <c r="V40" i="6"/>
  <c r="V111" i="6"/>
  <c r="V103" i="6"/>
  <c r="V71" i="6"/>
  <c r="V67" i="6"/>
  <c r="V63" i="6"/>
  <c r="V251" i="6"/>
  <c r="V243" i="6"/>
  <c r="V239" i="6"/>
  <c r="V231" i="6"/>
  <c r="V222" i="6"/>
  <c r="V214" i="6"/>
  <c r="V182" i="6"/>
  <c r="V174" i="6"/>
  <c r="V160" i="6"/>
  <c r="V154" i="6"/>
  <c r="V150" i="6"/>
  <c r="V146" i="6"/>
  <c r="V130" i="6"/>
  <c r="V126" i="6"/>
  <c r="V122" i="6"/>
  <c r="V118" i="6"/>
  <c r="V114" i="6"/>
  <c r="V110" i="6"/>
  <c r="V106" i="6"/>
  <c r="V102" i="6"/>
  <c r="V98" i="6"/>
  <c r="V94" i="6"/>
  <c r="V88" i="6"/>
  <c r="V84" i="6"/>
  <c r="V74" i="6"/>
  <c r="V204" i="6"/>
  <c r="V200" i="6"/>
  <c r="V196" i="6"/>
  <c r="V178" i="6"/>
  <c r="V170" i="6"/>
  <c r="V164" i="6"/>
  <c r="V80" i="6"/>
  <c r="V47" i="6"/>
  <c r="V43" i="6"/>
  <c r="V101" i="6"/>
  <c r="V181" i="6"/>
  <c r="V177" i="6"/>
  <c r="V173" i="6"/>
  <c r="V163" i="6"/>
  <c r="V253" i="6"/>
  <c r="V249" i="6"/>
  <c r="V245" i="6"/>
  <c r="V241" i="6"/>
  <c r="V237" i="6"/>
  <c r="V225" i="6"/>
  <c r="V221" i="6"/>
  <c r="V217" i="6"/>
  <c r="V70" i="6"/>
  <c r="V57" i="6"/>
  <c r="V229" i="6"/>
  <c r="V207" i="6"/>
  <c r="V203" i="6"/>
  <c r="V199" i="6"/>
  <c r="V117" i="6"/>
  <c r="V113" i="6"/>
  <c r="V97" i="6"/>
  <c r="V87" i="6"/>
  <c r="V55" i="6"/>
  <c r="V149" i="6"/>
  <c r="V121" i="6"/>
  <c r="V60" i="6"/>
  <c r="V42" i="6"/>
  <c r="V37" i="6"/>
  <c r="V33" i="6"/>
  <c r="V29" i="6"/>
  <c r="V153" i="6"/>
  <c r="V125" i="6"/>
  <c r="V83" i="6"/>
  <c r="V79" i="6"/>
  <c r="V73" i="6"/>
  <c r="V65" i="6"/>
  <c r="V133" i="6"/>
  <c r="V129" i="6"/>
  <c r="V109" i="6"/>
  <c r="V186" i="6"/>
  <c r="V191" i="6"/>
  <c r="V187" i="6"/>
  <c r="V188" i="6"/>
  <c r="V192" i="6"/>
  <c r="V189" i="6"/>
  <c r="V23" i="6"/>
  <c r="V56" i="6"/>
  <c r="V159" i="6"/>
  <c r="V75" i="6"/>
  <c r="V210" i="6"/>
  <c r="V166" i="6"/>
  <c r="V158" i="6"/>
  <c r="V62" i="6"/>
  <c r="V50" i="6"/>
  <c r="V38" i="6"/>
  <c r="V257" i="6"/>
  <c r="V220" i="6"/>
  <c r="V19" i="6"/>
  <c r="V240" i="6"/>
  <c r="V236" i="6"/>
  <c r="V260" i="6"/>
  <c r="V228" i="6"/>
  <c r="V202" i="6"/>
  <c r="V194" i="6"/>
  <c r="V152" i="6"/>
  <c r="V144" i="6"/>
  <c r="V140" i="6"/>
  <c r="V49" i="6"/>
  <c r="V45" i="6"/>
  <c r="V136" i="6"/>
  <c r="V78" i="6"/>
  <c r="V41" i="6"/>
  <c r="V36" i="6"/>
  <c r="V32" i="6"/>
  <c r="V21" i="6"/>
  <c r="V259" i="6"/>
  <c r="V235" i="6"/>
  <c r="V223" i="6"/>
  <c r="V219" i="6"/>
  <c r="V28" i="6"/>
  <c r="V209" i="6"/>
  <c r="V151" i="6"/>
  <c r="V147" i="6"/>
  <c r="V143" i="6"/>
  <c r="V139" i="6"/>
  <c r="V234" i="6"/>
  <c r="V135" i="6"/>
  <c r="V81" i="6"/>
  <c r="V77" i="6"/>
  <c r="V53" i="6"/>
  <c r="V20" i="6"/>
  <c r="V258" i="6"/>
  <c r="V254" i="6"/>
  <c r="V127" i="6"/>
  <c r="V99" i="6"/>
  <c r="V58" i="6"/>
  <c r="V35" i="6"/>
  <c r="V31" i="6"/>
  <c r="V27" i="6"/>
  <c r="V218" i="6"/>
  <c r="V142" i="6"/>
  <c r="V138" i="6"/>
  <c r="V134" i="6"/>
  <c r="V208" i="6"/>
  <c r="V190" i="6"/>
  <c r="V52" i="6"/>
  <c r="V61" i="6"/>
  <c r="V39" i="6"/>
  <c r="V34" i="6"/>
  <c r="V30" i="6"/>
  <c r="V26" i="6"/>
  <c r="V185" i="6"/>
  <c r="V169" i="6"/>
  <c r="V66" i="6"/>
  <c r="V261" i="6"/>
  <c r="V233" i="6"/>
  <c r="V213" i="6"/>
  <c r="V195" i="6"/>
  <c r="V157" i="6"/>
  <c r="V137" i="6"/>
  <c r="V51" i="6"/>
  <c r="V46" i="6"/>
  <c r="V22" i="6"/>
  <c r="V141" i="6"/>
  <c r="V105" i="6"/>
  <c r="V93" i="6"/>
  <c r="V69" i="6"/>
  <c r="V145" i="6"/>
  <c r="AS350" i="1"/>
  <c r="AS360" i="1"/>
  <c r="AS352" i="1"/>
  <c r="AT56" i="1"/>
  <c r="AT155" i="1"/>
  <c r="AS106" i="1"/>
  <c r="AS361" i="1"/>
  <c r="AS362" i="1"/>
  <c r="AS363" i="1"/>
  <c r="AT364" i="1"/>
  <c r="AT365" i="1"/>
  <c r="U9" i="6"/>
  <c r="U13" i="6"/>
  <c r="U11" i="6"/>
  <c r="U10" i="6"/>
  <c r="U14" i="6"/>
  <c r="U8" i="6"/>
  <c r="U12" i="6"/>
  <c r="AT370" i="1"/>
  <c r="AT369" i="1"/>
  <c r="AT372" i="1"/>
  <c r="AT368" i="1"/>
  <c r="AT371" i="1"/>
  <c r="AS330" i="1"/>
  <c r="AS302" i="1"/>
  <c r="AT79" i="1"/>
  <c r="AT50" i="1"/>
  <c r="AS366" i="1"/>
  <c r="AS367" i="1"/>
  <c r="AT358" i="1"/>
  <c r="AT354" i="1"/>
  <c r="AT357" i="1"/>
  <c r="AT356" i="1"/>
  <c r="AT355" i="1"/>
  <c r="AT359" i="1"/>
  <c r="AS337" i="1"/>
  <c r="AS336" i="1"/>
  <c r="AS332" i="1"/>
  <c r="AS321" i="1"/>
  <c r="AS333" i="1"/>
  <c r="AS346" i="1"/>
  <c r="AS344" i="1"/>
  <c r="AS343" i="1"/>
  <c r="AS338" i="1"/>
  <c r="AT353" i="1"/>
  <c r="AT351" i="1"/>
  <c r="AS107" i="1"/>
  <c r="AS349" i="1"/>
  <c r="AS340" i="1"/>
  <c r="AS347" i="1"/>
  <c r="AS348" i="1"/>
  <c r="AS339" i="1"/>
  <c r="AS345" i="1"/>
  <c r="AS342" i="1"/>
  <c r="AS341" i="1"/>
  <c r="AS334" i="1"/>
  <c r="AT335" i="1"/>
  <c r="AS182" i="1"/>
  <c r="AS213" i="1"/>
  <c r="AS306" i="1"/>
  <c r="AS161" i="1"/>
  <c r="AS287" i="1"/>
  <c r="AS78" i="1"/>
  <c r="AS293" i="1"/>
  <c r="AS236" i="1"/>
  <c r="AS233" i="1"/>
  <c r="AS58" i="1"/>
  <c r="AS42" i="1"/>
  <c r="AS110" i="1"/>
  <c r="AS229" i="1"/>
  <c r="AS188" i="1"/>
  <c r="AS235" i="1"/>
  <c r="AS324" i="1"/>
  <c r="AS239" i="1"/>
  <c r="AS189" i="1"/>
  <c r="AS164" i="1"/>
  <c r="AS232" i="1"/>
  <c r="AS228" i="1"/>
  <c r="AS231" i="1"/>
  <c r="AS130" i="1"/>
  <c r="AS187" i="1"/>
  <c r="AS216" i="1"/>
  <c r="AS88" i="1"/>
  <c r="AS98" i="1"/>
  <c r="AS183" i="1"/>
  <c r="AS198" i="1"/>
  <c r="AS212" i="1"/>
  <c r="AS95" i="1"/>
  <c r="AS109" i="1"/>
  <c r="AS194" i="1"/>
  <c r="AS208" i="1"/>
  <c r="AS223" i="1"/>
  <c r="AS137" i="1"/>
  <c r="AS141" i="1"/>
  <c r="AS149" i="1"/>
  <c r="AS153" i="1"/>
  <c r="AS162" i="1"/>
  <c r="AS166" i="1"/>
  <c r="AS173" i="1"/>
  <c r="AS177" i="1"/>
  <c r="AS190" i="1"/>
  <c r="AS220" i="1"/>
  <c r="AS138" i="1"/>
  <c r="AS167" i="1"/>
  <c r="AS184" i="1"/>
  <c r="AS199" i="1"/>
  <c r="AS253" i="1"/>
  <c r="AS268" i="1"/>
  <c r="AS290" i="1"/>
  <c r="AS303" i="1"/>
  <c r="AS35" i="1"/>
  <c r="AS134" i="1"/>
  <c r="AS150" i="1"/>
  <c r="AS163" i="1"/>
  <c r="AS180" i="1"/>
  <c r="AS195" i="1"/>
  <c r="AS209" i="1"/>
  <c r="AS250" i="1"/>
  <c r="AS265" i="1"/>
  <c r="AS279" i="1"/>
  <c r="AS299" i="1"/>
  <c r="AS315" i="1"/>
  <c r="AS99" i="1"/>
  <c r="AS116" i="1"/>
  <c r="AS174" i="1"/>
  <c r="AS191" i="1"/>
  <c r="AS205" i="1"/>
  <c r="AS221" i="1"/>
  <c r="AS246" i="1"/>
  <c r="AS261" i="1"/>
  <c r="AS295" i="1"/>
  <c r="AS311" i="1"/>
  <c r="AS322" i="1"/>
  <c r="AS66" i="1"/>
  <c r="AS142" i="1"/>
  <c r="AS156" i="1"/>
  <c r="AS170" i="1"/>
  <c r="AS202" i="1"/>
  <c r="AS217" i="1"/>
  <c r="AS242" i="1"/>
  <c r="AS257" i="1"/>
  <c r="AS272" i="1"/>
  <c r="AS286" i="1"/>
  <c r="AS119" i="1"/>
  <c r="AS29" i="1"/>
  <c r="AS74" i="1"/>
  <c r="AS128" i="1"/>
  <c r="AS139" i="1"/>
  <c r="AS154" i="1"/>
  <c r="AS168" i="1"/>
  <c r="AS181" i="1"/>
  <c r="AS185" i="1"/>
  <c r="AS200" i="1"/>
  <c r="AS214" i="1"/>
  <c r="AS92" i="1"/>
  <c r="AS121" i="1"/>
  <c r="AS135" i="1"/>
  <c r="AS151" i="1"/>
  <c r="AS196" i="1"/>
  <c r="AS210" i="1"/>
  <c r="AS237" i="1"/>
  <c r="AS33" i="1"/>
  <c r="AS100" i="1"/>
  <c r="AS124" i="1"/>
  <c r="AS132" i="1"/>
  <c r="AS192" i="1"/>
  <c r="AS206" i="1"/>
  <c r="AS127" i="1"/>
  <c r="AS89" i="1"/>
  <c r="AS111" i="1"/>
  <c r="AS117" i="1"/>
  <c r="AS143" i="1"/>
  <c r="AS157" i="1"/>
  <c r="AS218" i="1"/>
  <c r="AS72" i="1"/>
  <c r="AS131" i="1"/>
  <c r="AS112" i="1"/>
  <c r="AS129" i="1"/>
  <c r="AS169" i="1"/>
  <c r="AS254" i="1"/>
  <c r="AS276" i="1"/>
  <c r="AS240" i="1"/>
  <c r="AS274" i="1"/>
  <c r="AS285" i="1"/>
  <c r="AS292" i="1"/>
  <c r="AS37" i="1"/>
  <c r="AS70" i="1"/>
  <c r="AS96" i="1"/>
  <c r="AS97" i="1"/>
  <c r="AS122" i="1"/>
  <c r="AS136" i="1"/>
  <c r="AS152" i="1"/>
  <c r="AS165" i="1"/>
  <c r="AS179" i="1"/>
  <c r="AS186" i="1"/>
  <c r="AS193" i="1"/>
  <c r="AS197" i="1"/>
  <c r="AS201" i="1"/>
  <c r="AS204" i="1"/>
  <c r="AS207" i="1"/>
  <c r="AS211" i="1"/>
  <c r="AS215" i="1"/>
  <c r="AS219" i="1"/>
  <c r="AS222" i="1"/>
  <c r="AS238" i="1"/>
  <c r="AS69" i="1"/>
  <c r="AS273" i="1"/>
  <c r="AS284" i="1"/>
  <c r="AS326" i="1"/>
  <c r="AS248" i="1"/>
  <c r="AS259" i="1"/>
  <c r="AS270" i="1"/>
  <c r="AS281" i="1"/>
  <c r="AS297" i="1"/>
  <c r="AS203" i="1"/>
  <c r="AS120" i="1"/>
  <c r="AS27" i="1"/>
  <c r="AS75" i="1"/>
  <c r="AS108" i="1"/>
  <c r="AS148" i="1"/>
  <c r="AS176" i="1"/>
  <c r="AS247" i="1"/>
  <c r="AS269" i="1"/>
  <c r="AS291" i="1"/>
  <c r="AS304" i="1"/>
  <c r="AS308" i="1"/>
  <c r="AS316" i="1"/>
  <c r="AS323" i="1"/>
  <c r="AS266" i="1"/>
  <c r="AS309" i="1"/>
  <c r="AS171" i="1"/>
  <c r="AS105" i="1"/>
  <c r="AS73" i="1"/>
  <c r="AS118" i="1"/>
  <c r="AS125" i="1"/>
  <c r="AS144" i="1"/>
  <c r="AS172" i="1"/>
  <c r="AS258" i="1"/>
  <c r="AS280" i="1"/>
  <c r="AS318" i="1"/>
  <c r="AS255" i="1"/>
  <c r="AS263" i="1"/>
  <c r="AS277" i="1"/>
  <c r="AS294" i="1"/>
  <c r="AS305" i="1"/>
  <c r="AS278" i="1"/>
  <c r="AS310" i="1"/>
  <c r="AS275" i="1"/>
  <c r="AS256" i="1"/>
  <c r="AS260" i="1"/>
  <c r="AS264" i="1"/>
  <c r="AS267" i="1"/>
  <c r="AS271" i="1"/>
  <c r="AS289" i="1"/>
  <c r="AS241" i="1"/>
  <c r="AS245" i="1"/>
  <c r="AS252" i="1"/>
  <c r="AS298" i="1"/>
  <c r="AS325" i="1"/>
  <c r="W1" i="6"/>
  <c r="AT41" i="1"/>
  <c r="AT53" i="1"/>
  <c r="AT43" i="1"/>
  <c r="AT55" i="1"/>
  <c r="AT52" i="1"/>
  <c r="AT64" i="1"/>
  <c r="AT76" i="1"/>
  <c r="AT113" i="1"/>
  <c r="AT126" i="1"/>
  <c r="AT133" i="1"/>
  <c r="AT31" i="1"/>
  <c r="AT39" i="1"/>
  <c r="AT48" i="1"/>
  <c r="AT63" i="1"/>
  <c r="AT145" i="1"/>
  <c r="AT227" i="1"/>
  <c r="AT45" i="1"/>
  <c r="AT61" i="1"/>
  <c r="AT82" i="1"/>
  <c r="AT85" i="1"/>
  <c r="AT90" i="1"/>
  <c r="AT101" i="1"/>
  <c r="AT224" i="1"/>
  <c r="AT283" i="1"/>
  <c r="AT44" i="1"/>
  <c r="AT46" i="1"/>
  <c r="AT307" i="1"/>
  <c r="AT28" i="1"/>
  <c r="AT146" i="1"/>
  <c r="AT159" i="1"/>
  <c r="AT178" i="1"/>
  <c r="AT225" i="1"/>
  <c r="AT114" i="1"/>
  <c r="AT54" i="1"/>
  <c r="AT62" i="1"/>
  <c r="AT71" i="1"/>
  <c r="AT147" i="1"/>
  <c r="AT160" i="1"/>
  <c r="AT175" i="1"/>
  <c r="AT93" i="1"/>
  <c r="AT329" i="1"/>
  <c r="AT83" i="1"/>
  <c r="AT59" i="1"/>
  <c r="AT67" i="1"/>
  <c r="AT103" i="1"/>
  <c r="AT65" i="1"/>
  <c r="AT77" i="1"/>
  <c r="AT80" i="1"/>
  <c r="AT102" i="1"/>
  <c r="AT115" i="1"/>
  <c r="AT226" i="1"/>
  <c r="AT32" i="1"/>
  <c r="AT251" i="1"/>
  <c r="AT300" i="1"/>
  <c r="AT288" i="1"/>
  <c r="AT86" i="1"/>
  <c r="AT91" i="1"/>
  <c r="AT34" i="1"/>
  <c r="AT36" i="1"/>
  <c r="AT51" i="1"/>
  <c r="AT60" i="1"/>
  <c r="AT68" i="1"/>
  <c r="AT81" i="1"/>
  <c r="AT87" i="1"/>
  <c r="AT234" i="1"/>
  <c r="AT262" i="1"/>
  <c r="AT296" i="1"/>
  <c r="AT312" i="1"/>
  <c r="AT244" i="1"/>
  <c r="AT319" i="1"/>
  <c r="AT94" i="1"/>
  <c r="AT158" i="1"/>
  <c r="AT49" i="1"/>
  <c r="AT313" i="1"/>
  <c r="AT317" i="1"/>
  <c r="AT331" i="1"/>
  <c r="AT30" i="1"/>
  <c r="AT38" i="1"/>
  <c r="AT47" i="1"/>
  <c r="AT57" i="1"/>
  <c r="AT84" i="1"/>
  <c r="AT104" i="1"/>
  <c r="AT140" i="1"/>
  <c r="AT230" i="1"/>
  <c r="AT40" i="1"/>
  <c r="AT123" i="1"/>
  <c r="AT243" i="1"/>
  <c r="AT301" i="1"/>
  <c r="AT327" i="1"/>
  <c r="AT249" i="1"/>
  <c r="AT282" i="1"/>
  <c r="AT314" i="1"/>
  <c r="AT328" i="1"/>
  <c r="AT320" i="1"/>
  <c r="AF46" i="8"/>
  <c r="B44" i="10" s="1"/>
  <c r="W2" i="6"/>
  <c r="AU23" i="1"/>
  <c r="AT26" i="1"/>
  <c r="B37" i="10"/>
  <c r="AF14" i="8"/>
  <c r="B12" i="10" s="1"/>
  <c r="AT22" i="1"/>
  <c r="W186" i="6" l="1"/>
  <c r="W191" i="6"/>
  <c r="W187" i="6"/>
  <c r="W192" i="6"/>
  <c r="W188" i="6"/>
  <c r="W189" i="6"/>
  <c r="W166" i="6"/>
  <c r="W50" i="6"/>
  <c r="W38" i="6"/>
  <c r="W23" i="6"/>
  <c r="W75" i="6"/>
  <c r="W210" i="6"/>
  <c r="W158" i="6"/>
  <c r="W62" i="6"/>
  <c r="W56" i="6"/>
  <c r="W159" i="6"/>
  <c r="W257" i="6"/>
  <c r="W19" i="6"/>
  <c r="W228" i="6"/>
  <c r="W220" i="6"/>
  <c r="W202" i="6"/>
  <c r="W260" i="6"/>
  <c r="W240" i="6"/>
  <c r="W236" i="6"/>
  <c r="W194" i="6"/>
  <c r="W152" i="6"/>
  <c r="W144" i="6"/>
  <c r="W140" i="6"/>
  <c r="W136" i="6"/>
  <c r="W78" i="6"/>
  <c r="W49" i="6"/>
  <c r="W45" i="6"/>
  <c r="W41" i="6"/>
  <c r="W36" i="6"/>
  <c r="W32" i="6"/>
  <c r="W259" i="6"/>
  <c r="W28" i="6"/>
  <c r="W223" i="6"/>
  <c r="W219" i="6"/>
  <c r="W209" i="6"/>
  <c r="W151" i="6"/>
  <c r="W147" i="6"/>
  <c r="W143" i="6"/>
  <c r="W139" i="6"/>
  <c r="W21" i="6"/>
  <c r="W235" i="6"/>
  <c r="W135" i="6"/>
  <c r="W127" i="6"/>
  <c r="W99" i="6"/>
  <c r="W81" i="6"/>
  <c r="W77" i="6"/>
  <c r="W58" i="6"/>
  <c r="W35" i="6"/>
  <c r="W31" i="6"/>
  <c r="W27" i="6"/>
  <c r="W20" i="6"/>
  <c r="W258" i="6"/>
  <c r="W254" i="6"/>
  <c r="W234" i="6"/>
  <c r="W53" i="6"/>
  <c r="W218" i="6"/>
  <c r="W208" i="6"/>
  <c r="W190" i="6"/>
  <c r="W142" i="6"/>
  <c r="W138" i="6"/>
  <c r="W134" i="6"/>
  <c r="W66" i="6"/>
  <c r="W39" i="6"/>
  <c r="W34" i="6"/>
  <c r="W30" i="6"/>
  <c r="W26" i="6"/>
  <c r="W157" i="6"/>
  <c r="W145" i="6"/>
  <c r="W141" i="6"/>
  <c r="W137" i="6"/>
  <c r="W52" i="6"/>
  <c r="W233" i="6"/>
  <c r="W261" i="6"/>
  <c r="W61" i="6"/>
  <c r="W213" i="6"/>
  <c r="W195" i="6"/>
  <c r="W185" i="6"/>
  <c r="W169" i="6"/>
  <c r="W105" i="6"/>
  <c r="W22" i="6"/>
  <c r="W51" i="6"/>
  <c r="W46" i="6"/>
  <c r="W69" i="6"/>
  <c r="W93" i="6"/>
  <c r="W167" i="6"/>
  <c r="W24" i="6"/>
  <c r="W90" i="6"/>
  <c r="W76" i="6"/>
  <c r="W25" i="6"/>
  <c r="W91" i="6"/>
  <c r="W211" i="6"/>
  <c r="W255" i="6"/>
  <c r="W224" i="6"/>
  <c r="W216" i="6"/>
  <c r="W212" i="6"/>
  <c r="W206" i="6"/>
  <c r="W256" i="6"/>
  <c r="W252" i="6"/>
  <c r="W248" i="6"/>
  <c r="W244" i="6"/>
  <c r="W232" i="6"/>
  <c r="W198" i="6"/>
  <c r="W184" i="6"/>
  <c r="W180" i="6"/>
  <c r="W176" i="6"/>
  <c r="W172" i="6"/>
  <c r="W168" i="6"/>
  <c r="W162" i="6"/>
  <c r="W156" i="6"/>
  <c r="W148" i="6"/>
  <c r="W120" i="6"/>
  <c r="W108" i="6"/>
  <c r="W104" i="6"/>
  <c r="W132" i="6"/>
  <c r="W128" i="6"/>
  <c r="W116" i="6"/>
  <c r="W124" i="6"/>
  <c r="W100" i="6"/>
  <c r="W96" i="6"/>
  <c r="W82" i="6"/>
  <c r="W72" i="6"/>
  <c r="W68" i="6"/>
  <c r="W64" i="6"/>
  <c r="W59" i="6"/>
  <c r="W54" i="6"/>
  <c r="W112" i="6"/>
  <c r="W92" i="6"/>
  <c r="W86" i="6"/>
  <c r="W247" i="6"/>
  <c r="W227" i="6"/>
  <c r="W205" i="6"/>
  <c r="W201" i="6"/>
  <c r="W197" i="6"/>
  <c r="W193" i="6"/>
  <c r="W183" i="6"/>
  <c r="W179" i="6"/>
  <c r="W175" i="6"/>
  <c r="W171" i="6"/>
  <c r="W165" i="6"/>
  <c r="W161" i="6"/>
  <c r="W155" i="6"/>
  <c r="W215" i="6"/>
  <c r="W119" i="6"/>
  <c r="W103" i="6"/>
  <c r="W95" i="6"/>
  <c r="W226" i="6"/>
  <c r="W222" i="6"/>
  <c r="W107" i="6"/>
  <c r="W85" i="6"/>
  <c r="W71" i="6"/>
  <c r="W67" i="6"/>
  <c r="W63" i="6"/>
  <c r="W40" i="6"/>
  <c r="W250" i="6"/>
  <c r="W246" i="6"/>
  <c r="W242" i="6"/>
  <c r="W238" i="6"/>
  <c r="W230" i="6"/>
  <c r="W131" i="6"/>
  <c r="W123" i="6"/>
  <c r="W115" i="6"/>
  <c r="W111" i="6"/>
  <c r="W48" i="6"/>
  <c r="W44" i="6"/>
  <c r="W243" i="6"/>
  <c r="W239" i="6"/>
  <c r="W231" i="6"/>
  <c r="W89" i="6"/>
  <c r="W251" i="6"/>
  <c r="W214" i="6"/>
  <c r="W204" i="6"/>
  <c r="W200" i="6"/>
  <c r="W196" i="6"/>
  <c r="W182" i="6"/>
  <c r="W178" i="6"/>
  <c r="W174" i="6"/>
  <c r="W170" i="6"/>
  <c r="W164" i="6"/>
  <c r="W160" i="6"/>
  <c r="W154" i="6"/>
  <c r="W150" i="6"/>
  <c r="W146" i="6"/>
  <c r="W130" i="6"/>
  <c r="W126" i="6"/>
  <c r="W122" i="6"/>
  <c r="W118" i="6"/>
  <c r="W114" i="6"/>
  <c r="W110" i="6"/>
  <c r="W106" i="6"/>
  <c r="W102" i="6"/>
  <c r="W98" i="6"/>
  <c r="W84" i="6"/>
  <c r="W94" i="6"/>
  <c r="W153" i="6"/>
  <c r="W149" i="6"/>
  <c r="W87" i="6"/>
  <c r="W83" i="6"/>
  <c r="W88" i="6"/>
  <c r="W80" i="6"/>
  <c r="W74" i="6"/>
  <c r="W57" i="6"/>
  <c r="W47" i="6"/>
  <c r="W43" i="6"/>
  <c r="W241" i="6"/>
  <c r="W237" i="6"/>
  <c r="W229" i="6"/>
  <c r="W253" i="6"/>
  <c r="W249" i="6"/>
  <c r="W245" i="6"/>
  <c r="W70" i="6"/>
  <c r="W225" i="6"/>
  <c r="W221" i="6"/>
  <c r="W217" i="6"/>
  <c r="W207" i="6"/>
  <c r="W203" i="6"/>
  <c r="W199" i="6"/>
  <c r="W181" i="6"/>
  <c r="W177" i="6"/>
  <c r="W173" i="6"/>
  <c r="W163" i="6"/>
  <c r="W121" i="6"/>
  <c r="W79" i="6"/>
  <c r="W73" i="6"/>
  <c r="W125" i="6"/>
  <c r="W101" i="6"/>
  <c r="W60" i="6"/>
  <c r="W55" i="6"/>
  <c r="W133" i="6"/>
  <c r="W129" i="6"/>
  <c r="W109" i="6"/>
  <c r="W97" i="6"/>
  <c r="W117" i="6"/>
  <c r="W113" i="6"/>
  <c r="W65" i="6"/>
  <c r="W42" i="6"/>
  <c r="W37" i="6"/>
  <c r="W33" i="6"/>
  <c r="W29" i="6"/>
  <c r="AT350" i="1"/>
  <c r="AT352" i="1"/>
  <c r="AT360" i="1"/>
  <c r="AU155" i="1"/>
  <c r="AU56" i="1"/>
  <c r="AT106" i="1"/>
  <c r="AT361" i="1"/>
  <c r="AT362" i="1"/>
  <c r="AT363" i="1"/>
  <c r="AU365" i="1"/>
  <c r="AU364" i="1"/>
  <c r="V10" i="6"/>
  <c r="V14" i="6"/>
  <c r="V9" i="6"/>
  <c r="V13" i="6"/>
  <c r="V8" i="6"/>
  <c r="V12" i="6"/>
  <c r="V11" i="6"/>
  <c r="AT302" i="1"/>
  <c r="AU370" i="1"/>
  <c r="AU369" i="1"/>
  <c r="AU368" i="1"/>
  <c r="AU371" i="1"/>
  <c r="AU372" i="1"/>
  <c r="AT330" i="1"/>
  <c r="AU79" i="1"/>
  <c r="AU50" i="1"/>
  <c r="AT321" i="1"/>
  <c r="AT337" i="1"/>
  <c r="AT333" i="1"/>
  <c r="AT332" i="1"/>
  <c r="AT367" i="1"/>
  <c r="AT366" i="1"/>
  <c r="AU357" i="1"/>
  <c r="AU354" i="1"/>
  <c r="AU359" i="1"/>
  <c r="AU356" i="1"/>
  <c r="AU358" i="1"/>
  <c r="AU355" i="1"/>
  <c r="AT336" i="1"/>
  <c r="AT346" i="1"/>
  <c r="AT344" i="1"/>
  <c r="AT343" i="1"/>
  <c r="AT338" i="1"/>
  <c r="AU353" i="1"/>
  <c r="AU351" i="1"/>
  <c r="AT107" i="1"/>
  <c r="AT348" i="1"/>
  <c r="AT347" i="1"/>
  <c r="AT345" i="1"/>
  <c r="AT349" i="1"/>
  <c r="AT341" i="1"/>
  <c r="AT340" i="1"/>
  <c r="AT339" i="1"/>
  <c r="AT342" i="1"/>
  <c r="AT334" i="1"/>
  <c r="AU335" i="1"/>
  <c r="AT189" i="1"/>
  <c r="AT306" i="1"/>
  <c r="AT287" i="1"/>
  <c r="AT42" i="1"/>
  <c r="AT239" i="1"/>
  <c r="AT182" i="1"/>
  <c r="AT228" i="1"/>
  <c r="AT293" i="1"/>
  <c r="AT231" i="1"/>
  <c r="AT235" i="1"/>
  <c r="AT161" i="1"/>
  <c r="AT233" i="1"/>
  <c r="AT164" i="1"/>
  <c r="AT58" i="1"/>
  <c r="AT213" i="1"/>
  <c r="AT188" i="1"/>
  <c r="AT110" i="1"/>
  <c r="AT324" i="1"/>
  <c r="AT229" i="1"/>
  <c r="AT78" i="1"/>
  <c r="AT232" i="1"/>
  <c r="AT236" i="1"/>
  <c r="AT66" i="1"/>
  <c r="AT137" i="1"/>
  <c r="AT153" i="1"/>
  <c r="AT166" i="1"/>
  <c r="AT35" i="1"/>
  <c r="AT88" i="1"/>
  <c r="AT98" i="1"/>
  <c r="AT105" i="1"/>
  <c r="AT119" i="1"/>
  <c r="AT149" i="1"/>
  <c r="AT162" i="1"/>
  <c r="AT177" i="1"/>
  <c r="AT72" i="1"/>
  <c r="AT173" i="1"/>
  <c r="AT183" i="1"/>
  <c r="AT194" i="1"/>
  <c r="AT198" i="1"/>
  <c r="AT208" i="1"/>
  <c r="AT212" i="1"/>
  <c r="AT223" i="1"/>
  <c r="AT96" i="1"/>
  <c r="AT69" i="1"/>
  <c r="AT95" i="1"/>
  <c r="AT109" i="1"/>
  <c r="AT130" i="1"/>
  <c r="AT141" i="1"/>
  <c r="AT187" i="1"/>
  <c r="AT190" i="1"/>
  <c r="AT216" i="1"/>
  <c r="AT220" i="1"/>
  <c r="AT37" i="1"/>
  <c r="AT134" i="1"/>
  <c r="AT138" i="1"/>
  <c r="AT150" i="1"/>
  <c r="AT163" i="1"/>
  <c r="AT167" i="1"/>
  <c r="AT180" i="1"/>
  <c r="AT195" i="1"/>
  <c r="AT209" i="1"/>
  <c r="AT250" i="1"/>
  <c r="AT253" i="1"/>
  <c r="AT265" i="1"/>
  <c r="AT268" i="1"/>
  <c r="AT279" i="1"/>
  <c r="AT299" i="1"/>
  <c r="AT315" i="1"/>
  <c r="AT70" i="1"/>
  <c r="AT191" i="1"/>
  <c r="AT205" i="1"/>
  <c r="AT221" i="1"/>
  <c r="AT295" i="1"/>
  <c r="AT311" i="1"/>
  <c r="AT322" i="1"/>
  <c r="AT99" i="1"/>
  <c r="AT202" i="1"/>
  <c r="AT217" i="1"/>
  <c r="AT116" i="1"/>
  <c r="AT142" i="1"/>
  <c r="AT156" i="1"/>
  <c r="AT170" i="1"/>
  <c r="AT174" i="1"/>
  <c r="AT184" i="1"/>
  <c r="AT199" i="1"/>
  <c r="AT242" i="1"/>
  <c r="AT246" i="1"/>
  <c r="AT257" i="1"/>
  <c r="AT261" i="1"/>
  <c r="AT272" i="1"/>
  <c r="AT286" i="1"/>
  <c r="AT290" i="1"/>
  <c r="AT303" i="1"/>
  <c r="AT92" i="1"/>
  <c r="AT121" i="1"/>
  <c r="AT135" i="1"/>
  <c r="AT151" i="1"/>
  <c r="AT181" i="1"/>
  <c r="AT196" i="1"/>
  <c r="AT210" i="1"/>
  <c r="AT237" i="1"/>
  <c r="AT33" i="1"/>
  <c r="AT100" i="1"/>
  <c r="AT124" i="1"/>
  <c r="AT132" i="1"/>
  <c r="AT192" i="1"/>
  <c r="AT206" i="1"/>
  <c r="AT89" i="1"/>
  <c r="AT111" i="1"/>
  <c r="AT117" i="1"/>
  <c r="AT143" i="1"/>
  <c r="AT157" i="1"/>
  <c r="AT171" i="1"/>
  <c r="AT203" i="1"/>
  <c r="AT218" i="1"/>
  <c r="AT127" i="1"/>
  <c r="AT29" i="1"/>
  <c r="AT74" i="1"/>
  <c r="AT128" i="1"/>
  <c r="AT139" i="1"/>
  <c r="AT154" i="1"/>
  <c r="AT185" i="1"/>
  <c r="AT214" i="1"/>
  <c r="AT97" i="1"/>
  <c r="AT122" i="1"/>
  <c r="AT136" i="1"/>
  <c r="AT152" i="1"/>
  <c r="AT165" i="1"/>
  <c r="AT179" i="1"/>
  <c r="AT197" i="1"/>
  <c r="AT211" i="1"/>
  <c r="AT238" i="1"/>
  <c r="AT273" i="1"/>
  <c r="AT284" i="1"/>
  <c r="AT326" i="1"/>
  <c r="AT248" i="1"/>
  <c r="AT259" i="1"/>
  <c r="AT270" i="1"/>
  <c r="AT281" i="1"/>
  <c r="AT292" i="1"/>
  <c r="AT120" i="1"/>
  <c r="AT131" i="1"/>
  <c r="AT27" i="1"/>
  <c r="AT75" i="1"/>
  <c r="AT108" i="1"/>
  <c r="AT148" i="1"/>
  <c r="AT176" i="1"/>
  <c r="AT193" i="1"/>
  <c r="AT207" i="1"/>
  <c r="AT222" i="1"/>
  <c r="AT247" i="1"/>
  <c r="AT269" i="1"/>
  <c r="AT323" i="1"/>
  <c r="AT266" i="1"/>
  <c r="AT200" i="1"/>
  <c r="AT118" i="1"/>
  <c r="AT125" i="1"/>
  <c r="AT144" i="1"/>
  <c r="AT172" i="1"/>
  <c r="AT204" i="1"/>
  <c r="AT219" i="1"/>
  <c r="AT258" i="1"/>
  <c r="AT280" i="1"/>
  <c r="AT308" i="1"/>
  <c r="AT316" i="1"/>
  <c r="AT318" i="1"/>
  <c r="AT255" i="1"/>
  <c r="AT263" i="1"/>
  <c r="AT277" i="1"/>
  <c r="AT297" i="1"/>
  <c r="AT309" i="1"/>
  <c r="AT168" i="1"/>
  <c r="AT112" i="1"/>
  <c r="AT129" i="1"/>
  <c r="AT169" i="1"/>
  <c r="AT186" i="1"/>
  <c r="AT201" i="1"/>
  <c r="AT215" i="1"/>
  <c r="AT73" i="1"/>
  <c r="AT254" i="1"/>
  <c r="AT276" i="1"/>
  <c r="AT291" i="1"/>
  <c r="AT304" i="1"/>
  <c r="AT240" i="1"/>
  <c r="AT274" i="1"/>
  <c r="AT285" i="1"/>
  <c r="AT294" i="1"/>
  <c r="AT305" i="1"/>
  <c r="AT252" i="1"/>
  <c r="AT264" i="1"/>
  <c r="AT275" i="1"/>
  <c r="AT260" i="1"/>
  <c r="AT289" i="1"/>
  <c r="AT245" i="1"/>
  <c r="AT256" i="1"/>
  <c r="AT271" i="1"/>
  <c r="AT278" i="1"/>
  <c r="AT298" i="1"/>
  <c r="AT241" i="1"/>
  <c r="AT267" i="1"/>
  <c r="AT310" i="1"/>
  <c r="AT325" i="1"/>
  <c r="X1" i="6"/>
  <c r="AU41" i="1"/>
  <c r="AU52" i="1"/>
  <c r="AU64" i="1"/>
  <c r="AU76" i="1"/>
  <c r="AU113" i="1"/>
  <c r="AU126" i="1"/>
  <c r="AU133" i="1"/>
  <c r="AU31" i="1"/>
  <c r="AU39" i="1"/>
  <c r="AU48" i="1"/>
  <c r="AU63" i="1"/>
  <c r="AU145" i="1"/>
  <c r="AU45" i="1"/>
  <c r="AU61" i="1"/>
  <c r="AU82" i="1"/>
  <c r="AU85" i="1"/>
  <c r="AU90" i="1"/>
  <c r="AU101" i="1"/>
  <c r="AU227" i="1"/>
  <c r="AU62" i="1"/>
  <c r="AU71" i="1"/>
  <c r="AU43" i="1"/>
  <c r="AU123" i="1"/>
  <c r="AU224" i="1"/>
  <c r="AU49" i="1"/>
  <c r="AU283" i="1"/>
  <c r="AU307" i="1"/>
  <c r="AU28" i="1"/>
  <c r="AU65" i="1"/>
  <c r="AU86" i="1"/>
  <c r="AU146" i="1"/>
  <c r="AU159" i="1"/>
  <c r="AU329" i="1"/>
  <c r="AU32" i="1"/>
  <c r="AU46" i="1"/>
  <c r="AU77" i="1"/>
  <c r="AU147" i="1"/>
  <c r="AU160" i="1"/>
  <c r="AU175" i="1"/>
  <c r="AU178" i="1"/>
  <c r="AU114" i="1"/>
  <c r="AU40" i="1"/>
  <c r="AU55" i="1"/>
  <c r="AU83" i="1"/>
  <c r="AU93" i="1"/>
  <c r="AU103" i="1"/>
  <c r="AU67" i="1"/>
  <c r="AU44" i="1"/>
  <c r="AU102" i="1"/>
  <c r="AU34" i="1"/>
  <c r="AU36" i="1"/>
  <c r="AU51" i="1"/>
  <c r="AU60" i="1"/>
  <c r="AU68" i="1"/>
  <c r="AU87" i="1"/>
  <c r="AU234" i="1"/>
  <c r="AU54" i="1"/>
  <c r="AU296" i="1"/>
  <c r="AU312" i="1"/>
  <c r="AU244" i="1"/>
  <c r="AU319" i="1"/>
  <c r="AU91" i="1"/>
  <c r="AU94" i="1"/>
  <c r="AU158" i="1"/>
  <c r="AU251" i="1"/>
  <c r="AU262" i="1"/>
  <c r="AU301" i="1"/>
  <c r="AU317" i="1"/>
  <c r="AU331" i="1"/>
  <c r="AU59" i="1"/>
  <c r="AU53" i="1"/>
  <c r="AU80" i="1"/>
  <c r="AU30" i="1"/>
  <c r="AU38" i="1"/>
  <c r="AU47" i="1"/>
  <c r="AU57" i="1"/>
  <c r="AU81" i="1"/>
  <c r="AU84" i="1"/>
  <c r="AU104" i="1"/>
  <c r="AU140" i="1"/>
  <c r="AU230" i="1"/>
  <c r="AU288" i="1"/>
  <c r="AU313" i="1"/>
  <c r="AU327" i="1"/>
  <c r="AU225" i="1"/>
  <c r="AU115" i="1"/>
  <c r="AU226" i="1"/>
  <c r="AU300" i="1"/>
  <c r="AU249" i="1"/>
  <c r="AU282" i="1"/>
  <c r="AU328" i="1"/>
  <c r="AU320" i="1"/>
  <c r="AU314" i="1"/>
  <c r="AU243" i="1"/>
  <c r="X2" i="6"/>
  <c r="AF45" i="8"/>
  <c r="AV23" i="1"/>
  <c r="AU26" i="1"/>
  <c r="AF15" i="8"/>
  <c r="B13" i="10" s="1"/>
  <c r="AF13" i="8"/>
  <c r="B11" i="10" s="1"/>
  <c r="AU22" i="1"/>
  <c r="X189" i="6" l="1"/>
  <c r="X186" i="6"/>
  <c r="X191" i="6"/>
  <c r="X187" i="6"/>
  <c r="X192" i="6"/>
  <c r="X188" i="6"/>
  <c r="X56" i="6"/>
  <c r="X159" i="6"/>
  <c r="X75" i="6"/>
  <c r="X210" i="6"/>
  <c r="X166" i="6"/>
  <c r="X158" i="6"/>
  <c r="X62" i="6"/>
  <c r="X50" i="6"/>
  <c r="X38" i="6"/>
  <c r="X23" i="6"/>
  <c r="X257" i="6"/>
  <c r="X19" i="6"/>
  <c r="X260" i="6"/>
  <c r="X240" i="6"/>
  <c r="X236" i="6"/>
  <c r="X228" i="6"/>
  <c r="X220" i="6"/>
  <c r="X202" i="6"/>
  <c r="X152" i="6"/>
  <c r="X144" i="6"/>
  <c r="X194" i="6"/>
  <c r="X140" i="6"/>
  <c r="X136" i="6"/>
  <c r="X78" i="6"/>
  <c r="X49" i="6"/>
  <c r="X45" i="6"/>
  <c r="X36" i="6"/>
  <c r="X21" i="6"/>
  <c r="X32" i="6"/>
  <c r="X235" i="6"/>
  <c r="X151" i="6"/>
  <c r="X147" i="6"/>
  <c r="X143" i="6"/>
  <c r="X139" i="6"/>
  <c r="X135" i="6"/>
  <c r="X28" i="6"/>
  <c r="X259" i="6"/>
  <c r="X223" i="6"/>
  <c r="X219" i="6"/>
  <c r="X209" i="6"/>
  <c r="X41" i="6"/>
  <c r="X99" i="6"/>
  <c r="X81" i="6"/>
  <c r="X77" i="6"/>
  <c r="X58" i="6"/>
  <c r="X35" i="6"/>
  <c r="X31" i="6"/>
  <c r="X27" i="6"/>
  <c r="X20" i="6"/>
  <c r="X258" i="6"/>
  <c r="X254" i="6"/>
  <c r="X234" i="6"/>
  <c r="X53" i="6"/>
  <c r="X127" i="6"/>
  <c r="X142" i="6"/>
  <c r="X138" i="6"/>
  <c r="X134" i="6"/>
  <c r="X66" i="6"/>
  <c r="X218" i="6"/>
  <c r="X208" i="6"/>
  <c r="X190" i="6"/>
  <c r="X52" i="6"/>
  <c r="X195" i="6"/>
  <c r="X185" i="6"/>
  <c r="X169" i="6"/>
  <c r="X61" i="6"/>
  <c r="X39" i="6"/>
  <c r="X34" i="6"/>
  <c r="X30" i="6"/>
  <c r="X26" i="6"/>
  <c r="X261" i="6"/>
  <c r="X233" i="6"/>
  <c r="X213" i="6"/>
  <c r="X157" i="6"/>
  <c r="X137" i="6"/>
  <c r="X105" i="6"/>
  <c r="X93" i="6"/>
  <c r="X141" i="6"/>
  <c r="X145" i="6"/>
  <c r="X69" i="6"/>
  <c r="X51" i="6"/>
  <c r="X46" i="6"/>
  <c r="X22" i="6"/>
  <c r="X91" i="6"/>
  <c r="X167" i="6"/>
  <c r="X90" i="6"/>
  <c r="X24" i="6"/>
  <c r="X211" i="6"/>
  <c r="X76" i="6"/>
  <c r="X25" i="6"/>
  <c r="X255" i="6"/>
  <c r="X256" i="6"/>
  <c r="X252" i="6"/>
  <c r="X248" i="6"/>
  <c r="X244" i="6"/>
  <c r="X232" i="6"/>
  <c r="X224" i="6"/>
  <c r="X216" i="6"/>
  <c r="X212" i="6"/>
  <c r="X206" i="6"/>
  <c r="X156" i="6"/>
  <c r="X148" i="6"/>
  <c r="X198" i="6"/>
  <c r="X184" i="6"/>
  <c r="X180" i="6"/>
  <c r="X176" i="6"/>
  <c r="X172" i="6"/>
  <c r="X168" i="6"/>
  <c r="X162" i="6"/>
  <c r="X132" i="6"/>
  <c r="X128" i="6"/>
  <c r="X124" i="6"/>
  <c r="X120" i="6"/>
  <c r="X116" i="6"/>
  <c r="X112" i="6"/>
  <c r="X108" i="6"/>
  <c r="X104" i="6"/>
  <c r="X96" i="6"/>
  <c r="X86" i="6"/>
  <c r="X82" i="6"/>
  <c r="X54" i="6"/>
  <c r="X100" i="6"/>
  <c r="X92" i="6"/>
  <c r="X72" i="6"/>
  <c r="X59" i="6"/>
  <c r="X68" i="6"/>
  <c r="X247" i="6"/>
  <c r="X155" i="6"/>
  <c r="X64" i="6"/>
  <c r="X227" i="6"/>
  <c r="X205" i="6"/>
  <c r="X201" i="6"/>
  <c r="X197" i="6"/>
  <c r="X193" i="6"/>
  <c r="X183" i="6"/>
  <c r="X179" i="6"/>
  <c r="X175" i="6"/>
  <c r="X171" i="6"/>
  <c r="X165" i="6"/>
  <c r="X161" i="6"/>
  <c r="X215" i="6"/>
  <c r="X131" i="6"/>
  <c r="X123" i="6"/>
  <c r="X115" i="6"/>
  <c r="X95" i="6"/>
  <c r="X85" i="6"/>
  <c r="X71" i="6"/>
  <c r="X67" i="6"/>
  <c r="X63" i="6"/>
  <c r="X40" i="6"/>
  <c r="X251" i="6"/>
  <c r="X243" i="6"/>
  <c r="X239" i="6"/>
  <c r="X231" i="6"/>
  <c r="X250" i="6"/>
  <c r="X246" i="6"/>
  <c r="X242" i="6"/>
  <c r="X238" i="6"/>
  <c r="X230" i="6"/>
  <c r="X103" i="6"/>
  <c r="X89" i="6"/>
  <c r="X48" i="6"/>
  <c r="X44" i="6"/>
  <c r="X226" i="6"/>
  <c r="X119" i="6"/>
  <c r="X107" i="6"/>
  <c r="X111" i="6"/>
  <c r="X214" i="6"/>
  <c r="X154" i="6"/>
  <c r="X150" i="6"/>
  <c r="X146" i="6"/>
  <c r="X130" i="6"/>
  <c r="X126" i="6"/>
  <c r="X122" i="6"/>
  <c r="X118" i="6"/>
  <c r="X114" i="6"/>
  <c r="X110" i="6"/>
  <c r="X106" i="6"/>
  <c r="X102" i="6"/>
  <c r="X98" i="6"/>
  <c r="X94" i="6"/>
  <c r="X88" i="6"/>
  <c r="X84" i="6"/>
  <c r="X80" i="6"/>
  <c r="X74" i="6"/>
  <c r="X70" i="6"/>
  <c r="X222" i="6"/>
  <c r="X204" i="6"/>
  <c r="X200" i="6"/>
  <c r="X196" i="6"/>
  <c r="X182" i="6"/>
  <c r="X178" i="6"/>
  <c r="X174" i="6"/>
  <c r="X170" i="6"/>
  <c r="X164" i="6"/>
  <c r="X160" i="6"/>
  <c r="X47" i="6"/>
  <c r="X43" i="6"/>
  <c r="X225" i="6"/>
  <c r="X221" i="6"/>
  <c r="X217" i="6"/>
  <c r="X207" i="6"/>
  <c r="X203" i="6"/>
  <c r="X199" i="6"/>
  <c r="X181" i="6"/>
  <c r="X177" i="6"/>
  <c r="X173" i="6"/>
  <c r="X163" i="6"/>
  <c r="X229" i="6"/>
  <c r="X57" i="6"/>
  <c r="X253" i="6"/>
  <c r="X249" i="6"/>
  <c r="X245" i="6"/>
  <c r="X241" i="6"/>
  <c r="X237" i="6"/>
  <c r="X125" i="6"/>
  <c r="X87" i="6"/>
  <c r="X149" i="6"/>
  <c r="X133" i="6"/>
  <c r="X129" i="6"/>
  <c r="X109" i="6"/>
  <c r="X153" i="6"/>
  <c r="X117" i="6"/>
  <c r="X113" i="6"/>
  <c r="X97" i="6"/>
  <c r="X121" i="6"/>
  <c r="X101" i="6"/>
  <c r="X83" i="6"/>
  <c r="X79" i="6"/>
  <c r="X73" i="6"/>
  <c r="X65" i="6"/>
  <c r="X60" i="6"/>
  <c r="X55" i="6"/>
  <c r="X42" i="6"/>
  <c r="X37" i="6"/>
  <c r="X33" i="6"/>
  <c r="X29" i="6"/>
  <c r="AU360" i="1"/>
  <c r="AU350" i="1"/>
  <c r="AU352" i="1"/>
  <c r="AV155" i="1"/>
  <c r="AV56" i="1"/>
  <c r="AU106" i="1"/>
  <c r="AU363" i="1"/>
  <c r="AU361" i="1"/>
  <c r="AU362" i="1"/>
  <c r="AV364" i="1"/>
  <c r="AV365" i="1"/>
  <c r="W11" i="6"/>
  <c r="W10" i="6"/>
  <c r="W14" i="6"/>
  <c r="W9" i="6"/>
  <c r="W13" i="6"/>
  <c r="W8" i="6"/>
  <c r="W12" i="6"/>
  <c r="AV371" i="1"/>
  <c r="AV370" i="1"/>
  <c r="AV372" i="1"/>
  <c r="AV369" i="1"/>
  <c r="AV368" i="1"/>
  <c r="AU302" i="1"/>
  <c r="AU330" i="1"/>
  <c r="AV79" i="1"/>
  <c r="AV50" i="1"/>
  <c r="AU333" i="1"/>
  <c r="AU366" i="1"/>
  <c r="AU367" i="1"/>
  <c r="AV354" i="1"/>
  <c r="AV359" i="1"/>
  <c r="AV356" i="1"/>
  <c r="AV357" i="1"/>
  <c r="AV358" i="1"/>
  <c r="AV355" i="1"/>
  <c r="AU336" i="1"/>
  <c r="AU321" i="1"/>
  <c r="AU337" i="1"/>
  <c r="AU332" i="1"/>
  <c r="AU334" i="1"/>
  <c r="AU346" i="1"/>
  <c r="AU344" i="1"/>
  <c r="AU343" i="1"/>
  <c r="AU338" i="1"/>
  <c r="AV353" i="1"/>
  <c r="AV351" i="1"/>
  <c r="AU107" i="1"/>
  <c r="AU348" i="1"/>
  <c r="AU347" i="1"/>
  <c r="AU345" i="1"/>
  <c r="AU342" i="1"/>
  <c r="AU341" i="1"/>
  <c r="AU340" i="1"/>
  <c r="AU349" i="1"/>
  <c r="AU339" i="1"/>
  <c r="AV335" i="1"/>
  <c r="AU324" i="1"/>
  <c r="AU232" i="1"/>
  <c r="AU78" i="1"/>
  <c r="AU233" i="1"/>
  <c r="AU228" i="1"/>
  <c r="AU161" i="1"/>
  <c r="AU236" i="1"/>
  <c r="AU293" i="1"/>
  <c r="AU231" i="1"/>
  <c r="AU235" i="1"/>
  <c r="AU182" i="1"/>
  <c r="AU287" i="1"/>
  <c r="AU42" i="1"/>
  <c r="AU110" i="1"/>
  <c r="AU229" i="1"/>
  <c r="AU213" i="1"/>
  <c r="AU306" i="1"/>
  <c r="AU239" i="1"/>
  <c r="AU58" i="1"/>
  <c r="AU189" i="1"/>
  <c r="AU164" i="1"/>
  <c r="AU188" i="1"/>
  <c r="AU89" i="1"/>
  <c r="AU128" i="1"/>
  <c r="AU35" i="1"/>
  <c r="AU88" i="1"/>
  <c r="AU98" i="1"/>
  <c r="AU105" i="1"/>
  <c r="AU119" i="1"/>
  <c r="AU149" i="1"/>
  <c r="AU162" i="1"/>
  <c r="AU177" i="1"/>
  <c r="AU190" i="1"/>
  <c r="AU220" i="1"/>
  <c r="AU29" i="1"/>
  <c r="AU72" i="1"/>
  <c r="AU173" i="1"/>
  <c r="AU187" i="1"/>
  <c r="AU216" i="1"/>
  <c r="AU69" i="1"/>
  <c r="AU95" i="1"/>
  <c r="AU109" i="1"/>
  <c r="AU130" i="1"/>
  <c r="AU141" i="1"/>
  <c r="AU183" i="1"/>
  <c r="AU198" i="1"/>
  <c r="AU212" i="1"/>
  <c r="AU66" i="1"/>
  <c r="AU137" i="1"/>
  <c r="AU153" i="1"/>
  <c r="AU166" i="1"/>
  <c r="AU194" i="1"/>
  <c r="AU208" i="1"/>
  <c r="AU223" i="1"/>
  <c r="AU142" i="1"/>
  <c r="AU156" i="1"/>
  <c r="AU170" i="1"/>
  <c r="AU191" i="1"/>
  <c r="AU195" i="1"/>
  <c r="AU205" i="1"/>
  <c r="AU209" i="1"/>
  <c r="AU221" i="1"/>
  <c r="AU242" i="1"/>
  <c r="AU257" i="1"/>
  <c r="AU272" i="1"/>
  <c r="AU286" i="1"/>
  <c r="AU295" i="1"/>
  <c r="AU311" i="1"/>
  <c r="AU33" i="1"/>
  <c r="AU138" i="1"/>
  <c r="AU167" i="1"/>
  <c r="AU180" i="1"/>
  <c r="AU253" i="1"/>
  <c r="AU268" i="1"/>
  <c r="AU134" i="1"/>
  <c r="AU150" i="1"/>
  <c r="AU163" i="1"/>
  <c r="AU250" i="1"/>
  <c r="AU265" i="1"/>
  <c r="AU279" i="1"/>
  <c r="AU290" i="1"/>
  <c r="AU303" i="1"/>
  <c r="AU322" i="1"/>
  <c r="AU74" i="1"/>
  <c r="AU99" i="1"/>
  <c r="AU116" i="1"/>
  <c r="AU174" i="1"/>
  <c r="AU184" i="1"/>
  <c r="AU199" i="1"/>
  <c r="AU202" i="1"/>
  <c r="AU217" i="1"/>
  <c r="AU246" i="1"/>
  <c r="AU261" i="1"/>
  <c r="AU299" i="1"/>
  <c r="AU315" i="1"/>
  <c r="AU127" i="1"/>
  <c r="AU92" i="1"/>
  <c r="AU124" i="1"/>
  <c r="AU192" i="1"/>
  <c r="AU206" i="1"/>
  <c r="AU111" i="1"/>
  <c r="AU121" i="1"/>
  <c r="AU132" i="1"/>
  <c r="AU135" i="1"/>
  <c r="AU151" i="1"/>
  <c r="AU203" i="1"/>
  <c r="AU218" i="1"/>
  <c r="AU237" i="1"/>
  <c r="AU117" i="1"/>
  <c r="AU139" i="1"/>
  <c r="AU143" i="1"/>
  <c r="AU154" i="1"/>
  <c r="AU157" i="1"/>
  <c r="AU168" i="1"/>
  <c r="AU171" i="1"/>
  <c r="AU185" i="1"/>
  <c r="AU200" i="1"/>
  <c r="AU214" i="1"/>
  <c r="AU73" i="1"/>
  <c r="AU27" i="1"/>
  <c r="AU75" i="1"/>
  <c r="AU108" i="1"/>
  <c r="AU148" i="1"/>
  <c r="AU176" i="1"/>
  <c r="AU193" i="1"/>
  <c r="AU207" i="1"/>
  <c r="AU222" i="1"/>
  <c r="AU269" i="1"/>
  <c r="AU273" i="1"/>
  <c r="AU323" i="1"/>
  <c r="AU266" i="1"/>
  <c r="AU294" i="1"/>
  <c r="AU305" i="1"/>
  <c r="AU181" i="1"/>
  <c r="AU210" i="1"/>
  <c r="AU131" i="1"/>
  <c r="AU118" i="1"/>
  <c r="AU125" i="1"/>
  <c r="AU144" i="1"/>
  <c r="AU172" i="1"/>
  <c r="AU204" i="1"/>
  <c r="AU219" i="1"/>
  <c r="AU247" i="1"/>
  <c r="AU308" i="1"/>
  <c r="AU318" i="1"/>
  <c r="AU255" i="1"/>
  <c r="AU263" i="1"/>
  <c r="AU277" i="1"/>
  <c r="AU292" i="1"/>
  <c r="AU37" i="1"/>
  <c r="AU70" i="1"/>
  <c r="AU96" i="1"/>
  <c r="AU112" i="1"/>
  <c r="AU129" i="1"/>
  <c r="AU169" i="1"/>
  <c r="AU186" i="1"/>
  <c r="AU201" i="1"/>
  <c r="AU215" i="1"/>
  <c r="AU254" i="1"/>
  <c r="AU258" i="1"/>
  <c r="AU291" i="1"/>
  <c r="AU304" i="1"/>
  <c r="AU316" i="1"/>
  <c r="AU240" i="1"/>
  <c r="AU274" i="1"/>
  <c r="AU285" i="1"/>
  <c r="AU297" i="1"/>
  <c r="AU196" i="1"/>
  <c r="AU120" i="1"/>
  <c r="AU97" i="1"/>
  <c r="AU122" i="1"/>
  <c r="AU136" i="1"/>
  <c r="AU152" i="1"/>
  <c r="AU165" i="1"/>
  <c r="AU179" i="1"/>
  <c r="AU197" i="1"/>
  <c r="AU211" i="1"/>
  <c r="AU238" i="1"/>
  <c r="AU100" i="1"/>
  <c r="AU276" i="1"/>
  <c r="AU280" i="1"/>
  <c r="AU284" i="1"/>
  <c r="AU326" i="1"/>
  <c r="AU248" i="1"/>
  <c r="AU259" i="1"/>
  <c r="AU270" i="1"/>
  <c r="AU281" i="1"/>
  <c r="AU309" i="1"/>
  <c r="AU260" i="1"/>
  <c r="AU325" i="1"/>
  <c r="AU245" i="1"/>
  <c r="AU256" i="1"/>
  <c r="AU271" i="1"/>
  <c r="AU278" i="1"/>
  <c r="AU241" i="1"/>
  <c r="AU267" i="1"/>
  <c r="AU289" i="1"/>
  <c r="AU298" i="1"/>
  <c r="AU252" i="1"/>
  <c r="AU264" i="1"/>
  <c r="AU275" i="1"/>
  <c r="AU310" i="1"/>
  <c r="AV41" i="1"/>
  <c r="AV30" i="1"/>
  <c r="AV47" i="1"/>
  <c r="AV104" i="1"/>
  <c r="AV31" i="1"/>
  <c r="AV39" i="1"/>
  <c r="AV48" i="1"/>
  <c r="AV63" i="1"/>
  <c r="AV145" i="1"/>
  <c r="AV45" i="1"/>
  <c r="AV61" i="1"/>
  <c r="AV82" i="1"/>
  <c r="AV85" i="1"/>
  <c r="AV90" i="1"/>
  <c r="AV101" i="1"/>
  <c r="AV227" i="1"/>
  <c r="AV38" i="1"/>
  <c r="AV57" i="1"/>
  <c r="AV43" i="1"/>
  <c r="AV52" i="1"/>
  <c r="AV64" i="1"/>
  <c r="AV76" i="1"/>
  <c r="AV113" i="1"/>
  <c r="AV126" i="1"/>
  <c r="AV133" i="1"/>
  <c r="AV49" i="1"/>
  <c r="AV283" i="1"/>
  <c r="AV329" i="1"/>
  <c r="AV51" i="1"/>
  <c r="AV28" i="1"/>
  <c r="AV224" i="1"/>
  <c r="AV65" i="1"/>
  <c r="AV86" i="1"/>
  <c r="AV146" i="1"/>
  <c r="AV159" i="1"/>
  <c r="AV307" i="1"/>
  <c r="AV123" i="1"/>
  <c r="AV34" i="1"/>
  <c r="AV32" i="1"/>
  <c r="AV46" i="1"/>
  <c r="AV77" i="1"/>
  <c r="AV59" i="1"/>
  <c r="AV67" i="1"/>
  <c r="AV103" i="1"/>
  <c r="AV114" i="1"/>
  <c r="AV178" i="1"/>
  <c r="AV40" i="1"/>
  <c r="AV55" i="1"/>
  <c r="AV83" i="1"/>
  <c r="AV54" i="1"/>
  <c r="AV62" i="1"/>
  <c r="AV71" i="1"/>
  <c r="AV147" i="1"/>
  <c r="AV160" i="1"/>
  <c r="AV175" i="1"/>
  <c r="AV225" i="1"/>
  <c r="AV93" i="1"/>
  <c r="AV91" i="1"/>
  <c r="AV81" i="1"/>
  <c r="AV158" i="1"/>
  <c r="AV234" i="1"/>
  <c r="AV36" i="1"/>
  <c r="AV68" i="1"/>
  <c r="AV243" i="1"/>
  <c r="AV301" i="1"/>
  <c r="AV317" i="1"/>
  <c r="AV331" i="1"/>
  <c r="AV53" i="1"/>
  <c r="AV80" i="1"/>
  <c r="AV87" i="1"/>
  <c r="AV94" i="1"/>
  <c r="AV230" i="1"/>
  <c r="AV60" i="1"/>
  <c r="AV251" i="1"/>
  <c r="AV288" i="1"/>
  <c r="AV313" i="1"/>
  <c r="AV327" i="1"/>
  <c r="AV84" i="1"/>
  <c r="AV115" i="1"/>
  <c r="AV226" i="1"/>
  <c r="AV262" i="1"/>
  <c r="AV300" i="1"/>
  <c r="AV44" i="1"/>
  <c r="AV102" i="1"/>
  <c r="AV140" i="1"/>
  <c r="AV296" i="1"/>
  <c r="AV312" i="1"/>
  <c r="AV244" i="1"/>
  <c r="AV319" i="1"/>
  <c r="AV320" i="1"/>
  <c r="AV328" i="1"/>
  <c r="AV249" i="1"/>
  <c r="AV282" i="1"/>
  <c r="AV314" i="1"/>
  <c r="Y1" i="6"/>
  <c r="AF48" i="8"/>
  <c r="B46" i="10" s="1"/>
  <c r="B43" i="10"/>
  <c r="Y2" i="6"/>
  <c r="AW23" i="1"/>
  <c r="AV26" i="1"/>
  <c r="AV22" i="1"/>
  <c r="Y189" i="6" l="1"/>
  <c r="Y188" i="6"/>
  <c r="Y186" i="6"/>
  <c r="Y191" i="6"/>
  <c r="Y187" i="6"/>
  <c r="Y192" i="6"/>
  <c r="Y23" i="6"/>
  <c r="Y210" i="6"/>
  <c r="Y166" i="6"/>
  <c r="Y158" i="6"/>
  <c r="Y62" i="6"/>
  <c r="Y50" i="6"/>
  <c r="Y56" i="6"/>
  <c r="Y159" i="6"/>
  <c r="Y75" i="6"/>
  <c r="Y38" i="6"/>
  <c r="Y257" i="6"/>
  <c r="Y228" i="6"/>
  <c r="Y220" i="6"/>
  <c r="Y260" i="6"/>
  <c r="Y19" i="6"/>
  <c r="Y240" i="6"/>
  <c r="Y236" i="6"/>
  <c r="Y152" i="6"/>
  <c r="Y144" i="6"/>
  <c r="Y202" i="6"/>
  <c r="Y140" i="6"/>
  <c r="Y136" i="6"/>
  <c r="Y78" i="6"/>
  <c r="Y41" i="6"/>
  <c r="Y36" i="6"/>
  <c r="Y32" i="6"/>
  <c r="Y28" i="6"/>
  <c r="Y194" i="6"/>
  <c r="Y21" i="6"/>
  <c r="Y259" i="6"/>
  <c r="Y45" i="6"/>
  <c r="Y151" i="6"/>
  <c r="Y147" i="6"/>
  <c r="Y143" i="6"/>
  <c r="Y139" i="6"/>
  <c r="Y235" i="6"/>
  <c r="Y49" i="6"/>
  <c r="Y223" i="6"/>
  <c r="Y219" i="6"/>
  <c r="Y209" i="6"/>
  <c r="Y53" i="6"/>
  <c r="Y20" i="6"/>
  <c r="Y258" i="6"/>
  <c r="Y254" i="6"/>
  <c r="Y81" i="6"/>
  <c r="Y77" i="6"/>
  <c r="Y58" i="6"/>
  <c r="Y35" i="6"/>
  <c r="Y31" i="6"/>
  <c r="Y27" i="6"/>
  <c r="Y234" i="6"/>
  <c r="Y135" i="6"/>
  <c r="Y127" i="6"/>
  <c r="Y99" i="6"/>
  <c r="Y134" i="6"/>
  <c r="Y142" i="6"/>
  <c r="Y138" i="6"/>
  <c r="Y218" i="6"/>
  <c r="Y208" i="6"/>
  <c r="Y190" i="6"/>
  <c r="Y66" i="6"/>
  <c r="Y61" i="6"/>
  <c r="Y39" i="6"/>
  <c r="Y34" i="6"/>
  <c r="Y30" i="6"/>
  <c r="Y26" i="6"/>
  <c r="Y233" i="6"/>
  <c r="Y261" i="6"/>
  <c r="Y195" i="6"/>
  <c r="Y185" i="6"/>
  <c r="Y169" i="6"/>
  <c r="Y52" i="6"/>
  <c r="Y213" i="6"/>
  <c r="Y157" i="6"/>
  <c r="Y141" i="6"/>
  <c r="Y93" i="6"/>
  <c r="Y69" i="6"/>
  <c r="Y137" i="6"/>
  <c r="Y22" i="6"/>
  <c r="Y105" i="6"/>
  <c r="Y145" i="6"/>
  <c r="Y51" i="6"/>
  <c r="Y46" i="6"/>
  <c r="Y211" i="6"/>
  <c r="Y24" i="6"/>
  <c r="Y25" i="6"/>
  <c r="Y76" i="6"/>
  <c r="Y167" i="6"/>
  <c r="Y91" i="6"/>
  <c r="Y90" i="6"/>
  <c r="Y255" i="6"/>
  <c r="Y252" i="6"/>
  <c r="Y224" i="6"/>
  <c r="Y216" i="6"/>
  <c r="Y206" i="6"/>
  <c r="Y248" i="6"/>
  <c r="Y256" i="6"/>
  <c r="Y244" i="6"/>
  <c r="Y212" i="6"/>
  <c r="Y232" i="6"/>
  <c r="Y156" i="6"/>
  <c r="Y148" i="6"/>
  <c r="Y104" i="6"/>
  <c r="Y96" i="6"/>
  <c r="Y92" i="6"/>
  <c r="Y86" i="6"/>
  <c r="Y82" i="6"/>
  <c r="Y198" i="6"/>
  <c r="Y184" i="6"/>
  <c r="Y176" i="6"/>
  <c r="Y168" i="6"/>
  <c r="Y132" i="6"/>
  <c r="Y128" i="6"/>
  <c r="Y124" i="6"/>
  <c r="Y120" i="6"/>
  <c r="Y116" i="6"/>
  <c r="Y112" i="6"/>
  <c r="Y108" i="6"/>
  <c r="Y100" i="6"/>
  <c r="Y72" i="6"/>
  <c r="Y68" i="6"/>
  <c r="Y64" i="6"/>
  <c r="Y59" i="6"/>
  <c r="Y180" i="6"/>
  <c r="Y172" i="6"/>
  <c r="Y162" i="6"/>
  <c r="Y215" i="6"/>
  <c r="Y107" i="6"/>
  <c r="Y54" i="6"/>
  <c r="Y247" i="6"/>
  <c r="Y155" i="6"/>
  <c r="Y227" i="6"/>
  <c r="Y205" i="6"/>
  <c r="Y201" i="6"/>
  <c r="Y197" i="6"/>
  <c r="Y193" i="6"/>
  <c r="Y183" i="6"/>
  <c r="Y179" i="6"/>
  <c r="Y175" i="6"/>
  <c r="Y171" i="6"/>
  <c r="Y165" i="6"/>
  <c r="Y161" i="6"/>
  <c r="Y131" i="6"/>
  <c r="Y123" i="6"/>
  <c r="Y115" i="6"/>
  <c r="Y48" i="6"/>
  <c r="Y44" i="6"/>
  <c r="Y251" i="6"/>
  <c r="Y243" i="6"/>
  <c r="Y250" i="6"/>
  <c r="Y246" i="6"/>
  <c r="Y111" i="6"/>
  <c r="Y103" i="6"/>
  <c r="Y95" i="6"/>
  <c r="Y89" i="6"/>
  <c r="Y85" i="6"/>
  <c r="Y71" i="6"/>
  <c r="Y67" i="6"/>
  <c r="Y63" i="6"/>
  <c r="Y40" i="6"/>
  <c r="Y239" i="6"/>
  <c r="Y231" i="6"/>
  <c r="Y242" i="6"/>
  <c r="Y238" i="6"/>
  <c r="Y230" i="6"/>
  <c r="Y119" i="6"/>
  <c r="Y106" i="6"/>
  <c r="Y98" i="6"/>
  <c r="Y214" i="6"/>
  <c r="Y130" i="6"/>
  <c r="Y126" i="6"/>
  <c r="Y122" i="6"/>
  <c r="Y118" i="6"/>
  <c r="Y114" i="6"/>
  <c r="Y110" i="6"/>
  <c r="Y102" i="6"/>
  <c r="Y94" i="6"/>
  <c r="Y226" i="6"/>
  <c r="Y154" i="6"/>
  <c r="Y150" i="6"/>
  <c r="Y146" i="6"/>
  <c r="Y88" i="6"/>
  <c r="Y84" i="6"/>
  <c r="Y80" i="6"/>
  <c r="Y222" i="6"/>
  <c r="Y204" i="6"/>
  <c r="Y200" i="6"/>
  <c r="Y196" i="6"/>
  <c r="Y182" i="6"/>
  <c r="Y178" i="6"/>
  <c r="Y174" i="6"/>
  <c r="Y170" i="6"/>
  <c r="Y164" i="6"/>
  <c r="Y160" i="6"/>
  <c r="Y241" i="6"/>
  <c r="Y237" i="6"/>
  <c r="Y125" i="6"/>
  <c r="Y109" i="6"/>
  <c r="Y87" i="6"/>
  <c r="Y83" i="6"/>
  <c r="Y70" i="6"/>
  <c r="Y249" i="6"/>
  <c r="Y225" i="6"/>
  <c r="Y221" i="6"/>
  <c r="Y217" i="6"/>
  <c r="Y207" i="6"/>
  <c r="Y203" i="6"/>
  <c r="Y199" i="6"/>
  <c r="Y181" i="6"/>
  <c r="Y177" i="6"/>
  <c r="Y173" i="6"/>
  <c r="Y163" i="6"/>
  <c r="Y229" i="6"/>
  <c r="Y74" i="6"/>
  <c r="Y57" i="6"/>
  <c r="Y47" i="6"/>
  <c r="Y43" i="6"/>
  <c r="Y253" i="6"/>
  <c r="Y245" i="6"/>
  <c r="Y133" i="6"/>
  <c r="Y79" i="6"/>
  <c r="Y73" i="6"/>
  <c r="Y65" i="6"/>
  <c r="Y60" i="6"/>
  <c r="Y42" i="6"/>
  <c r="Y37" i="6"/>
  <c r="Y33" i="6"/>
  <c r="Y29" i="6"/>
  <c r="Y129" i="6"/>
  <c r="Y121" i="6"/>
  <c r="Y117" i="6"/>
  <c r="Y153" i="6"/>
  <c r="Y113" i="6"/>
  <c r="Y97" i="6"/>
  <c r="Y149" i="6"/>
  <c r="Y101" i="6"/>
  <c r="Y55" i="6"/>
  <c r="AW155" i="1"/>
  <c r="AW56" i="1"/>
  <c r="AV352" i="1"/>
  <c r="AV360" i="1"/>
  <c r="AV350" i="1"/>
  <c r="AW365" i="1"/>
  <c r="AW364" i="1"/>
  <c r="AV106" i="1"/>
  <c r="AV361" i="1"/>
  <c r="AV363" i="1"/>
  <c r="AV362" i="1"/>
  <c r="X8" i="6"/>
  <c r="X12" i="6"/>
  <c r="X14" i="6"/>
  <c r="X9" i="6"/>
  <c r="X13" i="6"/>
  <c r="X11" i="6"/>
  <c r="X10" i="6"/>
  <c r="AW370" i="1"/>
  <c r="AW372" i="1"/>
  <c r="AW368" i="1"/>
  <c r="AW371" i="1"/>
  <c r="AW369" i="1"/>
  <c r="AV302" i="1"/>
  <c r="AV330" i="1"/>
  <c r="AW79" i="1"/>
  <c r="AW50" i="1"/>
  <c r="AV333" i="1"/>
  <c r="AW357" i="1"/>
  <c r="AW354" i="1"/>
  <c r="AW359" i="1"/>
  <c r="AW356" i="1"/>
  <c r="AW358" i="1"/>
  <c r="AW355" i="1"/>
  <c r="AV366" i="1"/>
  <c r="AV367" i="1"/>
  <c r="AV336" i="1"/>
  <c r="AV332" i="1"/>
  <c r="AV321" i="1"/>
  <c r="AV337" i="1"/>
  <c r="AW351" i="1"/>
  <c r="AW353" i="1"/>
  <c r="AV343" i="1"/>
  <c r="AV338" i="1"/>
  <c r="AV346" i="1"/>
  <c r="AV344" i="1"/>
  <c r="AV107" i="1"/>
  <c r="AV341" i="1"/>
  <c r="AV340" i="1"/>
  <c r="AV349" i="1"/>
  <c r="AV348" i="1"/>
  <c r="AV339" i="1"/>
  <c r="AV347" i="1"/>
  <c r="AV345" i="1"/>
  <c r="AV342" i="1"/>
  <c r="AV334" i="1"/>
  <c r="AW335" i="1"/>
  <c r="AV161" i="1"/>
  <c r="AV182" i="1"/>
  <c r="AV213" i="1"/>
  <c r="AV306" i="1"/>
  <c r="AV287" i="1"/>
  <c r="AV164" i="1"/>
  <c r="AV188" i="1"/>
  <c r="AV236" i="1"/>
  <c r="AV42" i="1"/>
  <c r="AV239" i="1"/>
  <c r="AV233" i="1"/>
  <c r="AV78" i="1"/>
  <c r="AV293" i="1"/>
  <c r="AV324" i="1"/>
  <c r="AV229" i="1"/>
  <c r="AV58" i="1"/>
  <c r="AV189" i="1"/>
  <c r="AV110" i="1"/>
  <c r="AV232" i="1"/>
  <c r="AV228" i="1"/>
  <c r="AV235" i="1"/>
  <c r="AV231" i="1"/>
  <c r="AV72" i="1"/>
  <c r="AV173" i="1"/>
  <c r="AV187" i="1"/>
  <c r="AV216" i="1"/>
  <c r="AV69" i="1"/>
  <c r="AV95" i="1"/>
  <c r="AV109" i="1"/>
  <c r="AV130" i="1"/>
  <c r="AV141" i="1"/>
  <c r="AV183" i="1"/>
  <c r="AV198" i="1"/>
  <c r="AV212" i="1"/>
  <c r="AV66" i="1"/>
  <c r="AV137" i="1"/>
  <c r="AV153" i="1"/>
  <c r="AV166" i="1"/>
  <c r="AV194" i="1"/>
  <c r="AV208" i="1"/>
  <c r="AV223" i="1"/>
  <c r="AV118" i="1"/>
  <c r="AV35" i="1"/>
  <c r="AV88" i="1"/>
  <c r="AV98" i="1"/>
  <c r="AV105" i="1"/>
  <c r="AV119" i="1"/>
  <c r="AV149" i="1"/>
  <c r="AV162" i="1"/>
  <c r="AV177" i="1"/>
  <c r="AV190" i="1"/>
  <c r="AV220" i="1"/>
  <c r="AV138" i="1"/>
  <c r="AV167" i="1"/>
  <c r="AV180" i="1"/>
  <c r="AV184" i="1"/>
  <c r="AV199" i="1"/>
  <c r="AV253" i="1"/>
  <c r="AV268" i="1"/>
  <c r="AV134" i="1"/>
  <c r="AV150" i="1"/>
  <c r="AV163" i="1"/>
  <c r="AV195" i="1"/>
  <c r="AV209" i="1"/>
  <c r="AV250" i="1"/>
  <c r="AV265" i="1"/>
  <c r="AV279" i="1"/>
  <c r="AV99" i="1"/>
  <c r="AV116" i="1"/>
  <c r="AV174" i="1"/>
  <c r="AV191" i="1"/>
  <c r="AV205" i="1"/>
  <c r="AV221" i="1"/>
  <c r="AV246" i="1"/>
  <c r="AV261" i="1"/>
  <c r="AV290" i="1"/>
  <c r="AV303" i="1"/>
  <c r="AV322" i="1"/>
  <c r="AV142" i="1"/>
  <c r="AV156" i="1"/>
  <c r="AV170" i="1"/>
  <c r="AV202" i="1"/>
  <c r="AV217" i="1"/>
  <c r="AV242" i="1"/>
  <c r="AV257" i="1"/>
  <c r="AV272" i="1"/>
  <c r="AV286" i="1"/>
  <c r="AV295" i="1"/>
  <c r="AV299" i="1"/>
  <c r="AV311" i="1"/>
  <c r="AV315" i="1"/>
  <c r="AV29" i="1"/>
  <c r="AV74" i="1"/>
  <c r="AV128" i="1"/>
  <c r="AV139" i="1"/>
  <c r="AV154" i="1"/>
  <c r="AV168" i="1"/>
  <c r="AV92" i="1"/>
  <c r="AV121" i="1"/>
  <c r="AV135" i="1"/>
  <c r="AV151" i="1"/>
  <c r="AV192" i="1"/>
  <c r="AV203" i="1"/>
  <c r="AV206" i="1"/>
  <c r="AV218" i="1"/>
  <c r="AV237" i="1"/>
  <c r="AV33" i="1"/>
  <c r="AV100" i="1"/>
  <c r="AV124" i="1"/>
  <c r="AV132" i="1"/>
  <c r="AV181" i="1"/>
  <c r="AV185" i="1"/>
  <c r="AV196" i="1"/>
  <c r="AV200" i="1"/>
  <c r="AV210" i="1"/>
  <c r="AV214" i="1"/>
  <c r="AV75" i="1"/>
  <c r="AV127" i="1"/>
  <c r="AV89" i="1"/>
  <c r="AV111" i="1"/>
  <c r="AV117" i="1"/>
  <c r="AV143" i="1"/>
  <c r="AV157" i="1"/>
  <c r="AV171" i="1"/>
  <c r="AV131" i="1"/>
  <c r="AV97" i="1"/>
  <c r="AV108" i="1"/>
  <c r="AV144" i="1"/>
  <c r="AV148" i="1"/>
  <c r="AV172" i="1"/>
  <c r="AV176" i="1"/>
  <c r="AV204" i="1"/>
  <c r="AV219" i="1"/>
  <c r="AV254" i="1"/>
  <c r="AV276" i="1"/>
  <c r="AV308" i="1"/>
  <c r="AV316" i="1"/>
  <c r="AV323" i="1"/>
  <c r="AV326" i="1"/>
  <c r="AV266" i="1"/>
  <c r="AV270" i="1"/>
  <c r="AV292" i="1"/>
  <c r="AV37" i="1"/>
  <c r="AV70" i="1"/>
  <c r="AV96" i="1"/>
  <c r="AV129" i="1"/>
  <c r="AV186" i="1"/>
  <c r="AV201" i="1"/>
  <c r="AV215" i="1"/>
  <c r="AV27" i="1"/>
  <c r="AV273" i="1"/>
  <c r="AV284" i="1"/>
  <c r="AV291" i="1"/>
  <c r="AV304" i="1"/>
  <c r="AV318" i="1"/>
  <c r="AV263" i="1"/>
  <c r="AV274" i="1"/>
  <c r="AV297" i="1"/>
  <c r="AV120" i="1"/>
  <c r="AV125" i="1"/>
  <c r="AV197" i="1"/>
  <c r="AV211" i="1"/>
  <c r="AV247" i="1"/>
  <c r="AV269" i="1"/>
  <c r="AV255" i="1"/>
  <c r="AV259" i="1"/>
  <c r="AV309" i="1"/>
  <c r="AV73" i="1"/>
  <c r="AV112" i="1"/>
  <c r="AV122" i="1"/>
  <c r="AV136" i="1"/>
  <c r="AV152" i="1"/>
  <c r="AV165" i="1"/>
  <c r="AV169" i="1"/>
  <c r="AV179" i="1"/>
  <c r="AV193" i="1"/>
  <c r="AV207" i="1"/>
  <c r="AV222" i="1"/>
  <c r="AV238" i="1"/>
  <c r="AV258" i="1"/>
  <c r="AV280" i="1"/>
  <c r="AV240" i="1"/>
  <c r="AV248" i="1"/>
  <c r="AV281" i="1"/>
  <c r="AV285" i="1"/>
  <c r="AV294" i="1"/>
  <c r="AV305" i="1"/>
  <c r="AV245" i="1"/>
  <c r="AV256" i="1"/>
  <c r="AV271" i="1"/>
  <c r="AV278" i="1"/>
  <c r="AV310" i="1"/>
  <c r="AV277" i="1"/>
  <c r="AV241" i="1"/>
  <c r="AV267" i="1"/>
  <c r="AV252" i="1"/>
  <c r="AV264" i="1"/>
  <c r="AV275" i="1"/>
  <c r="AV289" i="1"/>
  <c r="AV260" i="1"/>
  <c r="AV298" i="1"/>
  <c r="AV325" i="1"/>
  <c r="AW41" i="1"/>
  <c r="AW113" i="1"/>
  <c r="AW126" i="1"/>
  <c r="AW227" i="1"/>
  <c r="AW28" i="1"/>
  <c r="AW133" i="1"/>
  <c r="AW145" i="1"/>
  <c r="AW45" i="1"/>
  <c r="AW61" i="1"/>
  <c r="AW82" i="1"/>
  <c r="AW90" i="1"/>
  <c r="AW101" i="1"/>
  <c r="AW224" i="1"/>
  <c r="AW65" i="1"/>
  <c r="AW86" i="1"/>
  <c r="AW146" i="1"/>
  <c r="AW159" i="1"/>
  <c r="AW123" i="1"/>
  <c r="AW307" i="1"/>
  <c r="AW49" i="1"/>
  <c r="AW283" i="1"/>
  <c r="AW85" i="1"/>
  <c r="AW114" i="1"/>
  <c r="AW178" i="1"/>
  <c r="AW225" i="1"/>
  <c r="AW40" i="1"/>
  <c r="AW55" i="1"/>
  <c r="AW83" i="1"/>
  <c r="AW54" i="1"/>
  <c r="AW62" i="1"/>
  <c r="AW71" i="1"/>
  <c r="AW147" i="1"/>
  <c r="AW160" i="1"/>
  <c r="AW175" i="1"/>
  <c r="AW329" i="1"/>
  <c r="AW93" i="1"/>
  <c r="AW43" i="1"/>
  <c r="AW32" i="1"/>
  <c r="AW46" i="1"/>
  <c r="AW77" i="1"/>
  <c r="AW59" i="1"/>
  <c r="AW67" i="1"/>
  <c r="AW103" i="1"/>
  <c r="AW53" i="1"/>
  <c r="AW115" i="1"/>
  <c r="AW226" i="1"/>
  <c r="AW230" i="1"/>
  <c r="AW251" i="1"/>
  <c r="AW288" i="1"/>
  <c r="AW313" i="1"/>
  <c r="AW80" i="1"/>
  <c r="AW34" i="1"/>
  <c r="AW36" i="1"/>
  <c r="AW51" i="1"/>
  <c r="AW60" i="1"/>
  <c r="AW68" i="1"/>
  <c r="AW81" i="1"/>
  <c r="AW87" i="1"/>
  <c r="AW234" i="1"/>
  <c r="AW48" i="1"/>
  <c r="AW262" i="1"/>
  <c r="AW296" i="1"/>
  <c r="AW300" i="1"/>
  <c r="AW312" i="1"/>
  <c r="AW244" i="1"/>
  <c r="AW44" i="1"/>
  <c r="AW102" i="1"/>
  <c r="AW94" i="1"/>
  <c r="AW158" i="1"/>
  <c r="AW39" i="1"/>
  <c r="AW317" i="1"/>
  <c r="AW319" i="1"/>
  <c r="AW327" i="1"/>
  <c r="AW331" i="1"/>
  <c r="AW52" i="1"/>
  <c r="AW64" i="1"/>
  <c r="AW76" i="1"/>
  <c r="AW91" i="1"/>
  <c r="AW30" i="1"/>
  <c r="AW38" i="1"/>
  <c r="AW47" i="1"/>
  <c r="AW57" i="1"/>
  <c r="AW84" i="1"/>
  <c r="AW104" i="1"/>
  <c r="AW140" i="1"/>
  <c r="AW31" i="1"/>
  <c r="AW63" i="1"/>
  <c r="AW243" i="1"/>
  <c r="AW301" i="1"/>
  <c r="AW328" i="1"/>
  <c r="AW249" i="1"/>
  <c r="AW314" i="1"/>
  <c r="AW282" i="1"/>
  <c r="AW320" i="1"/>
  <c r="Z1" i="6"/>
  <c r="AF47" i="8"/>
  <c r="Z2" i="6"/>
  <c r="AX23" i="1"/>
  <c r="AW26" i="1"/>
  <c r="AW22" i="1"/>
  <c r="Z189" i="6" l="1"/>
  <c r="Z192" i="6"/>
  <c r="Z188" i="6"/>
  <c r="Z186" i="6"/>
  <c r="Z191" i="6"/>
  <c r="Z187" i="6"/>
  <c r="Z158" i="6"/>
  <c r="Z62" i="6"/>
  <c r="Z50" i="6"/>
  <c r="Z38" i="6"/>
  <c r="Z166" i="6"/>
  <c r="Z23" i="6"/>
  <c r="Z75" i="6"/>
  <c r="Z210" i="6"/>
  <c r="Z56" i="6"/>
  <c r="Z159" i="6"/>
  <c r="Z19" i="6"/>
  <c r="Z228" i="6"/>
  <c r="Z260" i="6"/>
  <c r="Z240" i="6"/>
  <c r="Z236" i="6"/>
  <c r="Z220" i="6"/>
  <c r="Z257" i="6"/>
  <c r="Z202" i="6"/>
  <c r="Z194" i="6"/>
  <c r="Z152" i="6"/>
  <c r="Z144" i="6"/>
  <c r="Z140" i="6"/>
  <c r="Z136" i="6"/>
  <c r="Z78" i="6"/>
  <c r="Z21" i="6"/>
  <c r="Z49" i="6"/>
  <c r="Z45" i="6"/>
  <c r="Z41" i="6"/>
  <c r="Z36" i="6"/>
  <c r="Z32" i="6"/>
  <c r="Z28" i="6"/>
  <c r="Z223" i="6"/>
  <c r="Z219" i="6"/>
  <c r="Z151" i="6"/>
  <c r="Z259" i="6"/>
  <c r="Z235" i="6"/>
  <c r="Z209" i="6"/>
  <c r="Z147" i="6"/>
  <c r="Z143" i="6"/>
  <c r="Z139" i="6"/>
  <c r="Z135" i="6"/>
  <c r="Z127" i="6"/>
  <c r="Z81" i="6"/>
  <c r="Z20" i="6"/>
  <c r="Z258" i="6"/>
  <c r="Z254" i="6"/>
  <c r="Z234" i="6"/>
  <c r="Z99" i="6"/>
  <c r="Z77" i="6"/>
  <c r="Z53" i="6"/>
  <c r="Z58" i="6"/>
  <c r="Z35" i="6"/>
  <c r="Z31" i="6"/>
  <c r="Z27" i="6"/>
  <c r="Z142" i="6"/>
  <c r="Z138" i="6"/>
  <c r="Z134" i="6"/>
  <c r="Z218" i="6"/>
  <c r="Z190" i="6"/>
  <c r="Z208" i="6"/>
  <c r="Z261" i="6"/>
  <c r="Z233" i="6"/>
  <c r="Z213" i="6"/>
  <c r="Z195" i="6"/>
  <c r="Z185" i="6"/>
  <c r="Z157" i="6"/>
  <c r="Z145" i="6"/>
  <c r="Z141" i="6"/>
  <c r="Z137" i="6"/>
  <c r="Z105" i="6"/>
  <c r="Z93" i="6"/>
  <c r="Z52" i="6"/>
  <c r="Z61" i="6"/>
  <c r="Z39" i="6"/>
  <c r="Z34" i="6"/>
  <c r="Z30" i="6"/>
  <c r="Z26" i="6"/>
  <c r="Z169" i="6"/>
  <c r="Z66" i="6"/>
  <c r="Z51" i="6"/>
  <c r="Z46" i="6"/>
  <c r="Z69" i="6"/>
  <c r="Z22" i="6"/>
  <c r="Z167" i="6"/>
  <c r="Z76" i="6"/>
  <c r="Z24" i="6"/>
  <c r="Z211" i="6"/>
  <c r="Z91" i="6"/>
  <c r="Z90" i="6"/>
  <c r="Z25" i="6"/>
  <c r="Z256" i="6"/>
  <c r="Z252" i="6"/>
  <c r="Z244" i="6"/>
  <c r="Z232" i="6"/>
  <c r="Z224" i="6"/>
  <c r="Z216" i="6"/>
  <c r="Z206" i="6"/>
  <c r="Z255" i="6"/>
  <c r="Z248" i="6"/>
  <c r="Z212" i="6"/>
  <c r="Z198" i="6"/>
  <c r="Z156" i="6"/>
  <c r="Z148" i="6"/>
  <c r="Z180" i="6"/>
  <c r="Z172" i="6"/>
  <c r="Z162" i="6"/>
  <c r="Z132" i="6"/>
  <c r="Z128" i="6"/>
  <c r="Z124" i="6"/>
  <c r="Z120" i="6"/>
  <c r="Z116" i="6"/>
  <c r="Z112" i="6"/>
  <c r="Z108" i="6"/>
  <c r="Z100" i="6"/>
  <c r="Z96" i="6"/>
  <c r="Z184" i="6"/>
  <c r="Z176" i="6"/>
  <c r="Z168" i="6"/>
  <c r="Z104" i="6"/>
  <c r="Z92" i="6"/>
  <c r="Z86" i="6"/>
  <c r="Z82" i="6"/>
  <c r="Z54" i="6"/>
  <c r="Z59" i="6"/>
  <c r="Z68" i="6"/>
  <c r="Z103" i="6"/>
  <c r="Z64" i="6"/>
  <c r="Z215" i="6"/>
  <c r="Z72" i="6"/>
  <c r="Z247" i="6"/>
  <c r="Z227" i="6"/>
  <c r="Z205" i="6"/>
  <c r="Z201" i="6"/>
  <c r="Z197" i="6"/>
  <c r="Z193" i="6"/>
  <c r="Z183" i="6"/>
  <c r="Z179" i="6"/>
  <c r="Z175" i="6"/>
  <c r="Z171" i="6"/>
  <c r="Z165" i="6"/>
  <c r="Z161" i="6"/>
  <c r="Z155" i="6"/>
  <c r="Z119" i="6"/>
  <c r="Z111" i="6"/>
  <c r="Z250" i="6"/>
  <c r="Z246" i="6"/>
  <c r="Z242" i="6"/>
  <c r="Z238" i="6"/>
  <c r="Z230" i="6"/>
  <c r="Z85" i="6"/>
  <c r="Z63" i="6"/>
  <c r="Z251" i="6"/>
  <c r="Z243" i="6"/>
  <c r="Z239" i="6"/>
  <c r="Z231" i="6"/>
  <c r="Z131" i="6"/>
  <c r="Z123" i="6"/>
  <c r="Z115" i="6"/>
  <c r="Z107" i="6"/>
  <c r="Z89" i="6"/>
  <c r="Z71" i="6"/>
  <c r="Z48" i="6"/>
  <c r="Z44" i="6"/>
  <c r="Z95" i="6"/>
  <c r="Z67" i="6"/>
  <c r="Z40" i="6"/>
  <c r="Z154" i="6"/>
  <c r="Z150" i="6"/>
  <c r="Z146" i="6"/>
  <c r="Z118" i="6"/>
  <c r="Z102" i="6"/>
  <c r="Z222" i="6"/>
  <c r="Z214" i="6"/>
  <c r="Z178" i="6"/>
  <c r="Z170" i="6"/>
  <c r="Z164" i="6"/>
  <c r="Z130" i="6"/>
  <c r="Z114" i="6"/>
  <c r="Z94" i="6"/>
  <c r="Z88" i="6"/>
  <c r="Z74" i="6"/>
  <c r="Z70" i="6"/>
  <c r="Z182" i="6"/>
  <c r="Z174" i="6"/>
  <c r="Z160" i="6"/>
  <c r="Z126" i="6"/>
  <c r="Z110" i="6"/>
  <c r="Z98" i="6"/>
  <c r="Z226" i="6"/>
  <c r="Z204" i="6"/>
  <c r="Z200" i="6"/>
  <c r="Z196" i="6"/>
  <c r="Z122" i="6"/>
  <c r="Z106" i="6"/>
  <c r="Z253" i="6"/>
  <c r="Z249" i="6"/>
  <c r="Z245" i="6"/>
  <c r="Z241" i="6"/>
  <c r="Z237" i="6"/>
  <c r="Z229" i="6"/>
  <c r="Z207" i="6"/>
  <c r="Z203" i="6"/>
  <c r="Z199" i="6"/>
  <c r="Z153" i="6"/>
  <c r="Z149" i="6"/>
  <c r="Z133" i="6"/>
  <c r="Z129" i="6"/>
  <c r="Z125" i="6"/>
  <c r="Z121" i="6"/>
  <c r="Z117" i="6"/>
  <c r="Z113" i="6"/>
  <c r="Z109" i="6"/>
  <c r="Z101" i="6"/>
  <c r="Z97" i="6"/>
  <c r="Z83" i="6"/>
  <c r="Z47" i="6"/>
  <c r="Z43" i="6"/>
  <c r="Z80" i="6"/>
  <c r="Z84" i="6"/>
  <c r="Z57" i="6"/>
  <c r="Z225" i="6"/>
  <c r="Z221" i="6"/>
  <c r="Z217" i="6"/>
  <c r="Z181" i="6"/>
  <c r="Z177" i="6"/>
  <c r="Z173" i="6"/>
  <c r="Z163" i="6"/>
  <c r="Z87" i="6"/>
  <c r="Z79" i="6"/>
  <c r="Z65" i="6"/>
  <c r="Z37" i="6"/>
  <c r="Z55" i="6"/>
  <c r="Z33" i="6"/>
  <c r="Z29" i="6"/>
  <c r="Z73" i="6"/>
  <c r="Z60" i="6"/>
  <c r="Z42" i="6"/>
  <c r="AX56" i="1"/>
  <c r="AX155" i="1"/>
  <c r="AW350" i="1"/>
  <c r="AW360" i="1"/>
  <c r="AW352" i="1"/>
  <c r="AW106" i="1"/>
  <c r="AW361" i="1"/>
  <c r="AW362" i="1"/>
  <c r="AW363" i="1"/>
  <c r="AX364" i="1"/>
  <c r="AX365" i="1"/>
  <c r="Y9" i="6"/>
  <c r="Y13" i="6"/>
  <c r="Y8" i="6"/>
  <c r="Y12" i="6"/>
  <c r="Y14" i="6"/>
  <c r="Y11" i="6"/>
  <c r="Y10" i="6"/>
  <c r="AX370" i="1"/>
  <c r="AX369" i="1"/>
  <c r="AX372" i="1"/>
  <c r="AX368" i="1"/>
  <c r="AX371" i="1"/>
  <c r="AW302" i="1"/>
  <c r="AW330" i="1"/>
  <c r="AX79" i="1"/>
  <c r="AX50" i="1"/>
  <c r="AW321" i="1"/>
  <c r="AW337" i="1"/>
  <c r="AW336" i="1"/>
  <c r="AW332" i="1"/>
  <c r="AW366" i="1"/>
  <c r="AW367" i="1"/>
  <c r="AX358" i="1"/>
  <c r="AX354" i="1"/>
  <c r="AX357" i="1"/>
  <c r="AX355" i="1"/>
  <c r="AX359" i="1"/>
  <c r="AX356" i="1"/>
  <c r="AW333" i="1"/>
  <c r="AX353" i="1"/>
  <c r="AX351" i="1"/>
  <c r="AW343" i="1"/>
  <c r="AW338" i="1"/>
  <c r="AW346" i="1"/>
  <c r="AW344" i="1"/>
  <c r="AW107" i="1"/>
  <c r="AW342" i="1"/>
  <c r="AW345" i="1"/>
  <c r="AW340" i="1"/>
  <c r="AW348" i="1"/>
  <c r="AW339" i="1"/>
  <c r="AW341" i="1"/>
  <c r="AW347" i="1"/>
  <c r="AW349" i="1"/>
  <c r="AW334" i="1"/>
  <c r="AX335" i="1"/>
  <c r="AW42" i="1"/>
  <c r="AW110" i="1"/>
  <c r="AW239" i="1"/>
  <c r="AW189" i="1"/>
  <c r="AW78" i="1"/>
  <c r="AW228" i="1"/>
  <c r="AW232" i="1"/>
  <c r="AW236" i="1"/>
  <c r="AW231" i="1"/>
  <c r="AW324" i="1"/>
  <c r="AW182" i="1"/>
  <c r="AW164" i="1"/>
  <c r="AW213" i="1"/>
  <c r="AW306" i="1"/>
  <c r="AW229" i="1"/>
  <c r="AW287" i="1"/>
  <c r="AW293" i="1"/>
  <c r="AW161" i="1"/>
  <c r="AW58" i="1"/>
  <c r="AW233" i="1"/>
  <c r="AW188" i="1"/>
  <c r="AW235" i="1"/>
  <c r="AX41" i="1"/>
  <c r="AX52" i="1"/>
  <c r="AX64" i="1"/>
  <c r="AX76" i="1"/>
  <c r="AX113" i="1"/>
  <c r="AX126" i="1"/>
  <c r="AX133" i="1"/>
  <c r="AX32" i="1"/>
  <c r="AX44" i="1"/>
  <c r="AX114" i="1"/>
  <c r="AX31" i="1"/>
  <c r="AX39" i="1"/>
  <c r="AX48" i="1"/>
  <c r="AX63" i="1"/>
  <c r="AX145" i="1"/>
  <c r="AX227" i="1"/>
  <c r="AX46" i="1"/>
  <c r="AX80" i="1"/>
  <c r="AX45" i="1"/>
  <c r="AX61" i="1"/>
  <c r="AX82" i="1"/>
  <c r="AX85" i="1"/>
  <c r="AX90" i="1"/>
  <c r="AX101" i="1"/>
  <c r="AX40" i="1"/>
  <c r="AX49" i="1"/>
  <c r="AX43" i="1"/>
  <c r="AX86" i="1"/>
  <c r="AX307" i="1"/>
  <c r="AX28" i="1"/>
  <c r="AX123" i="1"/>
  <c r="AX146" i="1"/>
  <c r="AX159" i="1"/>
  <c r="AX224" i="1"/>
  <c r="AX283" i="1"/>
  <c r="AX54" i="1"/>
  <c r="AX62" i="1"/>
  <c r="AX71" i="1"/>
  <c r="AX147" i="1"/>
  <c r="AX160" i="1"/>
  <c r="AX175" i="1"/>
  <c r="AX93" i="1"/>
  <c r="AX329" i="1"/>
  <c r="AX83" i="1"/>
  <c r="AX59" i="1"/>
  <c r="AX67" i="1"/>
  <c r="AX103" i="1"/>
  <c r="AX225" i="1"/>
  <c r="AX91" i="1"/>
  <c r="AX34" i="1"/>
  <c r="AX36" i="1"/>
  <c r="AX51" i="1"/>
  <c r="AX60" i="1"/>
  <c r="AX68" i="1"/>
  <c r="AX81" i="1"/>
  <c r="AX87" i="1"/>
  <c r="AX234" i="1"/>
  <c r="AX77" i="1"/>
  <c r="AX262" i="1"/>
  <c r="AX296" i="1"/>
  <c r="AX312" i="1"/>
  <c r="AX244" i="1"/>
  <c r="AX319" i="1"/>
  <c r="AX94" i="1"/>
  <c r="AX158" i="1"/>
  <c r="AX65" i="1"/>
  <c r="AX313" i="1"/>
  <c r="AX317" i="1"/>
  <c r="AX331" i="1"/>
  <c r="AX55" i="1"/>
  <c r="AX30" i="1"/>
  <c r="AX38" i="1"/>
  <c r="AX47" i="1"/>
  <c r="AX57" i="1"/>
  <c r="AX84" i="1"/>
  <c r="AX104" i="1"/>
  <c r="AX140" i="1"/>
  <c r="AX230" i="1"/>
  <c r="AX243" i="1"/>
  <c r="AX301" i="1"/>
  <c r="AX327" i="1"/>
  <c r="AX178" i="1"/>
  <c r="AX102" i="1"/>
  <c r="AX115" i="1"/>
  <c r="AX226" i="1"/>
  <c r="AX53" i="1"/>
  <c r="AX251" i="1"/>
  <c r="AX300" i="1"/>
  <c r="AX288" i="1"/>
  <c r="AX249" i="1"/>
  <c r="AX282" i="1"/>
  <c r="AX314" i="1"/>
  <c r="AX328" i="1"/>
  <c r="AX320" i="1"/>
  <c r="AW88" i="1"/>
  <c r="AW98" i="1"/>
  <c r="AW183" i="1"/>
  <c r="AW198" i="1"/>
  <c r="AW212" i="1"/>
  <c r="AW194" i="1"/>
  <c r="AW208" i="1"/>
  <c r="AW223" i="1"/>
  <c r="AW252" i="1"/>
  <c r="AW105" i="1"/>
  <c r="AW119" i="1"/>
  <c r="AW137" i="1"/>
  <c r="AW141" i="1"/>
  <c r="AW149" i="1"/>
  <c r="AW153" i="1"/>
  <c r="AW162" i="1"/>
  <c r="AW166" i="1"/>
  <c r="AW173" i="1"/>
  <c r="AW177" i="1"/>
  <c r="AW190" i="1"/>
  <c r="AW220" i="1"/>
  <c r="AW130" i="1"/>
  <c r="AW187" i="1"/>
  <c r="AW216" i="1"/>
  <c r="AW69" i="1"/>
  <c r="AW134" i="1"/>
  <c r="AW150" i="1"/>
  <c r="AW163" i="1"/>
  <c r="AW180" i="1"/>
  <c r="AW195" i="1"/>
  <c r="AW209" i="1"/>
  <c r="AW250" i="1"/>
  <c r="AW265" i="1"/>
  <c r="AW279" i="1"/>
  <c r="AW299" i="1"/>
  <c r="AW315" i="1"/>
  <c r="AW99" i="1"/>
  <c r="AW116" i="1"/>
  <c r="AW174" i="1"/>
  <c r="AW191" i="1"/>
  <c r="AW205" i="1"/>
  <c r="AW221" i="1"/>
  <c r="AW246" i="1"/>
  <c r="AW261" i="1"/>
  <c r="AW295" i="1"/>
  <c r="AW311" i="1"/>
  <c r="AW322" i="1"/>
  <c r="AW142" i="1"/>
  <c r="AW156" i="1"/>
  <c r="AW170" i="1"/>
  <c r="AW202" i="1"/>
  <c r="AW217" i="1"/>
  <c r="AW242" i="1"/>
  <c r="AW257" i="1"/>
  <c r="AW272" i="1"/>
  <c r="AW286" i="1"/>
  <c r="AW95" i="1"/>
  <c r="AW138" i="1"/>
  <c r="AW167" i="1"/>
  <c r="AW184" i="1"/>
  <c r="AW199" i="1"/>
  <c r="AW253" i="1"/>
  <c r="AW268" i="1"/>
  <c r="AW290" i="1"/>
  <c r="AW303" i="1"/>
  <c r="AW92" i="1"/>
  <c r="AW121" i="1"/>
  <c r="AW135" i="1"/>
  <c r="AW151" i="1"/>
  <c r="AW196" i="1"/>
  <c r="AW210" i="1"/>
  <c r="AW237" i="1"/>
  <c r="AW66" i="1"/>
  <c r="AW33" i="1"/>
  <c r="AW100" i="1"/>
  <c r="AW124" i="1"/>
  <c r="AW132" i="1"/>
  <c r="AW192" i="1"/>
  <c r="AW206" i="1"/>
  <c r="AW127" i="1"/>
  <c r="AW89" i="1"/>
  <c r="AW111" i="1"/>
  <c r="AW117" i="1"/>
  <c r="AW143" i="1"/>
  <c r="AW157" i="1"/>
  <c r="AW171" i="1"/>
  <c r="AW203" i="1"/>
  <c r="AW218" i="1"/>
  <c r="AW29" i="1"/>
  <c r="AW74" i="1"/>
  <c r="AW128" i="1"/>
  <c r="AW139" i="1"/>
  <c r="AW154" i="1"/>
  <c r="AW200" i="1"/>
  <c r="AW37" i="1"/>
  <c r="AW70" i="1"/>
  <c r="AW96" i="1"/>
  <c r="AW97" i="1"/>
  <c r="AW122" i="1"/>
  <c r="AW136" i="1"/>
  <c r="AW152" i="1"/>
  <c r="AW165" i="1"/>
  <c r="AW179" i="1"/>
  <c r="AW186" i="1"/>
  <c r="AW193" i="1"/>
  <c r="AW197" i="1"/>
  <c r="AW201" i="1"/>
  <c r="AW204" i="1"/>
  <c r="AW207" i="1"/>
  <c r="AW211" i="1"/>
  <c r="AW215" i="1"/>
  <c r="AW219" i="1"/>
  <c r="AW222" i="1"/>
  <c r="AW238" i="1"/>
  <c r="AW273" i="1"/>
  <c r="AW284" i="1"/>
  <c r="AW326" i="1"/>
  <c r="AW248" i="1"/>
  <c r="AW259" i="1"/>
  <c r="AW270" i="1"/>
  <c r="AW281" i="1"/>
  <c r="AW297" i="1"/>
  <c r="AW168" i="1"/>
  <c r="AW120" i="1"/>
  <c r="AW27" i="1"/>
  <c r="AW75" i="1"/>
  <c r="AW108" i="1"/>
  <c r="AW148" i="1"/>
  <c r="AW176" i="1"/>
  <c r="AW247" i="1"/>
  <c r="AW269" i="1"/>
  <c r="AW291" i="1"/>
  <c r="AW304" i="1"/>
  <c r="AW308" i="1"/>
  <c r="AW316" i="1"/>
  <c r="AW323" i="1"/>
  <c r="AW266" i="1"/>
  <c r="AW309" i="1"/>
  <c r="AW185" i="1"/>
  <c r="AW214" i="1"/>
  <c r="AW35" i="1"/>
  <c r="AW73" i="1"/>
  <c r="AW118" i="1"/>
  <c r="AW125" i="1"/>
  <c r="AW144" i="1"/>
  <c r="AW172" i="1"/>
  <c r="AW72" i="1"/>
  <c r="AW109" i="1"/>
  <c r="AW258" i="1"/>
  <c r="AW280" i="1"/>
  <c r="AW318" i="1"/>
  <c r="AW255" i="1"/>
  <c r="AW263" i="1"/>
  <c r="AW277" i="1"/>
  <c r="AW294" i="1"/>
  <c r="AW305" i="1"/>
  <c r="AW181" i="1"/>
  <c r="AW131" i="1"/>
  <c r="AW112" i="1"/>
  <c r="AW129" i="1"/>
  <c r="AW169" i="1"/>
  <c r="AW254" i="1"/>
  <c r="AW276" i="1"/>
  <c r="AW240" i="1"/>
  <c r="AW274" i="1"/>
  <c r="AW285" i="1"/>
  <c r="AW292" i="1"/>
  <c r="AW275" i="1"/>
  <c r="AW256" i="1"/>
  <c r="AW260" i="1"/>
  <c r="AW264" i="1"/>
  <c r="AW267" i="1"/>
  <c r="AW271" i="1"/>
  <c r="AW289" i="1"/>
  <c r="AW241" i="1"/>
  <c r="AW245" i="1"/>
  <c r="AW298" i="1"/>
  <c r="AW325" i="1"/>
  <c r="AW278" i="1"/>
  <c r="AW310" i="1"/>
  <c r="AA1" i="6"/>
  <c r="AA2" i="6"/>
  <c r="AF50" i="8"/>
  <c r="B48" i="10" s="1"/>
  <c r="B45" i="10"/>
  <c r="AY23" i="1"/>
  <c r="AX26" i="1"/>
  <c r="AF17" i="8"/>
  <c r="B15" i="10" s="1"/>
  <c r="AF16" i="8"/>
  <c r="B14" i="10" s="1"/>
  <c r="AX22" i="1"/>
  <c r="AA186" i="6" l="1"/>
  <c r="AA191" i="6"/>
  <c r="AA187" i="6"/>
  <c r="AA192" i="6"/>
  <c r="AA188" i="6"/>
  <c r="AA189" i="6"/>
  <c r="AA56" i="6"/>
  <c r="AA159" i="6"/>
  <c r="AA75" i="6"/>
  <c r="AA210" i="6"/>
  <c r="AA166" i="6"/>
  <c r="AA158" i="6"/>
  <c r="AA62" i="6"/>
  <c r="AA50" i="6"/>
  <c r="AA38" i="6"/>
  <c r="AA23" i="6"/>
  <c r="AA240" i="6"/>
  <c r="AA236" i="6"/>
  <c r="AA19" i="6"/>
  <c r="AA260" i="6"/>
  <c r="AA257" i="6"/>
  <c r="AA228" i="6"/>
  <c r="AA220" i="6"/>
  <c r="AA202" i="6"/>
  <c r="AA194" i="6"/>
  <c r="AA152" i="6"/>
  <c r="AA136" i="6"/>
  <c r="AA144" i="6"/>
  <c r="AA78" i="6"/>
  <c r="AA21" i="6"/>
  <c r="AA140" i="6"/>
  <c r="AA49" i="6"/>
  <c r="AA45" i="6"/>
  <c r="AA41" i="6"/>
  <c r="AA36" i="6"/>
  <c r="AA32" i="6"/>
  <c r="AA28" i="6"/>
  <c r="AA259" i="6"/>
  <c r="AA151" i="6"/>
  <c r="AA147" i="6"/>
  <c r="AA143" i="6"/>
  <c r="AA139" i="6"/>
  <c r="AA135" i="6"/>
  <c r="AA235" i="6"/>
  <c r="AA223" i="6"/>
  <c r="AA219" i="6"/>
  <c r="AA209" i="6"/>
  <c r="AA127" i="6"/>
  <c r="AA20" i="6"/>
  <c r="AA258" i="6"/>
  <c r="AA254" i="6"/>
  <c r="AA58" i="6"/>
  <c r="AA35" i="6"/>
  <c r="AA31" i="6"/>
  <c r="AA27" i="6"/>
  <c r="AA99" i="6"/>
  <c r="AA81" i="6"/>
  <c r="AA77" i="6"/>
  <c r="AA53" i="6"/>
  <c r="AA234" i="6"/>
  <c r="AA218" i="6"/>
  <c r="AA208" i="6"/>
  <c r="AA190" i="6"/>
  <c r="AA142" i="6"/>
  <c r="AA138" i="6"/>
  <c r="AA134" i="6"/>
  <c r="AA66" i="6"/>
  <c r="AA61" i="6"/>
  <c r="AA39" i="6"/>
  <c r="AA34" i="6"/>
  <c r="AA30" i="6"/>
  <c r="AA26" i="6"/>
  <c r="AA261" i="6"/>
  <c r="AA233" i="6"/>
  <c r="AA213" i="6"/>
  <c r="AA195" i="6"/>
  <c r="AA185" i="6"/>
  <c r="AA169" i="6"/>
  <c r="AA157" i="6"/>
  <c r="AA145" i="6"/>
  <c r="AA141" i="6"/>
  <c r="AA137" i="6"/>
  <c r="AA105" i="6"/>
  <c r="AA93" i="6"/>
  <c r="AA52" i="6"/>
  <c r="AA69" i="6"/>
  <c r="AA51" i="6"/>
  <c r="AA46" i="6"/>
  <c r="AA22" i="6"/>
  <c r="AA24" i="6"/>
  <c r="AA167" i="6"/>
  <c r="AA76" i="6"/>
  <c r="AA25" i="6"/>
  <c r="AA90" i="6"/>
  <c r="AA211" i="6"/>
  <c r="AA91" i="6"/>
  <c r="AA244" i="6"/>
  <c r="AA256" i="6"/>
  <c r="AA252" i="6"/>
  <c r="AA232" i="6"/>
  <c r="AA248" i="6"/>
  <c r="AA255" i="6"/>
  <c r="AA224" i="6"/>
  <c r="AA216" i="6"/>
  <c r="AA212" i="6"/>
  <c r="AA206" i="6"/>
  <c r="AA198" i="6"/>
  <c r="AA184" i="6"/>
  <c r="AA180" i="6"/>
  <c r="AA176" i="6"/>
  <c r="AA172" i="6"/>
  <c r="AA168" i="6"/>
  <c r="AA162" i="6"/>
  <c r="AA156" i="6"/>
  <c r="AA148" i="6"/>
  <c r="AA112" i="6"/>
  <c r="AA108" i="6"/>
  <c r="AA100" i="6"/>
  <c r="AA86" i="6"/>
  <c r="AA82" i="6"/>
  <c r="AA132" i="6"/>
  <c r="AA128" i="6"/>
  <c r="AA124" i="6"/>
  <c r="AA120" i="6"/>
  <c r="AA116" i="6"/>
  <c r="AA72" i="6"/>
  <c r="AA59" i="6"/>
  <c r="AA68" i="6"/>
  <c r="AA54" i="6"/>
  <c r="AA104" i="6"/>
  <c r="AA96" i="6"/>
  <c r="AA92" i="6"/>
  <c r="AA155" i="6"/>
  <c r="AA119" i="6"/>
  <c r="AA103" i="6"/>
  <c r="AA247" i="6"/>
  <c r="AA227" i="6"/>
  <c r="AA205" i="6"/>
  <c r="AA201" i="6"/>
  <c r="AA197" i="6"/>
  <c r="AA193" i="6"/>
  <c r="AA183" i="6"/>
  <c r="AA179" i="6"/>
  <c r="AA175" i="6"/>
  <c r="AA171" i="6"/>
  <c r="AA165" i="6"/>
  <c r="AA161" i="6"/>
  <c r="AA64" i="6"/>
  <c r="AA215" i="6"/>
  <c r="AA131" i="6"/>
  <c r="AA115" i="6"/>
  <c r="AA111" i="6"/>
  <c r="AA250" i="6"/>
  <c r="AA107" i="6"/>
  <c r="AA89" i="6"/>
  <c r="AA71" i="6"/>
  <c r="AA67" i="6"/>
  <c r="AA63" i="6"/>
  <c r="AA251" i="6"/>
  <c r="AA243" i="6"/>
  <c r="AA239" i="6"/>
  <c r="AA231" i="6"/>
  <c r="AA226" i="6"/>
  <c r="AA95" i="6"/>
  <c r="AA85" i="6"/>
  <c r="AA40" i="6"/>
  <c r="AA123" i="6"/>
  <c r="AA48" i="6"/>
  <c r="AA44" i="6"/>
  <c r="AA246" i="6"/>
  <c r="AA242" i="6"/>
  <c r="AA230" i="6"/>
  <c r="AA222" i="6"/>
  <c r="AA214" i="6"/>
  <c r="AA204" i="6"/>
  <c r="AA200" i="6"/>
  <c r="AA196" i="6"/>
  <c r="AA182" i="6"/>
  <c r="AA178" i="6"/>
  <c r="AA174" i="6"/>
  <c r="AA170" i="6"/>
  <c r="AA164" i="6"/>
  <c r="AA160" i="6"/>
  <c r="AA154" i="6"/>
  <c r="AA150" i="6"/>
  <c r="AA146" i="6"/>
  <c r="AA130" i="6"/>
  <c r="AA126" i="6"/>
  <c r="AA122" i="6"/>
  <c r="AA118" i="6"/>
  <c r="AA114" i="6"/>
  <c r="AA110" i="6"/>
  <c r="AA106" i="6"/>
  <c r="AA102" i="6"/>
  <c r="AA98" i="6"/>
  <c r="AA94" i="6"/>
  <c r="AA88" i="6"/>
  <c r="AA84" i="6"/>
  <c r="AA80" i="6"/>
  <c r="AA238" i="6"/>
  <c r="AA57" i="6"/>
  <c r="AA253" i="6"/>
  <c r="AA249" i="6"/>
  <c r="AA245" i="6"/>
  <c r="AA241" i="6"/>
  <c r="AA237" i="6"/>
  <c r="AA225" i="6"/>
  <c r="AA221" i="6"/>
  <c r="AA217" i="6"/>
  <c r="AA207" i="6"/>
  <c r="AA203" i="6"/>
  <c r="AA199" i="6"/>
  <c r="AA181" i="6"/>
  <c r="AA177" i="6"/>
  <c r="AA173" i="6"/>
  <c r="AA163" i="6"/>
  <c r="AA153" i="6"/>
  <c r="AA149" i="6"/>
  <c r="AA133" i="6"/>
  <c r="AA129" i="6"/>
  <c r="AA125" i="6"/>
  <c r="AA121" i="6"/>
  <c r="AA117" i="6"/>
  <c r="AA113" i="6"/>
  <c r="AA109" i="6"/>
  <c r="AA97" i="6"/>
  <c r="AA87" i="6"/>
  <c r="AA70" i="6"/>
  <c r="AA47" i="6"/>
  <c r="AA43" i="6"/>
  <c r="AA229" i="6"/>
  <c r="AA74" i="6"/>
  <c r="AA83" i="6"/>
  <c r="AA73" i="6"/>
  <c r="AA65" i="6"/>
  <c r="AA42" i="6"/>
  <c r="AA37" i="6"/>
  <c r="AA33" i="6"/>
  <c r="AA29" i="6"/>
  <c r="AA101" i="6"/>
  <c r="AA79" i="6"/>
  <c r="AA60" i="6"/>
  <c r="AA55" i="6"/>
  <c r="AX360" i="1"/>
  <c r="AX350" i="1"/>
  <c r="AX352" i="1"/>
  <c r="AY56" i="1"/>
  <c r="AY155" i="1"/>
  <c r="AX106" i="1"/>
  <c r="AX362" i="1"/>
  <c r="AX363" i="1"/>
  <c r="AX361" i="1"/>
  <c r="AY364" i="1"/>
  <c r="AY365" i="1"/>
  <c r="Z10" i="6"/>
  <c r="Z14" i="6"/>
  <c r="Z12" i="6"/>
  <c r="Z11" i="6"/>
  <c r="Z9" i="6"/>
  <c r="Z13" i="6"/>
  <c r="Z8" i="6"/>
  <c r="AY369" i="1"/>
  <c r="AY368" i="1"/>
  <c r="AY371" i="1"/>
  <c r="AY372" i="1"/>
  <c r="AY370" i="1"/>
  <c r="AX302" i="1"/>
  <c r="AX330" i="1"/>
  <c r="AY79" i="1"/>
  <c r="AY50" i="1"/>
  <c r="AX336" i="1"/>
  <c r="AY358" i="1"/>
  <c r="AY359" i="1"/>
  <c r="AY354" i="1"/>
  <c r="AY356" i="1"/>
  <c r="AY357" i="1"/>
  <c r="AY355" i="1"/>
  <c r="AX321" i="1"/>
  <c r="AX366" i="1"/>
  <c r="AX367" i="1"/>
  <c r="AX337" i="1"/>
  <c r="AX333" i="1"/>
  <c r="AX332" i="1"/>
  <c r="AX338" i="1"/>
  <c r="AX346" i="1"/>
  <c r="AX344" i="1"/>
  <c r="AX343" i="1"/>
  <c r="AY353" i="1"/>
  <c r="AY351" i="1"/>
  <c r="AX107" i="1"/>
  <c r="AX349" i="1"/>
  <c r="AX341" i="1"/>
  <c r="AX340" i="1"/>
  <c r="AX339" i="1"/>
  <c r="AX342" i="1"/>
  <c r="AX348" i="1"/>
  <c r="AX347" i="1"/>
  <c r="AX345" i="1"/>
  <c r="AX334" i="1"/>
  <c r="AY335" i="1"/>
  <c r="AX306" i="1"/>
  <c r="AX110" i="1"/>
  <c r="AX164" i="1"/>
  <c r="AX78" i="1"/>
  <c r="AX232" i="1"/>
  <c r="AX324" i="1"/>
  <c r="AX287" i="1"/>
  <c r="AX189" i="1"/>
  <c r="AX161" i="1"/>
  <c r="AX236" i="1"/>
  <c r="AX228" i="1"/>
  <c r="AX231" i="1"/>
  <c r="AX182" i="1"/>
  <c r="AX229" i="1"/>
  <c r="AX42" i="1"/>
  <c r="AX213" i="1"/>
  <c r="AX293" i="1"/>
  <c r="AX235" i="1"/>
  <c r="AX239" i="1"/>
  <c r="AX233" i="1"/>
  <c r="AX188" i="1"/>
  <c r="AX58" i="1"/>
  <c r="AB1" i="6"/>
  <c r="AY41" i="1"/>
  <c r="AY31" i="1"/>
  <c r="AY39" i="1"/>
  <c r="AY48" i="1"/>
  <c r="AY63" i="1"/>
  <c r="AY145" i="1"/>
  <c r="AY45" i="1"/>
  <c r="AY61" i="1"/>
  <c r="AY82" i="1"/>
  <c r="AY85" i="1"/>
  <c r="AY90" i="1"/>
  <c r="AY101" i="1"/>
  <c r="AY227" i="1"/>
  <c r="AY43" i="1"/>
  <c r="AY103" i="1"/>
  <c r="AY52" i="1"/>
  <c r="AY64" i="1"/>
  <c r="AY76" i="1"/>
  <c r="AY113" i="1"/>
  <c r="AY126" i="1"/>
  <c r="AY133" i="1"/>
  <c r="AY49" i="1"/>
  <c r="AY283" i="1"/>
  <c r="AY307" i="1"/>
  <c r="AY28" i="1"/>
  <c r="AY54" i="1"/>
  <c r="AY65" i="1"/>
  <c r="AY86" i="1"/>
  <c r="AY146" i="1"/>
  <c r="AY159" i="1"/>
  <c r="AY123" i="1"/>
  <c r="AY224" i="1"/>
  <c r="AY32" i="1"/>
  <c r="AY46" i="1"/>
  <c r="AY77" i="1"/>
  <c r="AY178" i="1"/>
  <c r="AY114" i="1"/>
  <c r="AY147" i="1"/>
  <c r="AY160" i="1"/>
  <c r="AY175" i="1"/>
  <c r="AY40" i="1"/>
  <c r="AY55" i="1"/>
  <c r="AY83" i="1"/>
  <c r="AY93" i="1"/>
  <c r="AY225" i="1"/>
  <c r="AY329" i="1"/>
  <c r="AY91" i="1"/>
  <c r="AY94" i="1"/>
  <c r="AY158" i="1"/>
  <c r="AY59" i="1"/>
  <c r="AY251" i="1"/>
  <c r="AY301" i="1"/>
  <c r="AY317" i="1"/>
  <c r="AY331" i="1"/>
  <c r="AY53" i="1"/>
  <c r="AY80" i="1"/>
  <c r="AY30" i="1"/>
  <c r="AY38" i="1"/>
  <c r="AY47" i="1"/>
  <c r="AY57" i="1"/>
  <c r="AY81" i="1"/>
  <c r="AY84" i="1"/>
  <c r="AY104" i="1"/>
  <c r="AY140" i="1"/>
  <c r="AY230" i="1"/>
  <c r="AY288" i="1"/>
  <c r="AY313" i="1"/>
  <c r="AY327" i="1"/>
  <c r="AY62" i="1"/>
  <c r="AY115" i="1"/>
  <c r="AY226" i="1"/>
  <c r="AY243" i="1"/>
  <c r="AY300" i="1"/>
  <c r="AY71" i="1"/>
  <c r="AY44" i="1"/>
  <c r="AY102" i="1"/>
  <c r="AY34" i="1"/>
  <c r="AY36" i="1"/>
  <c r="AY51" i="1"/>
  <c r="AY60" i="1"/>
  <c r="AY68" i="1"/>
  <c r="AY87" i="1"/>
  <c r="AY234" i="1"/>
  <c r="AY67" i="1"/>
  <c r="AY296" i="1"/>
  <c r="AY312" i="1"/>
  <c r="AY262" i="1"/>
  <c r="AY244" i="1"/>
  <c r="AY319" i="1"/>
  <c r="AY320" i="1"/>
  <c r="AY328" i="1"/>
  <c r="AY314" i="1"/>
  <c r="AY249" i="1"/>
  <c r="AY282" i="1"/>
  <c r="AX35" i="1"/>
  <c r="AX88" i="1"/>
  <c r="AX98" i="1"/>
  <c r="AX105" i="1"/>
  <c r="AX119" i="1"/>
  <c r="AX149" i="1"/>
  <c r="AX162" i="1"/>
  <c r="AX177" i="1"/>
  <c r="AX72" i="1"/>
  <c r="AX173" i="1"/>
  <c r="AX183" i="1"/>
  <c r="AX198" i="1"/>
  <c r="AX212" i="1"/>
  <c r="AX69" i="1"/>
  <c r="AX95" i="1"/>
  <c r="AX109" i="1"/>
  <c r="AX130" i="1"/>
  <c r="AX141" i="1"/>
  <c r="AX187" i="1"/>
  <c r="AX190" i="1"/>
  <c r="AX194" i="1"/>
  <c r="AX208" i="1"/>
  <c r="AX216" i="1"/>
  <c r="AX220" i="1"/>
  <c r="AX223" i="1"/>
  <c r="AX127" i="1"/>
  <c r="AX66" i="1"/>
  <c r="AX137" i="1"/>
  <c r="AX153" i="1"/>
  <c r="AX166" i="1"/>
  <c r="AX191" i="1"/>
  <c r="AX205" i="1"/>
  <c r="AX221" i="1"/>
  <c r="AX295" i="1"/>
  <c r="AX311" i="1"/>
  <c r="AX322" i="1"/>
  <c r="AX202" i="1"/>
  <c r="AX217" i="1"/>
  <c r="AX73" i="1"/>
  <c r="AX116" i="1"/>
  <c r="AX174" i="1"/>
  <c r="AX184" i="1"/>
  <c r="AX199" i="1"/>
  <c r="AX246" i="1"/>
  <c r="AX261" i="1"/>
  <c r="AX290" i="1"/>
  <c r="AX303" i="1"/>
  <c r="AX134" i="1"/>
  <c r="AX138" i="1"/>
  <c r="AX142" i="1"/>
  <c r="AX150" i="1"/>
  <c r="AX156" i="1"/>
  <c r="AX163" i="1"/>
  <c r="AX167" i="1"/>
  <c r="AX170" i="1"/>
  <c r="AX180" i="1"/>
  <c r="AX195" i="1"/>
  <c r="AX209" i="1"/>
  <c r="AX242" i="1"/>
  <c r="AX250" i="1"/>
  <c r="AX253" i="1"/>
  <c r="AX257" i="1"/>
  <c r="AX265" i="1"/>
  <c r="AX268" i="1"/>
  <c r="AX272" i="1"/>
  <c r="AX279" i="1"/>
  <c r="AX286" i="1"/>
  <c r="AX299" i="1"/>
  <c r="AX315" i="1"/>
  <c r="AX33" i="1"/>
  <c r="AX100" i="1"/>
  <c r="AX124" i="1"/>
  <c r="AX132" i="1"/>
  <c r="AX192" i="1"/>
  <c r="AX206" i="1"/>
  <c r="AX37" i="1"/>
  <c r="AX89" i="1"/>
  <c r="AX111" i="1"/>
  <c r="AX117" i="1"/>
  <c r="AX143" i="1"/>
  <c r="AX157" i="1"/>
  <c r="AX171" i="1"/>
  <c r="AX203" i="1"/>
  <c r="AX218" i="1"/>
  <c r="AX70" i="1"/>
  <c r="AX29" i="1"/>
  <c r="AX74" i="1"/>
  <c r="AX128" i="1"/>
  <c r="AX139" i="1"/>
  <c r="AX154" i="1"/>
  <c r="AX168" i="1"/>
  <c r="AX185" i="1"/>
  <c r="AX200" i="1"/>
  <c r="AX214" i="1"/>
  <c r="AX92" i="1"/>
  <c r="AX121" i="1"/>
  <c r="AX135" i="1"/>
  <c r="AX151" i="1"/>
  <c r="AX196" i="1"/>
  <c r="AX96" i="1"/>
  <c r="AX120" i="1"/>
  <c r="AX131" i="1"/>
  <c r="AX27" i="1"/>
  <c r="AX75" i="1"/>
  <c r="AX108" i="1"/>
  <c r="AX148" i="1"/>
  <c r="AX176" i="1"/>
  <c r="AX193" i="1"/>
  <c r="AX207" i="1"/>
  <c r="AX222" i="1"/>
  <c r="AX247" i="1"/>
  <c r="AX269" i="1"/>
  <c r="AX323" i="1"/>
  <c r="AX266" i="1"/>
  <c r="AX294" i="1"/>
  <c r="AX237" i="1"/>
  <c r="AX118" i="1"/>
  <c r="AX125" i="1"/>
  <c r="AX144" i="1"/>
  <c r="AX172" i="1"/>
  <c r="AX204" i="1"/>
  <c r="AX219" i="1"/>
  <c r="AX258" i="1"/>
  <c r="AX280" i="1"/>
  <c r="AX308" i="1"/>
  <c r="AX316" i="1"/>
  <c r="AX318" i="1"/>
  <c r="AX255" i="1"/>
  <c r="AX263" i="1"/>
  <c r="AX277" i="1"/>
  <c r="AX297" i="1"/>
  <c r="AX181" i="1"/>
  <c r="AX210" i="1"/>
  <c r="AX99" i="1"/>
  <c r="AX112" i="1"/>
  <c r="AX129" i="1"/>
  <c r="AX169" i="1"/>
  <c r="AX186" i="1"/>
  <c r="AX201" i="1"/>
  <c r="AX215" i="1"/>
  <c r="AX254" i="1"/>
  <c r="AX276" i="1"/>
  <c r="AX291" i="1"/>
  <c r="AX304" i="1"/>
  <c r="AX240" i="1"/>
  <c r="AX274" i="1"/>
  <c r="AX285" i="1"/>
  <c r="AX305" i="1"/>
  <c r="AX309" i="1"/>
  <c r="AX97" i="1"/>
  <c r="AX122" i="1"/>
  <c r="AX136" i="1"/>
  <c r="AX152" i="1"/>
  <c r="AX165" i="1"/>
  <c r="AX179" i="1"/>
  <c r="AX197" i="1"/>
  <c r="AX211" i="1"/>
  <c r="AX238" i="1"/>
  <c r="AX273" i="1"/>
  <c r="AX284" i="1"/>
  <c r="AX326" i="1"/>
  <c r="AX248" i="1"/>
  <c r="AX259" i="1"/>
  <c r="AX270" i="1"/>
  <c r="AX281" i="1"/>
  <c r="AX292" i="1"/>
  <c r="AX260" i="1"/>
  <c r="AX289" i="1"/>
  <c r="AX245" i="1"/>
  <c r="AX256" i="1"/>
  <c r="AX271" i="1"/>
  <c r="AX278" i="1"/>
  <c r="AX298" i="1"/>
  <c r="AX241" i="1"/>
  <c r="AX267" i="1"/>
  <c r="AX310" i="1"/>
  <c r="AX325" i="1"/>
  <c r="AX252" i="1"/>
  <c r="AX264" i="1"/>
  <c r="AX275" i="1"/>
  <c r="AF51" i="8"/>
  <c r="B49" i="10" s="1"/>
  <c r="AB2" i="6"/>
  <c r="AF49" i="8"/>
  <c r="AZ23" i="1"/>
  <c r="AY26" i="1"/>
  <c r="AF19" i="8"/>
  <c r="B17" i="10" s="1"/>
  <c r="AY22" i="1"/>
  <c r="AB211" i="6" l="1"/>
  <c r="AB91" i="6"/>
  <c r="AB76" i="6"/>
  <c r="AB90" i="6"/>
  <c r="AB167" i="6"/>
  <c r="AB24" i="6"/>
  <c r="AB25" i="6"/>
  <c r="AB224" i="6"/>
  <c r="AB216" i="6"/>
  <c r="AB206" i="6"/>
  <c r="AB255" i="6"/>
  <c r="AB256" i="6"/>
  <c r="AB252" i="6"/>
  <c r="AB248" i="6"/>
  <c r="AB244" i="6"/>
  <c r="AB232" i="6"/>
  <c r="AB212" i="6"/>
  <c r="AB156" i="6"/>
  <c r="AB148" i="6"/>
  <c r="AB198" i="6"/>
  <c r="AB184" i="6"/>
  <c r="AB176" i="6"/>
  <c r="AB168" i="6"/>
  <c r="AB104" i="6"/>
  <c r="AB100" i="6"/>
  <c r="AB96" i="6"/>
  <c r="AB92" i="6"/>
  <c r="AB86" i="6"/>
  <c r="AB82" i="6"/>
  <c r="AB132" i="6"/>
  <c r="AB128" i="6"/>
  <c r="AB124" i="6"/>
  <c r="AB120" i="6"/>
  <c r="AB116" i="6"/>
  <c r="AB112" i="6"/>
  <c r="AB180" i="6"/>
  <c r="AB172" i="6"/>
  <c r="AB162" i="6"/>
  <c r="AB108" i="6"/>
  <c r="AB72" i="6"/>
  <c r="AB68" i="6"/>
  <c r="AB64" i="6"/>
  <c r="AB59" i="6"/>
  <c r="AB54" i="6"/>
  <c r="AB215" i="6"/>
  <c r="AB247" i="6"/>
  <c r="AB155" i="6"/>
  <c r="AB131" i="6"/>
  <c r="AB123" i="6"/>
  <c r="AB119" i="6"/>
  <c r="AB115" i="6"/>
  <c r="AB227" i="6"/>
  <c r="AB205" i="6"/>
  <c r="AB201" i="6"/>
  <c r="AB197" i="6"/>
  <c r="AB193" i="6"/>
  <c r="AB183" i="6"/>
  <c r="AB179" i="6"/>
  <c r="AB175" i="6"/>
  <c r="AB171" i="6"/>
  <c r="AB165" i="6"/>
  <c r="AB161" i="6"/>
  <c r="AB111" i="6"/>
  <c r="AB95" i="6"/>
  <c r="AB85" i="6"/>
  <c r="AB71" i="6"/>
  <c r="AB67" i="6"/>
  <c r="AB63" i="6"/>
  <c r="AB40" i="6"/>
  <c r="AB251" i="6"/>
  <c r="AB243" i="6"/>
  <c r="AB239" i="6"/>
  <c r="AB231" i="6"/>
  <c r="AB250" i="6"/>
  <c r="AB246" i="6"/>
  <c r="AB242" i="6"/>
  <c r="AB238" i="6"/>
  <c r="AB230" i="6"/>
  <c r="AB103" i="6"/>
  <c r="AB89" i="6"/>
  <c r="AB48" i="6"/>
  <c r="AB44" i="6"/>
  <c r="AB107" i="6"/>
  <c r="AB226" i="6"/>
  <c r="AB214" i="6"/>
  <c r="AB154" i="6"/>
  <c r="AB150" i="6"/>
  <c r="AB146" i="6"/>
  <c r="AB130" i="6"/>
  <c r="AB126" i="6"/>
  <c r="AB122" i="6"/>
  <c r="AB118" i="6"/>
  <c r="AB114" i="6"/>
  <c r="AB110" i="6"/>
  <c r="AB106" i="6"/>
  <c r="AB102" i="6"/>
  <c r="AB98" i="6"/>
  <c r="AB94" i="6"/>
  <c r="AB88" i="6"/>
  <c r="AB84" i="6"/>
  <c r="AB80" i="6"/>
  <c r="AB222" i="6"/>
  <c r="AB204" i="6"/>
  <c r="AB200" i="6"/>
  <c r="AB196" i="6"/>
  <c r="AB182" i="6"/>
  <c r="AB178" i="6"/>
  <c r="AB174" i="6"/>
  <c r="AB170" i="6"/>
  <c r="AB164" i="6"/>
  <c r="AB160" i="6"/>
  <c r="AB47" i="6"/>
  <c r="AB43" i="6"/>
  <c r="AB253" i="6"/>
  <c r="AB249" i="6"/>
  <c r="AB245" i="6"/>
  <c r="AB241" i="6"/>
  <c r="AB237" i="6"/>
  <c r="AB153" i="6"/>
  <c r="AB149" i="6"/>
  <c r="AB133" i="6"/>
  <c r="AB129" i="6"/>
  <c r="AB125" i="6"/>
  <c r="AB121" i="6"/>
  <c r="AB117" i="6"/>
  <c r="AB113" i="6"/>
  <c r="AB109" i="6"/>
  <c r="AB101" i="6"/>
  <c r="AB97" i="6"/>
  <c r="AB87" i="6"/>
  <c r="AB83" i="6"/>
  <c r="AB74" i="6"/>
  <c r="AB225" i="6"/>
  <c r="AB221" i="6"/>
  <c r="AB217" i="6"/>
  <c r="AB207" i="6"/>
  <c r="AB203" i="6"/>
  <c r="AB199" i="6"/>
  <c r="AB181" i="6"/>
  <c r="AB177" i="6"/>
  <c r="AB173" i="6"/>
  <c r="AB163" i="6"/>
  <c r="AB57" i="6"/>
  <c r="AB229" i="6"/>
  <c r="AB70" i="6"/>
  <c r="AB79" i="6"/>
  <c r="AB73" i="6"/>
  <c r="AB65" i="6"/>
  <c r="AB60" i="6"/>
  <c r="AB55" i="6"/>
  <c r="AB42" i="6"/>
  <c r="AB37" i="6"/>
  <c r="AB33" i="6"/>
  <c r="AB29" i="6"/>
  <c r="AB188" i="6"/>
  <c r="AB187" i="6"/>
  <c r="AB192" i="6"/>
  <c r="AB189" i="6"/>
  <c r="AB186" i="6"/>
  <c r="AB191" i="6"/>
  <c r="AB23" i="6"/>
  <c r="AB210" i="6"/>
  <c r="AB166" i="6"/>
  <c r="AB158" i="6"/>
  <c r="AB62" i="6"/>
  <c r="AB38" i="6"/>
  <c r="AB56" i="6"/>
  <c r="AB159" i="6"/>
  <c r="AB75" i="6"/>
  <c r="AB50" i="6"/>
  <c r="AB19" i="6"/>
  <c r="AB228" i="6"/>
  <c r="AB220" i="6"/>
  <c r="AB257" i="6"/>
  <c r="AB260" i="6"/>
  <c r="AB240" i="6"/>
  <c r="AB236" i="6"/>
  <c r="AB202" i="6"/>
  <c r="AB152" i="6"/>
  <c r="AB144" i="6"/>
  <c r="AB140" i="6"/>
  <c r="AB136" i="6"/>
  <c r="AB194" i="6"/>
  <c r="AB41" i="6"/>
  <c r="AB36" i="6"/>
  <c r="AB32" i="6"/>
  <c r="AB28" i="6"/>
  <c r="AB21" i="6"/>
  <c r="AB259" i="6"/>
  <c r="AB78" i="6"/>
  <c r="AB49" i="6"/>
  <c r="AB45" i="6"/>
  <c r="AB235" i="6"/>
  <c r="AB151" i="6"/>
  <c r="AB147" i="6"/>
  <c r="AB143" i="6"/>
  <c r="AB139" i="6"/>
  <c r="AB135" i="6"/>
  <c r="AB127" i="6"/>
  <c r="AB223" i="6"/>
  <c r="AB219" i="6"/>
  <c r="AB209" i="6"/>
  <c r="AB99" i="6"/>
  <c r="AB81" i="6"/>
  <c r="AB77" i="6"/>
  <c r="AB58" i="6"/>
  <c r="AB35" i="6"/>
  <c r="AB31" i="6"/>
  <c r="AB27" i="6"/>
  <c r="AB20" i="6"/>
  <c r="AB258" i="6"/>
  <c r="AB254" i="6"/>
  <c r="AB234" i="6"/>
  <c r="AB53" i="6"/>
  <c r="AB142" i="6"/>
  <c r="AB138" i="6"/>
  <c r="AB134" i="6"/>
  <c r="AB218" i="6"/>
  <c r="AB208" i="6"/>
  <c r="AB190" i="6"/>
  <c r="AB66" i="6"/>
  <c r="AB61" i="6"/>
  <c r="AB52" i="6"/>
  <c r="AB39" i="6"/>
  <c r="AB34" i="6"/>
  <c r="AB30" i="6"/>
  <c r="AB26" i="6"/>
  <c r="AB261" i="6"/>
  <c r="AB233" i="6"/>
  <c r="AB213" i="6"/>
  <c r="AB157" i="6"/>
  <c r="AB145" i="6"/>
  <c r="AB141" i="6"/>
  <c r="AB137" i="6"/>
  <c r="AB105" i="6"/>
  <c r="AB93" i="6"/>
  <c r="AB195" i="6"/>
  <c r="AB185" i="6"/>
  <c r="AB169" i="6"/>
  <c r="AB69" i="6"/>
  <c r="AB51" i="6"/>
  <c r="AB46" i="6"/>
  <c r="AB22" i="6"/>
  <c r="AZ155" i="1"/>
  <c r="AZ56" i="1"/>
  <c r="AY360" i="1"/>
  <c r="AY350" i="1"/>
  <c r="AY352" i="1"/>
  <c r="AY106" i="1"/>
  <c r="AY361" i="1"/>
  <c r="AY363" i="1"/>
  <c r="AY362" i="1"/>
  <c r="AZ364" i="1"/>
  <c r="AZ365" i="1"/>
  <c r="AA11" i="6"/>
  <c r="AA14" i="6"/>
  <c r="AA9" i="6"/>
  <c r="AA10" i="6"/>
  <c r="AA12" i="6"/>
  <c r="AA13" i="6"/>
  <c r="AA8" i="6"/>
  <c r="AZ370" i="1"/>
  <c r="AZ368" i="1"/>
  <c r="AZ372" i="1"/>
  <c r="AZ369" i="1"/>
  <c r="AZ371" i="1"/>
  <c r="AY330" i="1"/>
  <c r="AY302" i="1"/>
  <c r="AZ79" i="1"/>
  <c r="AZ50" i="1"/>
  <c r="AY321" i="1"/>
  <c r="AY336" i="1"/>
  <c r="AY366" i="1"/>
  <c r="AY367" i="1"/>
  <c r="AY337" i="1"/>
  <c r="AY332" i="1"/>
  <c r="AZ358" i="1"/>
  <c r="AZ357" i="1"/>
  <c r="AZ355" i="1"/>
  <c r="AZ359" i="1"/>
  <c r="AZ354" i="1"/>
  <c r="AZ356" i="1"/>
  <c r="AY333" i="1"/>
  <c r="AZ353" i="1"/>
  <c r="AZ351" i="1"/>
  <c r="AY344" i="1"/>
  <c r="AY343" i="1"/>
  <c r="AY338" i="1"/>
  <c r="AY346" i="1"/>
  <c r="AY107" i="1"/>
  <c r="AY347" i="1"/>
  <c r="AY345" i="1"/>
  <c r="AY341" i="1"/>
  <c r="AY340" i="1"/>
  <c r="AY339" i="1"/>
  <c r="AY348" i="1"/>
  <c r="AY342" i="1"/>
  <c r="AY349" i="1"/>
  <c r="AY334" i="1"/>
  <c r="AZ335" i="1"/>
  <c r="AY161" i="1"/>
  <c r="AY42" i="1"/>
  <c r="AY229" i="1"/>
  <c r="AY164" i="1"/>
  <c r="AY213" i="1"/>
  <c r="AY235" i="1"/>
  <c r="AY306" i="1"/>
  <c r="AY287" i="1"/>
  <c r="AY58" i="1"/>
  <c r="AY232" i="1"/>
  <c r="AY239" i="1"/>
  <c r="AY182" i="1"/>
  <c r="AY110" i="1"/>
  <c r="AY228" i="1"/>
  <c r="AY188" i="1"/>
  <c r="AY78" i="1"/>
  <c r="AY324" i="1"/>
  <c r="AY189" i="1"/>
  <c r="AY233" i="1"/>
  <c r="AY236" i="1"/>
  <c r="AY293" i="1"/>
  <c r="AY231" i="1"/>
  <c r="AZ41" i="1"/>
  <c r="AZ45" i="1"/>
  <c r="AZ61" i="1"/>
  <c r="AZ82" i="1"/>
  <c r="AZ85" i="1"/>
  <c r="AZ90" i="1"/>
  <c r="AZ101" i="1"/>
  <c r="AZ227" i="1"/>
  <c r="AZ43" i="1"/>
  <c r="AZ84" i="1"/>
  <c r="AZ34" i="1"/>
  <c r="AZ51" i="1"/>
  <c r="AZ52" i="1"/>
  <c r="AZ64" i="1"/>
  <c r="AZ76" i="1"/>
  <c r="AZ113" i="1"/>
  <c r="AZ126" i="1"/>
  <c r="AZ133" i="1"/>
  <c r="AZ31" i="1"/>
  <c r="AZ39" i="1"/>
  <c r="AZ48" i="1"/>
  <c r="AZ63" i="1"/>
  <c r="AZ145" i="1"/>
  <c r="AZ60" i="1"/>
  <c r="AZ28" i="1"/>
  <c r="AZ224" i="1"/>
  <c r="AZ65" i="1"/>
  <c r="AZ86" i="1"/>
  <c r="AZ146" i="1"/>
  <c r="AZ159" i="1"/>
  <c r="AZ307" i="1"/>
  <c r="AZ123" i="1"/>
  <c r="AZ36" i="1"/>
  <c r="AZ68" i="1"/>
  <c r="AZ49" i="1"/>
  <c r="AZ283" i="1"/>
  <c r="AZ329" i="1"/>
  <c r="AZ114" i="1"/>
  <c r="AZ178" i="1"/>
  <c r="AZ40" i="1"/>
  <c r="AZ55" i="1"/>
  <c r="AZ83" i="1"/>
  <c r="AZ54" i="1"/>
  <c r="AZ62" i="1"/>
  <c r="AZ71" i="1"/>
  <c r="AZ147" i="1"/>
  <c r="AZ160" i="1"/>
  <c r="AZ175" i="1"/>
  <c r="AZ225" i="1"/>
  <c r="AZ93" i="1"/>
  <c r="AZ32" i="1"/>
  <c r="AZ46" i="1"/>
  <c r="AZ77" i="1"/>
  <c r="AZ59" i="1"/>
  <c r="AZ67" i="1"/>
  <c r="AZ103" i="1"/>
  <c r="AZ53" i="1"/>
  <c r="AZ80" i="1"/>
  <c r="AZ87" i="1"/>
  <c r="AZ230" i="1"/>
  <c r="AZ47" i="1"/>
  <c r="AZ251" i="1"/>
  <c r="AZ288" i="1"/>
  <c r="AZ313" i="1"/>
  <c r="AZ327" i="1"/>
  <c r="AZ104" i="1"/>
  <c r="AZ115" i="1"/>
  <c r="AZ226" i="1"/>
  <c r="AZ38" i="1"/>
  <c r="AZ94" i="1"/>
  <c r="AZ262" i="1"/>
  <c r="AZ300" i="1"/>
  <c r="AZ44" i="1"/>
  <c r="AZ102" i="1"/>
  <c r="AZ81" i="1"/>
  <c r="AZ140" i="1"/>
  <c r="AZ30" i="1"/>
  <c r="AZ296" i="1"/>
  <c r="AZ312" i="1"/>
  <c r="AZ244" i="1"/>
  <c r="AZ319" i="1"/>
  <c r="AZ91" i="1"/>
  <c r="AZ158" i="1"/>
  <c r="AZ234" i="1"/>
  <c r="AZ57" i="1"/>
  <c r="AZ243" i="1"/>
  <c r="AZ301" i="1"/>
  <c r="AZ317" i="1"/>
  <c r="AZ328" i="1"/>
  <c r="AZ249" i="1"/>
  <c r="AZ282" i="1"/>
  <c r="AZ314" i="1"/>
  <c r="AZ331" i="1"/>
  <c r="AZ320" i="1"/>
  <c r="AY74" i="1"/>
  <c r="AY72" i="1"/>
  <c r="AY173" i="1"/>
  <c r="AY187" i="1"/>
  <c r="AY216" i="1"/>
  <c r="AY92" i="1"/>
  <c r="AY69" i="1"/>
  <c r="AY95" i="1"/>
  <c r="AY109" i="1"/>
  <c r="AY130" i="1"/>
  <c r="AY141" i="1"/>
  <c r="AY183" i="1"/>
  <c r="AY198" i="1"/>
  <c r="AY212" i="1"/>
  <c r="AY33" i="1"/>
  <c r="AY66" i="1"/>
  <c r="AY137" i="1"/>
  <c r="AY153" i="1"/>
  <c r="AY166" i="1"/>
  <c r="AY194" i="1"/>
  <c r="AY208" i="1"/>
  <c r="AY223" i="1"/>
  <c r="AY35" i="1"/>
  <c r="AY88" i="1"/>
  <c r="AY98" i="1"/>
  <c r="AY105" i="1"/>
  <c r="AY119" i="1"/>
  <c r="AY149" i="1"/>
  <c r="AY162" i="1"/>
  <c r="AY177" i="1"/>
  <c r="AY190" i="1"/>
  <c r="AY220" i="1"/>
  <c r="AY138" i="1"/>
  <c r="AY167" i="1"/>
  <c r="AY180" i="1"/>
  <c r="AY253" i="1"/>
  <c r="AY268" i="1"/>
  <c r="AY134" i="1"/>
  <c r="AY150" i="1"/>
  <c r="AY163" i="1"/>
  <c r="AY250" i="1"/>
  <c r="AY265" i="1"/>
  <c r="AY279" i="1"/>
  <c r="AY290" i="1"/>
  <c r="AY303" i="1"/>
  <c r="AY322" i="1"/>
  <c r="AY99" i="1"/>
  <c r="AY116" i="1"/>
  <c r="AY174" i="1"/>
  <c r="AY202" i="1"/>
  <c r="AY217" i="1"/>
  <c r="AY246" i="1"/>
  <c r="AY261" i="1"/>
  <c r="AY299" i="1"/>
  <c r="AY315" i="1"/>
  <c r="AY142" i="1"/>
  <c r="AY156" i="1"/>
  <c r="AY170" i="1"/>
  <c r="AY184" i="1"/>
  <c r="AY191" i="1"/>
  <c r="AY195" i="1"/>
  <c r="AY199" i="1"/>
  <c r="AY205" i="1"/>
  <c r="AY209" i="1"/>
  <c r="AY221" i="1"/>
  <c r="AY242" i="1"/>
  <c r="AY257" i="1"/>
  <c r="AY272" i="1"/>
  <c r="AY286" i="1"/>
  <c r="AY295" i="1"/>
  <c r="AY311" i="1"/>
  <c r="AY100" i="1"/>
  <c r="AY111" i="1"/>
  <c r="AY121" i="1"/>
  <c r="AY135" i="1"/>
  <c r="AY151" i="1"/>
  <c r="AY203" i="1"/>
  <c r="AY218" i="1"/>
  <c r="AY237" i="1"/>
  <c r="AY29" i="1"/>
  <c r="AY89" i="1"/>
  <c r="AY132" i="1"/>
  <c r="AY139" i="1"/>
  <c r="AY143" i="1"/>
  <c r="AY154" i="1"/>
  <c r="AY157" i="1"/>
  <c r="AY168" i="1"/>
  <c r="AY171" i="1"/>
  <c r="AY185" i="1"/>
  <c r="AY200" i="1"/>
  <c r="AY214" i="1"/>
  <c r="AY128" i="1"/>
  <c r="AY181" i="1"/>
  <c r="AY196" i="1"/>
  <c r="AY210" i="1"/>
  <c r="AY127" i="1"/>
  <c r="AY124" i="1"/>
  <c r="AY206" i="1"/>
  <c r="AY131" i="1"/>
  <c r="AY118" i="1"/>
  <c r="AY125" i="1"/>
  <c r="AY144" i="1"/>
  <c r="AY172" i="1"/>
  <c r="AY204" i="1"/>
  <c r="AY219" i="1"/>
  <c r="AY308" i="1"/>
  <c r="AY318" i="1"/>
  <c r="AY255" i="1"/>
  <c r="AY263" i="1"/>
  <c r="AY277" i="1"/>
  <c r="AY292" i="1"/>
  <c r="AY37" i="1"/>
  <c r="AY70" i="1"/>
  <c r="AY96" i="1"/>
  <c r="AY112" i="1"/>
  <c r="AY129" i="1"/>
  <c r="AY169" i="1"/>
  <c r="AY186" i="1"/>
  <c r="AY201" i="1"/>
  <c r="AY215" i="1"/>
  <c r="AY117" i="1"/>
  <c r="AY247" i="1"/>
  <c r="AY254" i="1"/>
  <c r="AY258" i="1"/>
  <c r="AY291" i="1"/>
  <c r="AY304" i="1"/>
  <c r="AY316" i="1"/>
  <c r="AY240" i="1"/>
  <c r="AY274" i="1"/>
  <c r="AY285" i="1"/>
  <c r="AY297" i="1"/>
  <c r="AY192" i="1"/>
  <c r="AY120" i="1"/>
  <c r="AY97" i="1"/>
  <c r="AY122" i="1"/>
  <c r="AY136" i="1"/>
  <c r="AY152" i="1"/>
  <c r="AY165" i="1"/>
  <c r="AY179" i="1"/>
  <c r="AY197" i="1"/>
  <c r="AY211" i="1"/>
  <c r="AY238" i="1"/>
  <c r="AY280" i="1"/>
  <c r="AY284" i="1"/>
  <c r="AY326" i="1"/>
  <c r="AY248" i="1"/>
  <c r="AY259" i="1"/>
  <c r="AY270" i="1"/>
  <c r="AY281" i="1"/>
  <c r="AY309" i="1"/>
  <c r="AY73" i="1"/>
  <c r="AY27" i="1"/>
  <c r="AY75" i="1"/>
  <c r="AY108" i="1"/>
  <c r="AY148" i="1"/>
  <c r="AY176" i="1"/>
  <c r="AY193" i="1"/>
  <c r="AY207" i="1"/>
  <c r="AY222" i="1"/>
  <c r="AY269" i="1"/>
  <c r="AY273" i="1"/>
  <c r="AY276" i="1"/>
  <c r="AY323" i="1"/>
  <c r="AY266" i="1"/>
  <c r="AY294" i="1"/>
  <c r="AY305" i="1"/>
  <c r="AY245" i="1"/>
  <c r="AY256" i="1"/>
  <c r="AY271" i="1"/>
  <c r="AY278" i="1"/>
  <c r="AY241" i="1"/>
  <c r="AY267" i="1"/>
  <c r="AY289" i="1"/>
  <c r="AY252" i="1"/>
  <c r="AY264" i="1"/>
  <c r="AY275" i="1"/>
  <c r="AY298" i="1"/>
  <c r="AY310" i="1"/>
  <c r="AY260" i="1"/>
  <c r="AY325" i="1"/>
  <c r="AC1" i="6"/>
  <c r="AC2" i="6"/>
  <c r="B47" i="10"/>
  <c r="BA23" i="1"/>
  <c r="AZ26" i="1"/>
  <c r="AF18" i="8"/>
  <c r="B16" i="10" s="1"/>
  <c r="AF20" i="8"/>
  <c r="B18" i="10" s="1"/>
  <c r="AZ22" i="1"/>
  <c r="AC90" i="6" l="1"/>
  <c r="AC211" i="6"/>
  <c r="AC91" i="6"/>
  <c r="AC25" i="6"/>
  <c r="AC167" i="6"/>
  <c r="AC76" i="6"/>
  <c r="AC24" i="6"/>
  <c r="AC232" i="6"/>
  <c r="AC256" i="6"/>
  <c r="AC244" i="6"/>
  <c r="AC224" i="6"/>
  <c r="AC216" i="6"/>
  <c r="AC206" i="6"/>
  <c r="AC252" i="6"/>
  <c r="AC248" i="6"/>
  <c r="AC255" i="6"/>
  <c r="AC212" i="6"/>
  <c r="AC198" i="6"/>
  <c r="AC184" i="6"/>
  <c r="AC180" i="6"/>
  <c r="AC176" i="6"/>
  <c r="AC172" i="6"/>
  <c r="AC168" i="6"/>
  <c r="AC162" i="6"/>
  <c r="AC156" i="6"/>
  <c r="AC148" i="6"/>
  <c r="AC124" i="6"/>
  <c r="AC112" i="6"/>
  <c r="AC100" i="6"/>
  <c r="AC92" i="6"/>
  <c r="AC120" i="6"/>
  <c r="AC86" i="6"/>
  <c r="AC82" i="6"/>
  <c r="AC132" i="6"/>
  <c r="AC128" i="6"/>
  <c r="AC116" i="6"/>
  <c r="AC108" i="6"/>
  <c r="AC104" i="6"/>
  <c r="AC96" i="6"/>
  <c r="AC54" i="6"/>
  <c r="AC72" i="6"/>
  <c r="AC68" i="6"/>
  <c r="AC64" i="6"/>
  <c r="AC59" i="6"/>
  <c r="AC247" i="6"/>
  <c r="AC227" i="6"/>
  <c r="AC205" i="6"/>
  <c r="AC201" i="6"/>
  <c r="AC197" i="6"/>
  <c r="AC193" i="6"/>
  <c r="AC183" i="6"/>
  <c r="AC179" i="6"/>
  <c r="AC175" i="6"/>
  <c r="AC171" i="6"/>
  <c r="AC165" i="6"/>
  <c r="AC161" i="6"/>
  <c r="AC215" i="6"/>
  <c r="AC155" i="6"/>
  <c r="AC131" i="6"/>
  <c r="AC123" i="6"/>
  <c r="AC119" i="6"/>
  <c r="AC115" i="6"/>
  <c r="AC103" i="6"/>
  <c r="AC95" i="6"/>
  <c r="AC48" i="6"/>
  <c r="AC44" i="6"/>
  <c r="AC250" i="6"/>
  <c r="AC107" i="6"/>
  <c r="AC85" i="6"/>
  <c r="AC71" i="6"/>
  <c r="AC67" i="6"/>
  <c r="AC63" i="6"/>
  <c r="AC40" i="6"/>
  <c r="AC239" i="6"/>
  <c r="AC231" i="6"/>
  <c r="AC111" i="6"/>
  <c r="AC89" i="6"/>
  <c r="AC251" i="6"/>
  <c r="AC243" i="6"/>
  <c r="AC246" i="6"/>
  <c r="AC242" i="6"/>
  <c r="AC222" i="6"/>
  <c r="AC204" i="6"/>
  <c r="AC200" i="6"/>
  <c r="AC196" i="6"/>
  <c r="AC182" i="6"/>
  <c r="AC178" i="6"/>
  <c r="AC174" i="6"/>
  <c r="AC170" i="6"/>
  <c r="AC164" i="6"/>
  <c r="AC160" i="6"/>
  <c r="AC98" i="6"/>
  <c r="AC238" i="6"/>
  <c r="AC230" i="6"/>
  <c r="AC214" i="6"/>
  <c r="AC154" i="6"/>
  <c r="AC150" i="6"/>
  <c r="AC146" i="6"/>
  <c r="AC130" i="6"/>
  <c r="AC126" i="6"/>
  <c r="AC122" i="6"/>
  <c r="AC118" i="6"/>
  <c r="AC114" i="6"/>
  <c r="AC110" i="6"/>
  <c r="AC106" i="6"/>
  <c r="AC226" i="6"/>
  <c r="AC102" i="6"/>
  <c r="AC88" i="6"/>
  <c r="AC84" i="6"/>
  <c r="AC80" i="6"/>
  <c r="AC74" i="6"/>
  <c r="AC70" i="6"/>
  <c r="AC47" i="6"/>
  <c r="AC43" i="6"/>
  <c r="AC133" i="6"/>
  <c r="AC129" i="6"/>
  <c r="AC125" i="6"/>
  <c r="AC121" i="6"/>
  <c r="AC117" i="6"/>
  <c r="AC113" i="6"/>
  <c r="AC109" i="6"/>
  <c r="AC97" i="6"/>
  <c r="AC241" i="6"/>
  <c r="AC237" i="6"/>
  <c r="AC149" i="6"/>
  <c r="AC94" i="6"/>
  <c r="AC253" i="6"/>
  <c r="AC245" i="6"/>
  <c r="AC225" i="6"/>
  <c r="AC221" i="6"/>
  <c r="AC217" i="6"/>
  <c r="AC207" i="6"/>
  <c r="AC203" i="6"/>
  <c r="AC199" i="6"/>
  <c r="AC181" i="6"/>
  <c r="AC177" i="6"/>
  <c r="AC173" i="6"/>
  <c r="AC163" i="6"/>
  <c r="AC57" i="6"/>
  <c r="AC249" i="6"/>
  <c r="AC229" i="6"/>
  <c r="AC87" i="6"/>
  <c r="AC55" i="6"/>
  <c r="AC79" i="6"/>
  <c r="AC73" i="6"/>
  <c r="AC65" i="6"/>
  <c r="AC60" i="6"/>
  <c r="AC42" i="6"/>
  <c r="AC37" i="6"/>
  <c r="AC33" i="6"/>
  <c r="AC29" i="6"/>
  <c r="AC101" i="6"/>
  <c r="AC153" i="6"/>
  <c r="AC83" i="6"/>
  <c r="AC186" i="6"/>
  <c r="AC191" i="6"/>
  <c r="AC187" i="6"/>
  <c r="AC192" i="6"/>
  <c r="AC188" i="6"/>
  <c r="AC189" i="6"/>
  <c r="AC23" i="6"/>
  <c r="AC56" i="6"/>
  <c r="AC159" i="6"/>
  <c r="AC75" i="6"/>
  <c r="AC210" i="6"/>
  <c r="AC166" i="6"/>
  <c r="AC158" i="6"/>
  <c r="AC62" i="6"/>
  <c r="AC50" i="6"/>
  <c r="AC38" i="6"/>
  <c r="AC236" i="6"/>
  <c r="AC240" i="6"/>
  <c r="AC228" i="6"/>
  <c r="AC220" i="6"/>
  <c r="AC202" i="6"/>
  <c r="AC257" i="6"/>
  <c r="AC19" i="6"/>
  <c r="AC260" i="6"/>
  <c r="AC152" i="6"/>
  <c r="AC194" i="6"/>
  <c r="AC140" i="6"/>
  <c r="AC136" i="6"/>
  <c r="AC49" i="6"/>
  <c r="AC45" i="6"/>
  <c r="AC144" i="6"/>
  <c r="AC78" i="6"/>
  <c r="AC41" i="6"/>
  <c r="AC36" i="6"/>
  <c r="AC32" i="6"/>
  <c r="AC259" i="6"/>
  <c r="AC223" i="6"/>
  <c r="AC219" i="6"/>
  <c r="AC209" i="6"/>
  <c r="AC28" i="6"/>
  <c r="AC21" i="6"/>
  <c r="AC151" i="6"/>
  <c r="AC147" i="6"/>
  <c r="AC143" i="6"/>
  <c r="AC139" i="6"/>
  <c r="AC135" i="6"/>
  <c r="AC127" i="6"/>
  <c r="AC235" i="6"/>
  <c r="AC99" i="6"/>
  <c r="AC53" i="6"/>
  <c r="AC20" i="6"/>
  <c r="AC258" i="6"/>
  <c r="AC254" i="6"/>
  <c r="AC81" i="6"/>
  <c r="AC77" i="6"/>
  <c r="AC58" i="6"/>
  <c r="AC35" i="6"/>
  <c r="AC31" i="6"/>
  <c r="AC27" i="6"/>
  <c r="AC218" i="6"/>
  <c r="AC208" i="6"/>
  <c r="AC190" i="6"/>
  <c r="AC142" i="6"/>
  <c r="AC138" i="6"/>
  <c r="AC134" i="6"/>
  <c r="AC234" i="6"/>
  <c r="AC52" i="6"/>
  <c r="AC213" i="6"/>
  <c r="AC145" i="6"/>
  <c r="AC137" i="6"/>
  <c r="AC105" i="6"/>
  <c r="AC66" i="6"/>
  <c r="AC61" i="6"/>
  <c r="AC39" i="6"/>
  <c r="AC34" i="6"/>
  <c r="AC30" i="6"/>
  <c r="AC26" i="6"/>
  <c r="AC233" i="6"/>
  <c r="AC157" i="6"/>
  <c r="AC141" i="6"/>
  <c r="AC195" i="6"/>
  <c r="AC185" i="6"/>
  <c r="AC169" i="6"/>
  <c r="AC261" i="6"/>
  <c r="AC51" i="6"/>
  <c r="AC46" i="6"/>
  <c r="AC93" i="6"/>
  <c r="AC69" i="6"/>
  <c r="AC22" i="6"/>
  <c r="AZ352" i="1"/>
  <c r="AZ350" i="1"/>
  <c r="AZ360" i="1"/>
  <c r="BA56" i="1"/>
  <c r="BA155" i="1"/>
  <c r="AZ106" i="1"/>
  <c r="AZ361" i="1"/>
  <c r="AZ362" i="1"/>
  <c r="AZ363" i="1"/>
  <c r="BA365" i="1"/>
  <c r="BA364" i="1"/>
  <c r="AB8" i="6"/>
  <c r="AB12" i="6"/>
  <c r="AB10" i="6"/>
  <c r="AB11" i="6"/>
  <c r="AB14" i="6"/>
  <c r="AB9" i="6"/>
  <c r="AB13" i="6"/>
  <c r="BA370" i="1"/>
  <c r="BA371" i="1"/>
  <c r="BA369" i="1"/>
  <c r="BA368" i="1"/>
  <c r="BA372" i="1"/>
  <c r="AZ330" i="1"/>
  <c r="AZ302" i="1"/>
  <c r="BA79" i="1"/>
  <c r="BA50" i="1"/>
  <c r="AZ333" i="1"/>
  <c r="AZ332" i="1"/>
  <c r="AZ321" i="1"/>
  <c r="AZ366" i="1"/>
  <c r="AZ367" i="1"/>
  <c r="BA355" i="1"/>
  <c r="BA357" i="1"/>
  <c r="BA354" i="1"/>
  <c r="BA359" i="1"/>
  <c r="BA356" i="1"/>
  <c r="BA358" i="1"/>
  <c r="AZ337" i="1"/>
  <c r="AZ336" i="1"/>
  <c r="AZ338" i="1"/>
  <c r="AZ346" i="1"/>
  <c r="AZ344" i="1"/>
  <c r="AZ343" i="1"/>
  <c r="BA351" i="1"/>
  <c r="BA353" i="1"/>
  <c r="AZ107" i="1"/>
  <c r="AZ340" i="1"/>
  <c r="AZ349" i="1"/>
  <c r="AZ348" i="1"/>
  <c r="AZ342" i="1"/>
  <c r="AZ339" i="1"/>
  <c r="AZ347" i="1"/>
  <c r="AZ345" i="1"/>
  <c r="AZ341" i="1"/>
  <c r="AZ334" i="1"/>
  <c r="BA335" i="1"/>
  <c r="AZ306" i="1"/>
  <c r="AZ324" i="1"/>
  <c r="AZ235" i="1"/>
  <c r="AZ287" i="1"/>
  <c r="AZ189" i="1"/>
  <c r="AZ110" i="1"/>
  <c r="AZ42" i="1"/>
  <c r="AZ78" i="1"/>
  <c r="AZ164" i="1"/>
  <c r="AZ228" i="1"/>
  <c r="AZ232" i="1"/>
  <c r="AZ236" i="1"/>
  <c r="AZ231" i="1"/>
  <c r="AZ161" i="1"/>
  <c r="AZ182" i="1"/>
  <c r="AZ239" i="1"/>
  <c r="AZ233" i="1"/>
  <c r="AZ213" i="1"/>
  <c r="AZ58" i="1"/>
  <c r="AZ229" i="1"/>
  <c r="AZ188" i="1"/>
  <c r="AZ293" i="1"/>
  <c r="AD1" i="6"/>
  <c r="AZ122" i="1"/>
  <c r="AZ69" i="1"/>
  <c r="AZ95" i="1"/>
  <c r="AZ109" i="1"/>
  <c r="AZ130" i="1"/>
  <c r="AZ141" i="1"/>
  <c r="AZ183" i="1"/>
  <c r="AZ198" i="1"/>
  <c r="AZ212" i="1"/>
  <c r="AZ108" i="1"/>
  <c r="AZ66" i="1"/>
  <c r="AZ137" i="1"/>
  <c r="AZ153" i="1"/>
  <c r="AZ166" i="1"/>
  <c r="AZ194" i="1"/>
  <c r="AZ208" i="1"/>
  <c r="AZ223" i="1"/>
  <c r="AZ75" i="1"/>
  <c r="AZ35" i="1"/>
  <c r="AZ88" i="1"/>
  <c r="AZ98" i="1"/>
  <c r="AZ105" i="1"/>
  <c r="AZ119" i="1"/>
  <c r="AZ149" i="1"/>
  <c r="AZ162" i="1"/>
  <c r="AZ177" i="1"/>
  <c r="AZ190" i="1"/>
  <c r="AZ220" i="1"/>
  <c r="AZ27" i="1"/>
  <c r="AZ72" i="1"/>
  <c r="AZ173" i="1"/>
  <c r="AZ187" i="1"/>
  <c r="AZ216" i="1"/>
  <c r="AZ134" i="1"/>
  <c r="AZ150" i="1"/>
  <c r="AZ163" i="1"/>
  <c r="AZ195" i="1"/>
  <c r="AZ209" i="1"/>
  <c r="AZ250" i="1"/>
  <c r="AZ265" i="1"/>
  <c r="AZ279" i="1"/>
  <c r="AZ99" i="1"/>
  <c r="AZ116" i="1"/>
  <c r="AZ174" i="1"/>
  <c r="AZ191" i="1"/>
  <c r="AZ205" i="1"/>
  <c r="AZ221" i="1"/>
  <c r="AZ246" i="1"/>
  <c r="AZ261" i="1"/>
  <c r="AZ322" i="1"/>
  <c r="AZ142" i="1"/>
  <c r="AZ156" i="1"/>
  <c r="AZ170" i="1"/>
  <c r="AZ202" i="1"/>
  <c r="AZ217" i="1"/>
  <c r="AZ242" i="1"/>
  <c r="AZ257" i="1"/>
  <c r="AZ272" i="1"/>
  <c r="AZ286" i="1"/>
  <c r="AZ290" i="1"/>
  <c r="AZ295" i="1"/>
  <c r="AZ299" i="1"/>
  <c r="AZ303" i="1"/>
  <c r="AZ311" i="1"/>
  <c r="AZ315" i="1"/>
  <c r="AZ138" i="1"/>
  <c r="AZ167" i="1"/>
  <c r="AZ180" i="1"/>
  <c r="AZ184" i="1"/>
  <c r="AZ199" i="1"/>
  <c r="AZ253" i="1"/>
  <c r="AZ268" i="1"/>
  <c r="AZ92" i="1"/>
  <c r="AZ121" i="1"/>
  <c r="AZ135" i="1"/>
  <c r="AZ151" i="1"/>
  <c r="AZ181" i="1"/>
  <c r="AZ192" i="1"/>
  <c r="AZ206" i="1"/>
  <c r="AZ237" i="1"/>
  <c r="AZ33" i="1"/>
  <c r="AZ100" i="1"/>
  <c r="AZ124" i="1"/>
  <c r="AZ132" i="1"/>
  <c r="AZ185" i="1"/>
  <c r="AZ196" i="1"/>
  <c r="AZ200" i="1"/>
  <c r="AZ203" i="1"/>
  <c r="AZ210" i="1"/>
  <c r="AZ214" i="1"/>
  <c r="AZ218" i="1"/>
  <c r="AZ127" i="1"/>
  <c r="AZ89" i="1"/>
  <c r="AZ111" i="1"/>
  <c r="AZ117" i="1"/>
  <c r="AZ143" i="1"/>
  <c r="AZ157" i="1"/>
  <c r="AZ171" i="1"/>
  <c r="AZ29" i="1"/>
  <c r="AZ74" i="1"/>
  <c r="AZ128" i="1"/>
  <c r="AZ139" i="1"/>
  <c r="AZ154" i="1"/>
  <c r="AZ37" i="1"/>
  <c r="AZ70" i="1"/>
  <c r="AZ96" i="1"/>
  <c r="AZ118" i="1"/>
  <c r="AZ129" i="1"/>
  <c r="AZ186" i="1"/>
  <c r="AZ201" i="1"/>
  <c r="AZ215" i="1"/>
  <c r="AZ273" i="1"/>
  <c r="AZ284" i="1"/>
  <c r="AZ291" i="1"/>
  <c r="AZ304" i="1"/>
  <c r="AZ318" i="1"/>
  <c r="AZ323" i="1"/>
  <c r="AZ263" i="1"/>
  <c r="AZ266" i="1"/>
  <c r="AZ274" i="1"/>
  <c r="AZ277" i="1"/>
  <c r="AZ297" i="1"/>
  <c r="AZ120" i="1"/>
  <c r="AZ125" i="1"/>
  <c r="AZ197" i="1"/>
  <c r="AZ211" i="1"/>
  <c r="AZ247" i="1"/>
  <c r="AZ269" i="1"/>
  <c r="AZ255" i="1"/>
  <c r="AZ259" i="1"/>
  <c r="AZ309" i="1"/>
  <c r="AZ168" i="1"/>
  <c r="AZ73" i="1"/>
  <c r="AZ112" i="1"/>
  <c r="AZ169" i="1"/>
  <c r="AZ193" i="1"/>
  <c r="AZ207" i="1"/>
  <c r="AZ222" i="1"/>
  <c r="AZ258" i="1"/>
  <c r="AZ280" i="1"/>
  <c r="AZ316" i="1"/>
  <c r="AZ240" i="1"/>
  <c r="AZ248" i="1"/>
  <c r="AZ285" i="1"/>
  <c r="AZ294" i="1"/>
  <c r="AZ305" i="1"/>
  <c r="AZ131" i="1"/>
  <c r="AZ97" i="1"/>
  <c r="AZ136" i="1"/>
  <c r="AZ144" i="1"/>
  <c r="AZ148" i="1"/>
  <c r="AZ152" i="1"/>
  <c r="AZ165" i="1"/>
  <c r="AZ172" i="1"/>
  <c r="AZ176" i="1"/>
  <c r="AZ179" i="1"/>
  <c r="AZ204" i="1"/>
  <c r="AZ219" i="1"/>
  <c r="AZ238" i="1"/>
  <c r="AZ254" i="1"/>
  <c r="AZ276" i="1"/>
  <c r="AZ308" i="1"/>
  <c r="AZ326" i="1"/>
  <c r="AZ270" i="1"/>
  <c r="AZ281" i="1"/>
  <c r="AZ292" i="1"/>
  <c r="AZ241" i="1"/>
  <c r="AZ267" i="1"/>
  <c r="AZ252" i="1"/>
  <c r="AZ264" i="1"/>
  <c r="AZ275" i="1"/>
  <c r="AZ289" i="1"/>
  <c r="AZ325" i="1"/>
  <c r="AZ260" i="1"/>
  <c r="AZ298" i="1"/>
  <c r="AZ245" i="1"/>
  <c r="AZ256" i="1"/>
  <c r="AZ271" i="1"/>
  <c r="AZ278" i="1"/>
  <c r="AZ310" i="1"/>
  <c r="BA41" i="1"/>
  <c r="BA85" i="1"/>
  <c r="BA133" i="1"/>
  <c r="BA145" i="1"/>
  <c r="BA82" i="1"/>
  <c r="BA90" i="1"/>
  <c r="BA101" i="1"/>
  <c r="BA227" i="1"/>
  <c r="BA31" i="1"/>
  <c r="BA63" i="1"/>
  <c r="BA65" i="1"/>
  <c r="BA86" i="1"/>
  <c r="BA146" i="1"/>
  <c r="BA159" i="1"/>
  <c r="BA48" i="1"/>
  <c r="BA113" i="1"/>
  <c r="BA123" i="1"/>
  <c r="BA307" i="1"/>
  <c r="BA39" i="1"/>
  <c r="BA49" i="1"/>
  <c r="BA283" i="1"/>
  <c r="BA224" i="1"/>
  <c r="BA40" i="1"/>
  <c r="BA55" i="1"/>
  <c r="BA83" i="1"/>
  <c r="BA54" i="1"/>
  <c r="BA62" i="1"/>
  <c r="BA71" i="1"/>
  <c r="BA147" i="1"/>
  <c r="BA160" i="1"/>
  <c r="BA175" i="1"/>
  <c r="BA329" i="1"/>
  <c r="BA28" i="1"/>
  <c r="BA45" i="1"/>
  <c r="BA93" i="1"/>
  <c r="BA32" i="1"/>
  <c r="BA46" i="1"/>
  <c r="BA77" i="1"/>
  <c r="BA59" i="1"/>
  <c r="BA67" i="1"/>
  <c r="BA103" i="1"/>
  <c r="BA61" i="1"/>
  <c r="BA114" i="1"/>
  <c r="BA34" i="1"/>
  <c r="BA36" i="1"/>
  <c r="BA51" i="1"/>
  <c r="BA60" i="1"/>
  <c r="BA68" i="1"/>
  <c r="BA81" i="1"/>
  <c r="BA87" i="1"/>
  <c r="BA234" i="1"/>
  <c r="BA64" i="1"/>
  <c r="BA126" i="1"/>
  <c r="BA262" i="1"/>
  <c r="BA296" i="1"/>
  <c r="BA300" i="1"/>
  <c r="BA312" i="1"/>
  <c r="BA244" i="1"/>
  <c r="BA178" i="1"/>
  <c r="BA44" i="1"/>
  <c r="BA102" i="1"/>
  <c r="BA94" i="1"/>
  <c r="BA158" i="1"/>
  <c r="BA317" i="1"/>
  <c r="BA319" i="1"/>
  <c r="BA327" i="1"/>
  <c r="BA331" i="1"/>
  <c r="BA225" i="1"/>
  <c r="BA43" i="1"/>
  <c r="BA80" i="1"/>
  <c r="BA91" i="1"/>
  <c r="BA30" i="1"/>
  <c r="BA38" i="1"/>
  <c r="BA47" i="1"/>
  <c r="BA57" i="1"/>
  <c r="BA84" i="1"/>
  <c r="BA104" i="1"/>
  <c r="BA140" i="1"/>
  <c r="BA52" i="1"/>
  <c r="BA243" i="1"/>
  <c r="BA301" i="1"/>
  <c r="BA53" i="1"/>
  <c r="BA115" i="1"/>
  <c r="BA226" i="1"/>
  <c r="BA230" i="1"/>
  <c r="BA76" i="1"/>
  <c r="BA251" i="1"/>
  <c r="BA288" i="1"/>
  <c r="BA313" i="1"/>
  <c r="BA328" i="1"/>
  <c r="BA249" i="1"/>
  <c r="BA314" i="1"/>
  <c r="BA282" i="1"/>
  <c r="BA320" i="1"/>
  <c r="AD2" i="6"/>
  <c r="BB23" i="1"/>
  <c r="BA26" i="1"/>
  <c r="BA22" i="1"/>
  <c r="AD90" i="6" l="1"/>
  <c r="AD25" i="6"/>
  <c r="AD167" i="6"/>
  <c r="AD91" i="6"/>
  <c r="AD24" i="6"/>
  <c r="AD76" i="6"/>
  <c r="AD211" i="6"/>
  <c r="AD212" i="6"/>
  <c r="AD206" i="6"/>
  <c r="AD255" i="6"/>
  <c r="AD256" i="6"/>
  <c r="AD252" i="6"/>
  <c r="AD248" i="6"/>
  <c r="AD244" i="6"/>
  <c r="AD232" i="6"/>
  <c r="AD224" i="6"/>
  <c r="AD216" i="6"/>
  <c r="AD184" i="6"/>
  <c r="AD176" i="6"/>
  <c r="AD162" i="6"/>
  <c r="AD180" i="6"/>
  <c r="AD172" i="6"/>
  <c r="AD168" i="6"/>
  <c r="AD86" i="6"/>
  <c r="AD156" i="6"/>
  <c r="AD148" i="6"/>
  <c r="AD104" i="6"/>
  <c r="AD96" i="6"/>
  <c r="AD92" i="6"/>
  <c r="AD132" i="6"/>
  <c r="AD128" i="6"/>
  <c r="AD124" i="6"/>
  <c r="AD120" i="6"/>
  <c r="AD116" i="6"/>
  <c r="AD112" i="6"/>
  <c r="AD108" i="6"/>
  <c r="AD100" i="6"/>
  <c r="AD198" i="6"/>
  <c r="AD68" i="6"/>
  <c r="AD64" i="6"/>
  <c r="AD82" i="6"/>
  <c r="AD72" i="6"/>
  <c r="AD54" i="6"/>
  <c r="AD227" i="6"/>
  <c r="AD183" i="6"/>
  <c r="AD179" i="6"/>
  <c r="AD175" i="6"/>
  <c r="AD171" i="6"/>
  <c r="AD165" i="6"/>
  <c r="AD161" i="6"/>
  <c r="AD247" i="6"/>
  <c r="AD205" i="6"/>
  <c r="AD201" i="6"/>
  <c r="AD197" i="6"/>
  <c r="AD193" i="6"/>
  <c r="AD215" i="6"/>
  <c r="AD155" i="6"/>
  <c r="AD131" i="6"/>
  <c r="AD123" i="6"/>
  <c r="AD119" i="6"/>
  <c r="AD115" i="6"/>
  <c r="AD59" i="6"/>
  <c r="AD103" i="6"/>
  <c r="AD95" i="6"/>
  <c r="AD85" i="6"/>
  <c r="AD71" i="6"/>
  <c r="AD67" i="6"/>
  <c r="AD63" i="6"/>
  <c r="AD40" i="6"/>
  <c r="AD251" i="6"/>
  <c r="AD243" i="6"/>
  <c r="AD239" i="6"/>
  <c r="AD231" i="6"/>
  <c r="AD89" i="6"/>
  <c r="AD246" i="6"/>
  <c r="AD242" i="6"/>
  <c r="AD238" i="6"/>
  <c r="AD230" i="6"/>
  <c r="AD111" i="6"/>
  <c r="AD107" i="6"/>
  <c r="AD250" i="6"/>
  <c r="AD48" i="6"/>
  <c r="AD44" i="6"/>
  <c r="AD226" i="6"/>
  <c r="AD222" i="6"/>
  <c r="AD214" i="6"/>
  <c r="AD204" i="6"/>
  <c r="AD200" i="6"/>
  <c r="AD196" i="6"/>
  <c r="AD154" i="6"/>
  <c r="AD150" i="6"/>
  <c r="AD146" i="6"/>
  <c r="AD130" i="6"/>
  <c r="AD126" i="6"/>
  <c r="AD122" i="6"/>
  <c r="AD118" i="6"/>
  <c r="AD114" i="6"/>
  <c r="AD110" i="6"/>
  <c r="AD106" i="6"/>
  <c r="AD102" i="6"/>
  <c r="AD98" i="6"/>
  <c r="AD94" i="6"/>
  <c r="AD88" i="6"/>
  <c r="AD80" i="6"/>
  <c r="AD182" i="6"/>
  <c r="AD178" i="6"/>
  <c r="AD174" i="6"/>
  <c r="AD170" i="6"/>
  <c r="AD164" i="6"/>
  <c r="AD160" i="6"/>
  <c r="AD74" i="6"/>
  <c r="AD70" i="6"/>
  <c r="AD57" i="6"/>
  <c r="AD229" i="6"/>
  <c r="AD225" i="6"/>
  <c r="AD221" i="6"/>
  <c r="AD217" i="6"/>
  <c r="AD177" i="6"/>
  <c r="AD163" i="6"/>
  <c r="AD129" i="6"/>
  <c r="AD113" i="6"/>
  <c r="AD101" i="6"/>
  <c r="AD87" i="6"/>
  <c r="AD84" i="6"/>
  <c r="AD47" i="6"/>
  <c r="AD43" i="6"/>
  <c r="AD207" i="6"/>
  <c r="AD203" i="6"/>
  <c r="AD199" i="6"/>
  <c r="AD181" i="6"/>
  <c r="AD173" i="6"/>
  <c r="AD253" i="6"/>
  <c r="AD249" i="6"/>
  <c r="AD245" i="6"/>
  <c r="AD241" i="6"/>
  <c r="AD237" i="6"/>
  <c r="AD153" i="6"/>
  <c r="AD149" i="6"/>
  <c r="AD133" i="6"/>
  <c r="AD97" i="6"/>
  <c r="AD125" i="6"/>
  <c r="AD121" i="6"/>
  <c r="AD117" i="6"/>
  <c r="AD55" i="6"/>
  <c r="AD109" i="6"/>
  <c r="AD83" i="6"/>
  <c r="AD79" i="6"/>
  <c r="AD73" i="6"/>
  <c r="AD65" i="6"/>
  <c r="AD60" i="6"/>
  <c r="AD42" i="6"/>
  <c r="AD37" i="6"/>
  <c r="AD33" i="6"/>
  <c r="AD29" i="6"/>
  <c r="AD189" i="6"/>
  <c r="AD191" i="6"/>
  <c r="AD187" i="6"/>
  <c r="AD192" i="6"/>
  <c r="AD188" i="6"/>
  <c r="AD186" i="6"/>
  <c r="AD56" i="6"/>
  <c r="AD159" i="6"/>
  <c r="AD75" i="6"/>
  <c r="AD210" i="6"/>
  <c r="AD166" i="6"/>
  <c r="AD158" i="6"/>
  <c r="AD62" i="6"/>
  <c r="AD50" i="6"/>
  <c r="AD38" i="6"/>
  <c r="AD23" i="6"/>
  <c r="AD260" i="6"/>
  <c r="AD19" i="6"/>
  <c r="AD257" i="6"/>
  <c r="AD228" i="6"/>
  <c r="AD240" i="6"/>
  <c r="AD236" i="6"/>
  <c r="AD220" i="6"/>
  <c r="AD202" i="6"/>
  <c r="AD144" i="6"/>
  <c r="AD194" i="6"/>
  <c r="AD140" i="6"/>
  <c r="AD136" i="6"/>
  <c r="AD78" i="6"/>
  <c r="AD49" i="6"/>
  <c r="AD45" i="6"/>
  <c r="AD152" i="6"/>
  <c r="AD32" i="6"/>
  <c r="AD28" i="6"/>
  <c r="AD235" i="6"/>
  <c r="AD209" i="6"/>
  <c r="AD41" i="6"/>
  <c r="AD21" i="6"/>
  <c r="AD259" i="6"/>
  <c r="AD223" i="6"/>
  <c r="AD219" i="6"/>
  <c r="AD151" i="6"/>
  <c r="AD147" i="6"/>
  <c r="AD143" i="6"/>
  <c r="AD139" i="6"/>
  <c r="AD135" i="6"/>
  <c r="AD127" i="6"/>
  <c r="AD36" i="6"/>
  <c r="AD81" i="6"/>
  <c r="AD77" i="6"/>
  <c r="AD58" i="6"/>
  <c r="AD35" i="6"/>
  <c r="AD31" i="6"/>
  <c r="AD27" i="6"/>
  <c r="AD99" i="6"/>
  <c r="AD234" i="6"/>
  <c r="AD20" i="6"/>
  <c r="AD258" i="6"/>
  <c r="AD254" i="6"/>
  <c r="AD53" i="6"/>
  <c r="AD138" i="6"/>
  <c r="AD218" i="6"/>
  <c r="AD208" i="6"/>
  <c r="AD142" i="6"/>
  <c r="AD134" i="6"/>
  <c r="AD190" i="6"/>
  <c r="AD66" i="6"/>
  <c r="AD213" i="6"/>
  <c r="AD169" i="6"/>
  <c r="AD93" i="6"/>
  <c r="AD52" i="6"/>
  <c r="AD195" i="6"/>
  <c r="AD61" i="6"/>
  <c r="AD39" i="6"/>
  <c r="AD34" i="6"/>
  <c r="AD30" i="6"/>
  <c r="AD26" i="6"/>
  <c r="AD261" i="6"/>
  <c r="AD233" i="6"/>
  <c r="AD185" i="6"/>
  <c r="AD157" i="6"/>
  <c r="AD145" i="6"/>
  <c r="AD105" i="6"/>
  <c r="AD22" i="6"/>
  <c r="AD141" i="6"/>
  <c r="AD51" i="6"/>
  <c r="AD46" i="6"/>
  <c r="AD137" i="6"/>
  <c r="AD69" i="6"/>
  <c r="BB56" i="1"/>
  <c r="BB155" i="1"/>
  <c r="BA350" i="1"/>
  <c r="BA360" i="1"/>
  <c r="BA352" i="1"/>
  <c r="BB365" i="1"/>
  <c r="BB364" i="1"/>
  <c r="BA106" i="1"/>
  <c r="BA361" i="1"/>
  <c r="BA362" i="1"/>
  <c r="BA363" i="1"/>
  <c r="AC9" i="6"/>
  <c r="AC13" i="6"/>
  <c r="AC8" i="6"/>
  <c r="AC12" i="6"/>
  <c r="AC11" i="6"/>
  <c r="AC10" i="6"/>
  <c r="AC14" i="6"/>
  <c r="BB372" i="1"/>
  <c r="BB371" i="1"/>
  <c r="BB368" i="1"/>
  <c r="BB370" i="1"/>
  <c r="BB369" i="1"/>
  <c r="BA302" i="1"/>
  <c r="BA330" i="1"/>
  <c r="BB79" i="1"/>
  <c r="BB50" i="1"/>
  <c r="BA321" i="1"/>
  <c r="BA332" i="1"/>
  <c r="BA367" i="1"/>
  <c r="BA366" i="1"/>
  <c r="BB358" i="1"/>
  <c r="BB354" i="1"/>
  <c r="BB357" i="1"/>
  <c r="BB355" i="1"/>
  <c r="BB359" i="1"/>
  <c r="BB356" i="1"/>
  <c r="BA333" i="1"/>
  <c r="BA337" i="1"/>
  <c r="BA336" i="1"/>
  <c r="BB351" i="1"/>
  <c r="BB353" i="1"/>
  <c r="BA344" i="1"/>
  <c r="BA343" i="1"/>
  <c r="BA346" i="1"/>
  <c r="BA338" i="1"/>
  <c r="BA107" i="1"/>
  <c r="BA348" i="1"/>
  <c r="BA341" i="1"/>
  <c r="BA339" i="1"/>
  <c r="BA347" i="1"/>
  <c r="BA340" i="1"/>
  <c r="BA345" i="1"/>
  <c r="BA342" i="1"/>
  <c r="BA349" i="1"/>
  <c r="BA334" i="1"/>
  <c r="BB335" i="1"/>
  <c r="BA236" i="1"/>
  <c r="BA239" i="1"/>
  <c r="BA58" i="1"/>
  <c r="BA164" i="1"/>
  <c r="BA42" i="1"/>
  <c r="BA110" i="1"/>
  <c r="BA229" i="1"/>
  <c r="BA324" i="1"/>
  <c r="BA161" i="1"/>
  <c r="BA213" i="1"/>
  <c r="BA235" i="1"/>
  <c r="BA293" i="1"/>
  <c r="BA231" i="1"/>
  <c r="BA78" i="1"/>
  <c r="BA228" i="1"/>
  <c r="BA232" i="1"/>
  <c r="BA189" i="1"/>
  <c r="BA188" i="1"/>
  <c r="BA306" i="1"/>
  <c r="BA287" i="1"/>
  <c r="BA182" i="1"/>
  <c r="BA233" i="1"/>
  <c r="BB41" i="1"/>
  <c r="BB65" i="1"/>
  <c r="BB32" i="1"/>
  <c r="BB31" i="1"/>
  <c r="BB39" i="1"/>
  <c r="BB48" i="1"/>
  <c r="BB63" i="1"/>
  <c r="BB145" i="1"/>
  <c r="BB227" i="1"/>
  <c r="BB91" i="1"/>
  <c r="BB45" i="1"/>
  <c r="BB61" i="1"/>
  <c r="BB82" i="1"/>
  <c r="BB85" i="1"/>
  <c r="BB90" i="1"/>
  <c r="BB101" i="1"/>
  <c r="BB43" i="1"/>
  <c r="BB40" i="1"/>
  <c r="BB83" i="1"/>
  <c r="BB52" i="1"/>
  <c r="BB64" i="1"/>
  <c r="BB76" i="1"/>
  <c r="BB113" i="1"/>
  <c r="BB126" i="1"/>
  <c r="BB133" i="1"/>
  <c r="BB123" i="1"/>
  <c r="BB307" i="1"/>
  <c r="BB53" i="1"/>
  <c r="BB28" i="1"/>
  <c r="BB146" i="1"/>
  <c r="BB159" i="1"/>
  <c r="BB283" i="1"/>
  <c r="BB329" i="1"/>
  <c r="BB224" i="1"/>
  <c r="BB77" i="1"/>
  <c r="BB86" i="1"/>
  <c r="BB93" i="1"/>
  <c r="BB59" i="1"/>
  <c r="BB67" i="1"/>
  <c r="BB103" i="1"/>
  <c r="BB178" i="1"/>
  <c r="BB225" i="1"/>
  <c r="BB49" i="1"/>
  <c r="BB114" i="1"/>
  <c r="BB54" i="1"/>
  <c r="BB62" i="1"/>
  <c r="BB71" i="1"/>
  <c r="BB147" i="1"/>
  <c r="BB160" i="1"/>
  <c r="BB94" i="1"/>
  <c r="BB158" i="1"/>
  <c r="BB55" i="1"/>
  <c r="BB102" i="1"/>
  <c r="BB301" i="1"/>
  <c r="BB317" i="1"/>
  <c r="BB331" i="1"/>
  <c r="BB30" i="1"/>
  <c r="BB38" i="1"/>
  <c r="BB47" i="1"/>
  <c r="BB57" i="1"/>
  <c r="BB84" i="1"/>
  <c r="BB104" i="1"/>
  <c r="BB140" i="1"/>
  <c r="BB230" i="1"/>
  <c r="BB44" i="1"/>
  <c r="BB243" i="1"/>
  <c r="BB288" i="1"/>
  <c r="BB313" i="1"/>
  <c r="BB327" i="1"/>
  <c r="BB175" i="1"/>
  <c r="BB46" i="1"/>
  <c r="BB115" i="1"/>
  <c r="BB226" i="1"/>
  <c r="BB251" i="1"/>
  <c r="BB300" i="1"/>
  <c r="BB80" i="1"/>
  <c r="BB34" i="1"/>
  <c r="BB36" i="1"/>
  <c r="BB51" i="1"/>
  <c r="BB60" i="1"/>
  <c r="BB68" i="1"/>
  <c r="BB81" i="1"/>
  <c r="BB87" i="1"/>
  <c r="BB234" i="1"/>
  <c r="BB262" i="1"/>
  <c r="BB296" i="1"/>
  <c r="BB312" i="1"/>
  <c r="BB244" i="1"/>
  <c r="BB319" i="1"/>
  <c r="BB314" i="1"/>
  <c r="BB320" i="1"/>
  <c r="BB328" i="1"/>
  <c r="BB249" i="1"/>
  <c r="BB282" i="1"/>
  <c r="AE1" i="6"/>
  <c r="BA95" i="1"/>
  <c r="BA109" i="1"/>
  <c r="BA194" i="1"/>
  <c r="BA208" i="1"/>
  <c r="BA223" i="1"/>
  <c r="BA105" i="1"/>
  <c r="BA119" i="1"/>
  <c r="BA137" i="1"/>
  <c r="BA141" i="1"/>
  <c r="BA149" i="1"/>
  <c r="BA153" i="1"/>
  <c r="BA162" i="1"/>
  <c r="BA166" i="1"/>
  <c r="BA173" i="1"/>
  <c r="BA177" i="1"/>
  <c r="BA190" i="1"/>
  <c r="BA220" i="1"/>
  <c r="BA130" i="1"/>
  <c r="BA187" i="1"/>
  <c r="BA216" i="1"/>
  <c r="BA271" i="1"/>
  <c r="BA183" i="1"/>
  <c r="BA198" i="1"/>
  <c r="BA212" i="1"/>
  <c r="BA99" i="1"/>
  <c r="BA116" i="1"/>
  <c r="BA174" i="1"/>
  <c r="BA191" i="1"/>
  <c r="BA205" i="1"/>
  <c r="BA221" i="1"/>
  <c r="BA246" i="1"/>
  <c r="BA261" i="1"/>
  <c r="BA295" i="1"/>
  <c r="BA311" i="1"/>
  <c r="BA322" i="1"/>
  <c r="BA72" i="1"/>
  <c r="BA142" i="1"/>
  <c r="BA156" i="1"/>
  <c r="BA170" i="1"/>
  <c r="BA202" i="1"/>
  <c r="BA217" i="1"/>
  <c r="BA242" i="1"/>
  <c r="BA257" i="1"/>
  <c r="BA272" i="1"/>
  <c r="BA286" i="1"/>
  <c r="BA138" i="1"/>
  <c r="BA167" i="1"/>
  <c r="BA184" i="1"/>
  <c r="BA199" i="1"/>
  <c r="BA253" i="1"/>
  <c r="BA268" i="1"/>
  <c r="BA290" i="1"/>
  <c r="BA303" i="1"/>
  <c r="BA134" i="1"/>
  <c r="BA150" i="1"/>
  <c r="BA163" i="1"/>
  <c r="BA180" i="1"/>
  <c r="BA195" i="1"/>
  <c r="BA209" i="1"/>
  <c r="BA250" i="1"/>
  <c r="BA265" i="1"/>
  <c r="BA279" i="1"/>
  <c r="BA299" i="1"/>
  <c r="BA315" i="1"/>
  <c r="BA33" i="1"/>
  <c r="BA100" i="1"/>
  <c r="BA124" i="1"/>
  <c r="BA132" i="1"/>
  <c r="BA192" i="1"/>
  <c r="BA206" i="1"/>
  <c r="BA69" i="1"/>
  <c r="BA98" i="1"/>
  <c r="BA127" i="1"/>
  <c r="BA89" i="1"/>
  <c r="BA111" i="1"/>
  <c r="BA117" i="1"/>
  <c r="BA143" i="1"/>
  <c r="BA157" i="1"/>
  <c r="BA171" i="1"/>
  <c r="BA203" i="1"/>
  <c r="BA218" i="1"/>
  <c r="BA29" i="1"/>
  <c r="BA74" i="1"/>
  <c r="BA128" i="1"/>
  <c r="BA139" i="1"/>
  <c r="BA154" i="1"/>
  <c r="BA168" i="1"/>
  <c r="BA181" i="1"/>
  <c r="BA185" i="1"/>
  <c r="BA200" i="1"/>
  <c r="BA214" i="1"/>
  <c r="BA92" i="1"/>
  <c r="BA121" i="1"/>
  <c r="BA135" i="1"/>
  <c r="BA151" i="1"/>
  <c r="BA210" i="1"/>
  <c r="BA120" i="1"/>
  <c r="BA27" i="1"/>
  <c r="BA75" i="1"/>
  <c r="BA108" i="1"/>
  <c r="BA148" i="1"/>
  <c r="BA176" i="1"/>
  <c r="BA35" i="1"/>
  <c r="BA247" i="1"/>
  <c r="BA269" i="1"/>
  <c r="BA291" i="1"/>
  <c r="BA304" i="1"/>
  <c r="BA308" i="1"/>
  <c r="BA316" i="1"/>
  <c r="BA323" i="1"/>
  <c r="BA266" i="1"/>
  <c r="BA309" i="1"/>
  <c r="BA73" i="1"/>
  <c r="BA118" i="1"/>
  <c r="BA125" i="1"/>
  <c r="BA144" i="1"/>
  <c r="BA172" i="1"/>
  <c r="BA258" i="1"/>
  <c r="BA280" i="1"/>
  <c r="BA318" i="1"/>
  <c r="BA255" i="1"/>
  <c r="BA263" i="1"/>
  <c r="BA277" i="1"/>
  <c r="BA294" i="1"/>
  <c r="BA305" i="1"/>
  <c r="BA196" i="1"/>
  <c r="BA88" i="1"/>
  <c r="BA131" i="1"/>
  <c r="BA112" i="1"/>
  <c r="BA129" i="1"/>
  <c r="BA169" i="1"/>
  <c r="BA254" i="1"/>
  <c r="BA276" i="1"/>
  <c r="BA240" i="1"/>
  <c r="BA274" i="1"/>
  <c r="BA285" i="1"/>
  <c r="BA292" i="1"/>
  <c r="BA237" i="1"/>
  <c r="BA66" i="1"/>
  <c r="BA37" i="1"/>
  <c r="BA70" i="1"/>
  <c r="BA96" i="1"/>
  <c r="BA97" i="1"/>
  <c r="BA122" i="1"/>
  <c r="BA136" i="1"/>
  <c r="BA152" i="1"/>
  <c r="BA165" i="1"/>
  <c r="BA179" i="1"/>
  <c r="BA186" i="1"/>
  <c r="BA193" i="1"/>
  <c r="BA197" i="1"/>
  <c r="BA201" i="1"/>
  <c r="BA204" i="1"/>
  <c r="BA207" i="1"/>
  <c r="BA211" i="1"/>
  <c r="BA215" i="1"/>
  <c r="BA219" i="1"/>
  <c r="BA222" i="1"/>
  <c r="BA238" i="1"/>
  <c r="BA273" i="1"/>
  <c r="BA284" i="1"/>
  <c r="BA326" i="1"/>
  <c r="BA248" i="1"/>
  <c r="BA259" i="1"/>
  <c r="BA270" i="1"/>
  <c r="BA281" i="1"/>
  <c r="BA297" i="1"/>
  <c r="BA256" i="1"/>
  <c r="BA260" i="1"/>
  <c r="BA264" i="1"/>
  <c r="BA267" i="1"/>
  <c r="BA289" i="1"/>
  <c r="BA241" i="1"/>
  <c r="BA245" i="1"/>
  <c r="BA252" i="1"/>
  <c r="BA298" i="1"/>
  <c r="BA325" i="1"/>
  <c r="BA278" i="1"/>
  <c r="BA310" i="1"/>
  <c r="BA275" i="1"/>
  <c r="AE2" i="6"/>
  <c r="AF53" i="8"/>
  <c r="AF54" i="8"/>
  <c r="B52" i="10" s="1"/>
  <c r="BC23" i="1"/>
  <c r="BB26" i="1"/>
  <c r="AF22" i="8"/>
  <c r="B20" i="10" s="1"/>
  <c r="BB22" i="1"/>
  <c r="AE186" i="6" l="1"/>
  <c r="AE191" i="6"/>
  <c r="AE187" i="6"/>
  <c r="AE192" i="6"/>
  <c r="AE188" i="6"/>
  <c r="AE189" i="6"/>
  <c r="AE23" i="6"/>
  <c r="AE166" i="6"/>
  <c r="AE158" i="6"/>
  <c r="AE62" i="6"/>
  <c r="AE50" i="6"/>
  <c r="AE56" i="6"/>
  <c r="AE159" i="6"/>
  <c r="AE75" i="6"/>
  <c r="AE210" i="6"/>
  <c r="AE38" i="6"/>
  <c r="AE19" i="6"/>
  <c r="AE260" i="6"/>
  <c r="AE240" i="6"/>
  <c r="AE236" i="6"/>
  <c r="AE228" i="6"/>
  <c r="AE220" i="6"/>
  <c r="AE202" i="6"/>
  <c r="AE257" i="6"/>
  <c r="AE152" i="6"/>
  <c r="AE194" i="6"/>
  <c r="AE140" i="6"/>
  <c r="AE136" i="6"/>
  <c r="AE144" i="6"/>
  <c r="AE41" i="6"/>
  <c r="AE36" i="6"/>
  <c r="AE32" i="6"/>
  <c r="AE78" i="6"/>
  <c r="AE21" i="6"/>
  <c r="AE259" i="6"/>
  <c r="AE235" i="6"/>
  <c r="AE45" i="6"/>
  <c r="AE28" i="6"/>
  <c r="AE151" i="6"/>
  <c r="AE147" i="6"/>
  <c r="AE143" i="6"/>
  <c r="AE139" i="6"/>
  <c r="AE135" i="6"/>
  <c r="AE127" i="6"/>
  <c r="AE49" i="6"/>
  <c r="AE223" i="6"/>
  <c r="AE219" i="6"/>
  <c r="AE209" i="6"/>
  <c r="AE99" i="6"/>
  <c r="AE53" i="6"/>
  <c r="AE35" i="6"/>
  <c r="AE31" i="6"/>
  <c r="AE27" i="6"/>
  <c r="AE81" i="6"/>
  <c r="AE77" i="6"/>
  <c r="AE20" i="6"/>
  <c r="AE258" i="6"/>
  <c r="AE254" i="6"/>
  <c r="AE58" i="6"/>
  <c r="AE234" i="6"/>
  <c r="AE142" i="6"/>
  <c r="AE138" i="6"/>
  <c r="AE134" i="6"/>
  <c r="AE218" i="6"/>
  <c r="AE208" i="6"/>
  <c r="AE190" i="6"/>
  <c r="AE66" i="6"/>
  <c r="AE61" i="6"/>
  <c r="AE213" i="6"/>
  <c r="AE195" i="6"/>
  <c r="AE185" i="6"/>
  <c r="AE169" i="6"/>
  <c r="AE157" i="6"/>
  <c r="AE145" i="6"/>
  <c r="AE141" i="6"/>
  <c r="AE137" i="6"/>
  <c r="AE39" i="6"/>
  <c r="AE34" i="6"/>
  <c r="AE30" i="6"/>
  <c r="AE26" i="6"/>
  <c r="AE233" i="6"/>
  <c r="AE52" i="6"/>
  <c r="AE261" i="6"/>
  <c r="AE105" i="6"/>
  <c r="AE22" i="6"/>
  <c r="AE93" i="6"/>
  <c r="AE69" i="6"/>
  <c r="AE51" i="6"/>
  <c r="AE46" i="6"/>
  <c r="AE211" i="6"/>
  <c r="AE24" i="6"/>
  <c r="AE25" i="6"/>
  <c r="AE167" i="6"/>
  <c r="AE76" i="6"/>
  <c r="AE91" i="6"/>
  <c r="AE90" i="6"/>
  <c r="AE256" i="6"/>
  <c r="AE252" i="6"/>
  <c r="AE248" i="6"/>
  <c r="AE244" i="6"/>
  <c r="AE232" i="6"/>
  <c r="AE224" i="6"/>
  <c r="AE216" i="6"/>
  <c r="AE212" i="6"/>
  <c r="AE206" i="6"/>
  <c r="AE255" i="6"/>
  <c r="AE180" i="6"/>
  <c r="AE172" i="6"/>
  <c r="AE162" i="6"/>
  <c r="AE132" i="6"/>
  <c r="AE128" i="6"/>
  <c r="AE124" i="6"/>
  <c r="AE120" i="6"/>
  <c r="AE116" i="6"/>
  <c r="AE112" i="6"/>
  <c r="AE108" i="6"/>
  <c r="AE104" i="6"/>
  <c r="AE96" i="6"/>
  <c r="AE156" i="6"/>
  <c r="AE148" i="6"/>
  <c r="AE92" i="6"/>
  <c r="AE86" i="6"/>
  <c r="AE82" i="6"/>
  <c r="AE72" i="6"/>
  <c r="AE68" i="6"/>
  <c r="AE64" i="6"/>
  <c r="AE198" i="6"/>
  <c r="AE100" i="6"/>
  <c r="AE184" i="6"/>
  <c r="AE176" i="6"/>
  <c r="AE168" i="6"/>
  <c r="AE59" i="6"/>
  <c r="AE215" i="6"/>
  <c r="AE54" i="6"/>
  <c r="AE247" i="6"/>
  <c r="AE155" i="6"/>
  <c r="AE131" i="6"/>
  <c r="AE123" i="6"/>
  <c r="AE119" i="6"/>
  <c r="AE115" i="6"/>
  <c r="AE227" i="6"/>
  <c r="AE205" i="6"/>
  <c r="AE201" i="6"/>
  <c r="AE197" i="6"/>
  <c r="AE193" i="6"/>
  <c r="AE183" i="6"/>
  <c r="AE179" i="6"/>
  <c r="AE175" i="6"/>
  <c r="AE171" i="6"/>
  <c r="AE165" i="6"/>
  <c r="AE161" i="6"/>
  <c r="AE107" i="6"/>
  <c r="AE63" i="6"/>
  <c r="AE48" i="6"/>
  <c r="AE44" i="6"/>
  <c r="AE40" i="6"/>
  <c r="AE251" i="6"/>
  <c r="AE111" i="6"/>
  <c r="AE67" i="6"/>
  <c r="AE103" i="6"/>
  <c r="AE85" i="6"/>
  <c r="AE250" i="6"/>
  <c r="AE246" i="6"/>
  <c r="AE95" i="6"/>
  <c r="AE89" i="6"/>
  <c r="AE71" i="6"/>
  <c r="AE243" i="6"/>
  <c r="AE239" i="6"/>
  <c r="AE231" i="6"/>
  <c r="AE242" i="6"/>
  <c r="AE230" i="6"/>
  <c r="AE154" i="6"/>
  <c r="AE150" i="6"/>
  <c r="AE146" i="6"/>
  <c r="AE122" i="6"/>
  <c r="AE118" i="6"/>
  <c r="AE106" i="6"/>
  <c r="AE84" i="6"/>
  <c r="AE80" i="6"/>
  <c r="AE238" i="6"/>
  <c r="AE226" i="6"/>
  <c r="AE214" i="6"/>
  <c r="AE130" i="6"/>
  <c r="AE114" i="6"/>
  <c r="AE102" i="6"/>
  <c r="AE98" i="6"/>
  <c r="AE94" i="6"/>
  <c r="AE222" i="6"/>
  <c r="AE204" i="6"/>
  <c r="AE200" i="6"/>
  <c r="AE196" i="6"/>
  <c r="AE182" i="6"/>
  <c r="AE178" i="6"/>
  <c r="AE174" i="6"/>
  <c r="AE170" i="6"/>
  <c r="AE164" i="6"/>
  <c r="AE160" i="6"/>
  <c r="AE126" i="6"/>
  <c r="AE110" i="6"/>
  <c r="AE88" i="6"/>
  <c r="AE74" i="6"/>
  <c r="AE70" i="6"/>
  <c r="AE57" i="6"/>
  <c r="AE225" i="6"/>
  <c r="AE221" i="6"/>
  <c r="AE217" i="6"/>
  <c r="AE207" i="6"/>
  <c r="AE203" i="6"/>
  <c r="AE199" i="6"/>
  <c r="AE181" i="6"/>
  <c r="AE177" i="6"/>
  <c r="AE173" i="6"/>
  <c r="AE163" i="6"/>
  <c r="AE153" i="6"/>
  <c r="AE149" i="6"/>
  <c r="AE241" i="6"/>
  <c r="AE237" i="6"/>
  <c r="AE229" i="6"/>
  <c r="AE47" i="6"/>
  <c r="AE43" i="6"/>
  <c r="AE253" i="6"/>
  <c r="AE249" i="6"/>
  <c r="AE245" i="6"/>
  <c r="AE125" i="6"/>
  <c r="AE60" i="6"/>
  <c r="AE133" i="6"/>
  <c r="AE129" i="6"/>
  <c r="AE109" i="6"/>
  <c r="AE79" i="6"/>
  <c r="AE73" i="6"/>
  <c r="AE65" i="6"/>
  <c r="AE42" i="6"/>
  <c r="AE37" i="6"/>
  <c r="AE33" i="6"/>
  <c r="AE117" i="6"/>
  <c r="AE113" i="6"/>
  <c r="AE97" i="6"/>
  <c r="AE83" i="6"/>
  <c r="AE121" i="6"/>
  <c r="AE101" i="6"/>
  <c r="AE87" i="6"/>
  <c r="AE55" i="6"/>
  <c r="AE29" i="6"/>
  <c r="BC56" i="1"/>
  <c r="BC155" i="1"/>
  <c r="BB360" i="1"/>
  <c r="BB350" i="1"/>
  <c r="BB352" i="1"/>
  <c r="BC365" i="1"/>
  <c r="BC364" i="1"/>
  <c r="BB106" i="1"/>
  <c r="BB363" i="1"/>
  <c r="BB361" i="1"/>
  <c r="BB362" i="1"/>
  <c r="AD10" i="6"/>
  <c r="AD14" i="6"/>
  <c r="AD8" i="6"/>
  <c r="AD9" i="6"/>
  <c r="AD13" i="6"/>
  <c r="AD12" i="6"/>
  <c r="AD11" i="6"/>
  <c r="BC371" i="1"/>
  <c r="BC372" i="1"/>
  <c r="BC370" i="1"/>
  <c r="BC369" i="1"/>
  <c r="BC368" i="1"/>
  <c r="BB302" i="1"/>
  <c r="BB330" i="1"/>
  <c r="BC79" i="1"/>
  <c r="BC50" i="1"/>
  <c r="BC354" i="1"/>
  <c r="BC357" i="1"/>
  <c r="BC356" i="1"/>
  <c r="BC355" i="1"/>
  <c r="BC359" i="1"/>
  <c r="BC358" i="1"/>
  <c r="BB366" i="1"/>
  <c r="BB367" i="1"/>
  <c r="BB321" i="1"/>
  <c r="BB336" i="1"/>
  <c r="BB337" i="1"/>
  <c r="BB333" i="1"/>
  <c r="BB332" i="1"/>
  <c r="BC353" i="1"/>
  <c r="BC351" i="1"/>
  <c r="BB346" i="1"/>
  <c r="BB344" i="1"/>
  <c r="BB343" i="1"/>
  <c r="BB338" i="1"/>
  <c r="BB107" i="1"/>
  <c r="BB341" i="1"/>
  <c r="BB339" i="1"/>
  <c r="BB348" i="1"/>
  <c r="BB347" i="1"/>
  <c r="BB345" i="1"/>
  <c r="BB349" i="1"/>
  <c r="BB340" i="1"/>
  <c r="BB342" i="1"/>
  <c r="BB334" i="1"/>
  <c r="BC335" i="1"/>
  <c r="BB233" i="1"/>
  <c r="BB42" i="1"/>
  <c r="BB110" i="1"/>
  <c r="BB78" i="1"/>
  <c r="BB164" i="1"/>
  <c r="BB213" i="1"/>
  <c r="BB293" i="1"/>
  <c r="BB235" i="1"/>
  <c r="BB306" i="1"/>
  <c r="BB58" i="1"/>
  <c r="BB324" i="1"/>
  <c r="BB239" i="1"/>
  <c r="BB182" i="1"/>
  <c r="BB189" i="1"/>
  <c r="BB236" i="1"/>
  <c r="BB188" i="1"/>
  <c r="BB232" i="1"/>
  <c r="BB161" i="1"/>
  <c r="BB287" i="1"/>
  <c r="BB229" i="1"/>
  <c r="BB228" i="1"/>
  <c r="BB231" i="1"/>
  <c r="AF1" i="6"/>
  <c r="BB72" i="1"/>
  <c r="BB173" i="1"/>
  <c r="BB183" i="1"/>
  <c r="BB187" i="1"/>
  <c r="BB190" i="1"/>
  <c r="BB194" i="1"/>
  <c r="BB198" i="1"/>
  <c r="BB208" i="1"/>
  <c r="BB216" i="1"/>
  <c r="BB220" i="1"/>
  <c r="BB223" i="1"/>
  <c r="BB69" i="1"/>
  <c r="BB95" i="1"/>
  <c r="BB109" i="1"/>
  <c r="BB130" i="1"/>
  <c r="BB141" i="1"/>
  <c r="BB212" i="1"/>
  <c r="BB37" i="1"/>
  <c r="BB70" i="1"/>
  <c r="BB66" i="1"/>
  <c r="BB137" i="1"/>
  <c r="BB153" i="1"/>
  <c r="BB166" i="1"/>
  <c r="BB35" i="1"/>
  <c r="BB88" i="1"/>
  <c r="BB98" i="1"/>
  <c r="BB105" i="1"/>
  <c r="BB119" i="1"/>
  <c r="BB149" i="1"/>
  <c r="BB162" i="1"/>
  <c r="BB177" i="1"/>
  <c r="BB99" i="1"/>
  <c r="BB202" i="1"/>
  <c r="BB217" i="1"/>
  <c r="BB134" i="1"/>
  <c r="BB138" i="1"/>
  <c r="BB142" i="1"/>
  <c r="BB150" i="1"/>
  <c r="BB156" i="1"/>
  <c r="BB163" i="1"/>
  <c r="BB167" i="1"/>
  <c r="BB170" i="1"/>
  <c r="BB174" i="1"/>
  <c r="BB180" i="1"/>
  <c r="BB184" i="1"/>
  <c r="BB199" i="1"/>
  <c r="BB242" i="1"/>
  <c r="BB250" i="1"/>
  <c r="BB253" i="1"/>
  <c r="BB257" i="1"/>
  <c r="BB261" i="1"/>
  <c r="BB265" i="1"/>
  <c r="BB268" i="1"/>
  <c r="BB272" i="1"/>
  <c r="BB279" i="1"/>
  <c r="BB286" i="1"/>
  <c r="BB290" i="1"/>
  <c r="BB303" i="1"/>
  <c r="BB195" i="1"/>
  <c r="BB209" i="1"/>
  <c r="BB246" i="1"/>
  <c r="BB299" i="1"/>
  <c r="BB315" i="1"/>
  <c r="BB191" i="1"/>
  <c r="BB205" i="1"/>
  <c r="BB221" i="1"/>
  <c r="BB295" i="1"/>
  <c r="BB311" i="1"/>
  <c r="BB322" i="1"/>
  <c r="BB89" i="1"/>
  <c r="BB111" i="1"/>
  <c r="BB117" i="1"/>
  <c r="BB143" i="1"/>
  <c r="BB157" i="1"/>
  <c r="BB171" i="1"/>
  <c r="BB203" i="1"/>
  <c r="BB218" i="1"/>
  <c r="BB127" i="1"/>
  <c r="BB29" i="1"/>
  <c r="BB74" i="1"/>
  <c r="BB128" i="1"/>
  <c r="BB139" i="1"/>
  <c r="BB154" i="1"/>
  <c r="BB168" i="1"/>
  <c r="BB185" i="1"/>
  <c r="BB200" i="1"/>
  <c r="BB214" i="1"/>
  <c r="BB73" i="1"/>
  <c r="BB92" i="1"/>
  <c r="BB121" i="1"/>
  <c r="BB135" i="1"/>
  <c r="BB151" i="1"/>
  <c r="BB181" i="1"/>
  <c r="BB196" i="1"/>
  <c r="BB210" i="1"/>
  <c r="BB33" i="1"/>
  <c r="BB100" i="1"/>
  <c r="BB124" i="1"/>
  <c r="BB132" i="1"/>
  <c r="BB237" i="1"/>
  <c r="BB118" i="1"/>
  <c r="BB125" i="1"/>
  <c r="BB144" i="1"/>
  <c r="BB172" i="1"/>
  <c r="BB204" i="1"/>
  <c r="BB219" i="1"/>
  <c r="BB258" i="1"/>
  <c r="BB280" i="1"/>
  <c r="BB308" i="1"/>
  <c r="BB316" i="1"/>
  <c r="BB318" i="1"/>
  <c r="BB255" i="1"/>
  <c r="BB263" i="1"/>
  <c r="BB277" i="1"/>
  <c r="BB297" i="1"/>
  <c r="BB305" i="1"/>
  <c r="BB309" i="1"/>
  <c r="BB206" i="1"/>
  <c r="BB116" i="1"/>
  <c r="BB112" i="1"/>
  <c r="BB129" i="1"/>
  <c r="BB169" i="1"/>
  <c r="BB186" i="1"/>
  <c r="BB201" i="1"/>
  <c r="BB215" i="1"/>
  <c r="BB254" i="1"/>
  <c r="BB276" i="1"/>
  <c r="BB291" i="1"/>
  <c r="BB304" i="1"/>
  <c r="BB240" i="1"/>
  <c r="BB274" i="1"/>
  <c r="BB285" i="1"/>
  <c r="BB292" i="1"/>
  <c r="BB294" i="1"/>
  <c r="BB96" i="1"/>
  <c r="BB120" i="1"/>
  <c r="BB97" i="1"/>
  <c r="BB122" i="1"/>
  <c r="BB136" i="1"/>
  <c r="BB152" i="1"/>
  <c r="BB165" i="1"/>
  <c r="BB179" i="1"/>
  <c r="BB197" i="1"/>
  <c r="BB211" i="1"/>
  <c r="BB238" i="1"/>
  <c r="BB273" i="1"/>
  <c r="BB284" i="1"/>
  <c r="BB326" i="1"/>
  <c r="BB248" i="1"/>
  <c r="BB259" i="1"/>
  <c r="BB270" i="1"/>
  <c r="BB281" i="1"/>
  <c r="BB192" i="1"/>
  <c r="BB131" i="1"/>
  <c r="BB27" i="1"/>
  <c r="BB75" i="1"/>
  <c r="BB108" i="1"/>
  <c r="BB148" i="1"/>
  <c r="BB176" i="1"/>
  <c r="BB193" i="1"/>
  <c r="BB207" i="1"/>
  <c r="BB222" i="1"/>
  <c r="BB247" i="1"/>
  <c r="BB269" i="1"/>
  <c r="BB323" i="1"/>
  <c r="BB266" i="1"/>
  <c r="BB245" i="1"/>
  <c r="BB256" i="1"/>
  <c r="BB271" i="1"/>
  <c r="BB278" i="1"/>
  <c r="BB298" i="1"/>
  <c r="BB325" i="1"/>
  <c r="BB241" i="1"/>
  <c r="BB267" i="1"/>
  <c r="BB310" i="1"/>
  <c r="BB252" i="1"/>
  <c r="BB264" i="1"/>
  <c r="BB275" i="1"/>
  <c r="BB260" i="1"/>
  <c r="BB289" i="1"/>
  <c r="BC41" i="1"/>
  <c r="BC45" i="1"/>
  <c r="BC61" i="1"/>
  <c r="BC82" i="1"/>
  <c r="BC85" i="1"/>
  <c r="BC90" i="1"/>
  <c r="BC101" i="1"/>
  <c r="BC227" i="1"/>
  <c r="BC54" i="1"/>
  <c r="BC43" i="1"/>
  <c r="BC52" i="1"/>
  <c r="BC64" i="1"/>
  <c r="BC76" i="1"/>
  <c r="BC113" i="1"/>
  <c r="BC126" i="1"/>
  <c r="BC133" i="1"/>
  <c r="BC31" i="1"/>
  <c r="BC39" i="1"/>
  <c r="BC48" i="1"/>
  <c r="BC63" i="1"/>
  <c r="BC145" i="1"/>
  <c r="BC28" i="1"/>
  <c r="BC329" i="1"/>
  <c r="BC65" i="1"/>
  <c r="BC86" i="1"/>
  <c r="BC146" i="1"/>
  <c r="BC159" i="1"/>
  <c r="BC224" i="1"/>
  <c r="BC67" i="1"/>
  <c r="BC123" i="1"/>
  <c r="BC59" i="1"/>
  <c r="BC49" i="1"/>
  <c r="BC283" i="1"/>
  <c r="BC307" i="1"/>
  <c r="BC114" i="1"/>
  <c r="BC40" i="1"/>
  <c r="BC55" i="1"/>
  <c r="BC83" i="1"/>
  <c r="BC103" i="1"/>
  <c r="BC225" i="1"/>
  <c r="BC32" i="1"/>
  <c r="BC46" i="1"/>
  <c r="BC77" i="1"/>
  <c r="BC147" i="1"/>
  <c r="BC160" i="1"/>
  <c r="BC178" i="1"/>
  <c r="BC93" i="1"/>
  <c r="BC53" i="1"/>
  <c r="BC80" i="1"/>
  <c r="BC30" i="1"/>
  <c r="BC38" i="1"/>
  <c r="BC47" i="1"/>
  <c r="BC57" i="1"/>
  <c r="BC81" i="1"/>
  <c r="BC84" i="1"/>
  <c r="BC104" i="1"/>
  <c r="BC140" i="1"/>
  <c r="BC230" i="1"/>
  <c r="BC71" i="1"/>
  <c r="BC243" i="1"/>
  <c r="BC288" i="1"/>
  <c r="BC313" i="1"/>
  <c r="BC327" i="1"/>
  <c r="BC115" i="1"/>
  <c r="BC226" i="1"/>
  <c r="BC62" i="1"/>
  <c r="BC300" i="1"/>
  <c r="BC175" i="1"/>
  <c r="BC44" i="1"/>
  <c r="BC102" i="1"/>
  <c r="BC34" i="1"/>
  <c r="BC36" i="1"/>
  <c r="BC51" i="1"/>
  <c r="BC60" i="1"/>
  <c r="BC68" i="1"/>
  <c r="BC87" i="1"/>
  <c r="BC234" i="1"/>
  <c r="BC296" i="1"/>
  <c r="BC312" i="1"/>
  <c r="BC244" i="1"/>
  <c r="BC319" i="1"/>
  <c r="BC91" i="1"/>
  <c r="BC94" i="1"/>
  <c r="BC158" i="1"/>
  <c r="BC251" i="1"/>
  <c r="BC262" i="1"/>
  <c r="BC301" i="1"/>
  <c r="BC317" i="1"/>
  <c r="BC331" i="1"/>
  <c r="BC314" i="1"/>
  <c r="BC328" i="1"/>
  <c r="BC249" i="1"/>
  <c r="BC282" i="1"/>
  <c r="BC320" i="1"/>
  <c r="AF2" i="6"/>
  <c r="B51" i="10"/>
  <c r="BD23" i="1"/>
  <c r="BC26" i="1"/>
  <c r="AF23" i="8"/>
  <c r="B21" i="10" s="1"/>
  <c r="BC22" i="1"/>
  <c r="AG1" i="6" l="1"/>
  <c r="AF211" i="6"/>
  <c r="AF76" i="6"/>
  <c r="AF25" i="6"/>
  <c r="AF90" i="6"/>
  <c r="AF167" i="6"/>
  <c r="AF24" i="6"/>
  <c r="AF91" i="6"/>
  <c r="AF255" i="6"/>
  <c r="AF256" i="6"/>
  <c r="AF252" i="6"/>
  <c r="AF248" i="6"/>
  <c r="AF244" i="6"/>
  <c r="AF232" i="6"/>
  <c r="AF212" i="6"/>
  <c r="AF224" i="6"/>
  <c r="AF216" i="6"/>
  <c r="AF206" i="6"/>
  <c r="AF198" i="6"/>
  <c r="AF184" i="6"/>
  <c r="AF180" i="6"/>
  <c r="AF176" i="6"/>
  <c r="AF172" i="6"/>
  <c r="AF168" i="6"/>
  <c r="AF162" i="6"/>
  <c r="AF104" i="6"/>
  <c r="AF100" i="6"/>
  <c r="AF96" i="6"/>
  <c r="AF92" i="6"/>
  <c r="AF86" i="6"/>
  <c r="AF82" i="6"/>
  <c r="AF132" i="6"/>
  <c r="AF128" i="6"/>
  <c r="AF124" i="6"/>
  <c r="AF120" i="6"/>
  <c r="AF116" i="6"/>
  <c r="AF112" i="6"/>
  <c r="AF148" i="6"/>
  <c r="AF108" i="6"/>
  <c r="AF54" i="6"/>
  <c r="AF72" i="6"/>
  <c r="AF68" i="6"/>
  <c r="AF64" i="6"/>
  <c r="AF59" i="6"/>
  <c r="AF156" i="6"/>
  <c r="AF227" i="6"/>
  <c r="AF205" i="6"/>
  <c r="AF201" i="6"/>
  <c r="AF197" i="6"/>
  <c r="AF193" i="6"/>
  <c r="AF183" i="6"/>
  <c r="AF179" i="6"/>
  <c r="AF175" i="6"/>
  <c r="AF171" i="6"/>
  <c r="AF165" i="6"/>
  <c r="AF161" i="6"/>
  <c r="AF215" i="6"/>
  <c r="AF247" i="6"/>
  <c r="AF155" i="6"/>
  <c r="AF107" i="6"/>
  <c r="AF48" i="6"/>
  <c r="AF44" i="6"/>
  <c r="AF131" i="6"/>
  <c r="AF123" i="6"/>
  <c r="AF115" i="6"/>
  <c r="AF111" i="6"/>
  <c r="AF95" i="6"/>
  <c r="AF85" i="6"/>
  <c r="AF71" i="6"/>
  <c r="AF67" i="6"/>
  <c r="AF63" i="6"/>
  <c r="AF40" i="6"/>
  <c r="AF251" i="6"/>
  <c r="AF243" i="6"/>
  <c r="AF239" i="6"/>
  <c r="AF231" i="6"/>
  <c r="AF250" i="6"/>
  <c r="AF246" i="6"/>
  <c r="AF119" i="6"/>
  <c r="AF103" i="6"/>
  <c r="AF89" i="6"/>
  <c r="AF238" i="6"/>
  <c r="AF230" i="6"/>
  <c r="AF222" i="6"/>
  <c r="AF204" i="6"/>
  <c r="AF200" i="6"/>
  <c r="AF196" i="6"/>
  <c r="AF182" i="6"/>
  <c r="AF178" i="6"/>
  <c r="AF174" i="6"/>
  <c r="AF170" i="6"/>
  <c r="AF164" i="6"/>
  <c r="AF160" i="6"/>
  <c r="AH160" i="6" s="1"/>
  <c r="AF226" i="6"/>
  <c r="AF242" i="6"/>
  <c r="AF214" i="6"/>
  <c r="AF154" i="6"/>
  <c r="AF150" i="6"/>
  <c r="AF146" i="6"/>
  <c r="AF130" i="6"/>
  <c r="AF126" i="6"/>
  <c r="AH126" i="6" s="1"/>
  <c r="AF122" i="6"/>
  <c r="AF118" i="6"/>
  <c r="AF114" i="6"/>
  <c r="AF110" i="6"/>
  <c r="AH110" i="6" s="1"/>
  <c r="AF106" i="6"/>
  <c r="AF102" i="6"/>
  <c r="AF98" i="6"/>
  <c r="AF94" i="6"/>
  <c r="AF88" i="6"/>
  <c r="AF84" i="6"/>
  <c r="AF80" i="6"/>
  <c r="AF74" i="6"/>
  <c r="AF70" i="6"/>
  <c r="AF253" i="6"/>
  <c r="AF249" i="6"/>
  <c r="AF245" i="6"/>
  <c r="AF241" i="6"/>
  <c r="AF237" i="6"/>
  <c r="AF153" i="6"/>
  <c r="AF149" i="6"/>
  <c r="AH149" i="6" s="1"/>
  <c r="AF47" i="6"/>
  <c r="AF43" i="6"/>
  <c r="AF225" i="6"/>
  <c r="AF221" i="6"/>
  <c r="AH221" i="6" s="1"/>
  <c r="AF217" i="6"/>
  <c r="AF207" i="6"/>
  <c r="AF203" i="6"/>
  <c r="AF199" i="6"/>
  <c r="AH199" i="6" s="1"/>
  <c r="AF181" i="6"/>
  <c r="AF177" i="6"/>
  <c r="AF173" i="6"/>
  <c r="AF163" i="6"/>
  <c r="AH163" i="6" s="1"/>
  <c r="AF57" i="6"/>
  <c r="AF229" i="6"/>
  <c r="AF121" i="6"/>
  <c r="AF101" i="6"/>
  <c r="AH101" i="6" s="1"/>
  <c r="AF83" i="6"/>
  <c r="AF125" i="6"/>
  <c r="AF87" i="6"/>
  <c r="AF79" i="6"/>
  <c r="AH79" i="6" s="1"/>
  <c r="AF73" i="6"/>
  <c r="AF65" i="6"/>
  <c r="AF60" i="6"/>
  <c r="AF55" i="6"/>
  <c r="AF42" i="6"/>
  <c r="AF37" i="6"/>
  <c r="AF33" i="6"/>
  <c r="AF29" i="6"/>
  <c r="AF133" i="6"/>
  <c r="AF129" i="6"/>
  <c r="AF109" i="6"/>
  <c r="AF117" i="6"/>
  <c r="AH117" i="6" s="1"/>
  <c r="AF113" i="6"/>
  <c r="AF97" i="6"/>
  <c r="AF186" i="6"/>
  <c r="AF191" i="6"/>
  <c r="AH191" i="6" s="1"/>
  <c r="AF187" i="6"/>
  <c r="AF192" i="6"/>
  <c r="AF188" i="6"/>
  <c r="AF189" i="6"/>
  <c r="AF23" i="6"/>
  <c r="AF56" i="6"/>
  <c r="AF159" i="6"/>
  <c r="AF75" i="6"/>
  <c r="AF210" i="6"/>
  <c r="AF166" i="6"/>
  <c r="AF158" i="6"/>
  <c r="AF62" i="6"/>
  <c r="AH62" i="6" s="1"/>
  <c r="AF50" i="6"/>
  <c r="AF38" i="6"/>
  <c r="AG2" i="6"/>
  <c r="AF257" i="6"/>
  <c r="AF260" i="6"/>
  <c r="AF240" i="6"/>
  <c r="AF236" i="6"/>
  <c r="AF19" i="6"/>
  <c r="AF228" i="6"/>
  <c r="AF220" i="6"/>
  <c r="AF202" i="6"/>
  <c r="AF194" i="6"/>
  <c r="AF152" i="6"/>
  <c r="AF144" i="6"/>
  <c r="AF78" i="6"/>
  <c r="AF140" i="6"/>
  <c r="AF136" i="6"/>
  <c r="AF49" i="6"/>
  <c r="AF45" i="6"/>
  <c r="AF41" i="6"/>
  <c r="AH41" i="6" s="1"/>
  <c r="AF36" i="6"/>
  <c r="AF32" i="6"/>
  <c r="AF223" i="6"/>
  <c r="AF219" i="6"/>
  <c r="AH219" i="6" s="1"/>
  <c r="AF209" i="6"/>
  <c r="AF21" i="6"/>
  <c r="AF28" i="6"/>
  <c r="AF259" i="6"/>
  <c r="AF235" i="6"/>
  <c r="AF151" i="6"/>
  <c r="AF147" i="6"/>
  <c r="AF143" i="6"/>
  <c r="AH143" i="6" s="1"/>
  <c r="AF139" i="6"/>
  <c r="AF53" i="6"/>
  <c r="AF99" i="6"/>
  <c r="AF81" i="6"/>
  <c r="AH81" i="6" s="1"/>
  <c r="AF77" i="6"/>
  <c r="AH77" i="6" s="1"/>
  <c r="AF58" i="6"/>
  <c r="AF35" i="6"/>
  <c r="AF31" i="6"/>
  <c r="AH31" i="6" s="1"/>
  <c r="AF27" i="6"/>
  <c r="AF20" i="6"/>
  <c r="AF258" i="6"/>
  <c r="AF254" i="6"/>
  <c r="AH254" i="6" s="1"/>
  <c r="AF135" i="6"/>
  <c r="AH135" i="6" s="1"/>
  <c r="AF127" i="6"/>
  <c r="AF218" i="6"/>
  <c r="AF208" i="6"/>
  <c r="AF190" i="6"/>
  <c r="AH190" i="6" s="1"/>
  <c r="AF234" i="6"/>
  <c r="AH234" i="6" s="1"/>
  <c r="AF142" i="6"/>
  <c r="AF138" i="6"/>
  <c r="AF134" i="6"/>
  <c r="AF66" i="6"/>
  <c r="AF61" i="6"/>
  <c r="AF39" i="6"/>
  <c r="AH39" i="6" s="1"/>
  <c r="AF34" i="6"/>
  <c r="AH34" i="6" s="1"/>
  <c r="AF30" i="6"/>
  <c r="AF26" i="6"/>
  <c r="AF261" i="6"/>
  <c r="AF233" i="6"/>
  <c r="AH233" i="6" s="1"/>
  <c r="AF213" i="6"/>
  <c r="AF157" i="6"/>
  <c r="AF145" i="6"/>
  <c r="AH145" i="6" s="1"/>
  <c r="AF141" i="6"/>
  <c r="AH141" i="6" s="1"/>
  <c r="AF137" i="6"/>
  <c r="AF52" i="6"/>
  <c r="AF195" i="6"/>
  <c r="AH195" i="6" s="1"/>
  <c r="AF185" i="6"/>
  <c r="AH185" i="6" s="1"/>
  <c r="AF169" i="6"/>
  <c r="AF22" i="6"/>
  <c r="AF105" i="6"/>
  <c r="AH105" i="6" s="1"/>
  <c r="AF69" i="6"/>
  <c r="AF51" i="6"/>
  <c r="AF46" i="6"/>
  <c r="AF93" i="6"/>
  <c r="AH93" i="6" s="1"/>
  <c r="BC352" i="1"/>
  <c r="BC360" i="1"/>
  <c r="BC350" i="1"/>
  <c r="BD155" i="1"/>
  <c r="BD56" i="1"/>
  <c r="BC106" i="1"/>
  <c r="BC363" i="1"/>
  <c r="BC362" i="1"/>
  <c r="BC361" i="1"/>
  <c r="BD365" i="1"/>
  <c r="BF365" i="1" s="1"/>
  <c r="BD364" i="1"/>
  <c r="BF364" i="1" s="1"/>
  <c r="AE11" i="6"/>
  <c r="AE14" i="6"/>
  <c r="AE13" i="6"/>
  <c r="AE8" i="6"/>
  <c r="AE12" i="6"/>
  <c r="AE10" i="6"/>
  <c r="AE9" i="6"/>
  <c r="BD372" i="1"/>
  <c r="BF372" i="1" s="1"/>
  <c r="BD369" i="1"/>
  <c r="BF369" i="1" s="1"/>
  <c r="BD368" i="1"/>
  <c r="BF368" i="1" s="1"/>
  <c r="BD371" i="1"/>
  <c r="BF371" i="1" s="1"/>
  <c r="BD370" i="1"/>
  <c r="BE23" i="1"/>
  <c r="BC302" i="1"/>
  <c r="BC330" i="1"/>
  <c r="BD79" i="1"/>
  <c r="BF79" i="1" s="1"/>
  <c r="BD50" i="1"/>
  <c r="BF50" i="1" s="1"/>
  <c r="BC336" i="1"/>
  <c r="BC332" i="1"/>
  <c r="BC367" i="1"/>
  <c r="BC366" i="1"/>
  <c r="BC333" i="1"/>
  <c r="BD357" i="1"/>
  <c r="BD356" i="1"/>
  <c r="BD358" i="1"/>
  <c r="BD355" i="1"/>
  <c r="BD359" i="1"/>
  <c r="BD354" i="1"/>
  <c r="BC337" i="1"/>
  <c r="BC321" i="1"/>
  <c r="BC343" i="1"/>
  <c r="BC338" i="1"/>
  <c r="BC344" i="1"/>
  <c r="BC346" i="1"/>
  <c r="BD353" i="1"/>
  <c r="BF353" i="1" s="1"/>
  <c r="BD351" i="1"/>
  <c r="BF351" i="1" s="1"/>
  <c r="BC107" i="1"/>
  <c r="BC341" i="1"/>
  <c r="BC340" i="1"/>
  <c r="BC339" i="1"/>
  <c r="BC349" i="1"/>
  <c r="BC348" i="1"/>
  <c r="BC347" i="1"/>
  <c r="BC345" i="1"/>
  <c r="BC342" i="1"/>
  <c r="BC334" i="1"/>
  <c r="BD335" i="1"/>
  <c r="BF335" i="1" s="1"/>
  <c r="BC287" i="1"/>
  <c r="BC236" i="1"/>
  <c r="BC110" i="1"/>
  <c r="BC58" i="1"/>
  <c r="BC228" i="1"/>
  <c r="BC189" i="1"/>
  <c r="BC164" i="1"/>
  <c r="BC233" i="1"/>
  <c r="BC324" i="1"/>
  <c r="BC229" i="1"/>
  <c r="BC293" i="1"/>
  <c r="BC213" i="1"/>
  <c r="BC235" i="1"/>
  <c r="BC78" i="1"/>
  <c r="BC161" i="1"/>
  <c r="BC306" i="1"/>
  <c r="BC182" i="1"/>
  <c r="BC239" i="1"/>
  <c r="BC42" i="1"/>
  <c r="BC188" i="1"/>
  <c r="BC232" i="1"/>
  <c r="BC231" i="1"/>
  <c r="BD41" i="1"/>
  <c r="BF41" i="1" s="1"/>
  <c r="BD43" i="1"/>
  <c r="BF43" i="1" s="1"/>
  <c r="BD38" i="1"/>
  <c r="BF38" i="1" s="1"/>
  <c r="BD52" i="1"/>
  <c r="BF52" i="1" s="1"/>
  <c r="BD64" i="1"/>
  <c r="BF64" i="1" s="1"/>
  <c r="BD76" i="1"/>
  <c r="BF76" i="1" s="1"/>
  <c r="BD113" i="1"/>
  <c r="BF113" i="1" s="1"/>
  <c r="BD126" i="1"/>
  <c r="BF126" i="1" s="1"/>
  <c r="BD133" i="1"/>
  <c r="BF133" i="1" s="1"/>
  <c r="BD31" i="1"/>
  <c r="BF31" i="1" s="1"/>
  <c r="BD39" i="1"/>
  <c r="BF39" i="1" s="1"/>
  <c r="BD48" i="1"/>
  <c r="BF48" i="1" s="1"/>
  <c r="BD63" i="1"/>
  <c r="BF63" i="1" s="1"/>
  <c r="BD145" i="1"/>
  <c r="BF145" i="1" s="1"/>
  <c r="BD30" i="1"/>
  <c r="BF30" i="1" s="1"/>
  <c r="BD47" i="1"/>
  <c r="BF47" i="1" s="1"/>
  <c r="BD87" i="1"/>
  <c r="BF87" i="1" s="1"/>
  <c r="BD45" i="1"/>
  <c r="BF45" i="1" s="1"/>
  <c r="BD61" i="1"/>
  <c r="BF61" i="1" s="1"/>
  <c r="BD82" i="1"/>
  <c r="BF82" i="1" s="1"/>
  <c r="BD85" i="1"/>
  <c r="BF85" i="1" s="1"/>
  <c r="BD90" i="1"/>
  <c r="BF90" i="1" s="1"/>
  <c r="BD101" i="1"/>
  <c r="BF101" i="1" s="1"/>
  <c r="BD227" i="1"/>
  <c r="BF227" i="1" s="1"/>
  <c r="BD65" i="1"/>
  <c r="BF65" i="1" s="1"/>
  <c r="BD86" i="1"/>
  <c r="BF86" i="1" s="1"/>
  <c r="BD146" i="1"/>
  <c r="BF146" i="1" s="1"/>
  <c r="BD159" i="1"/>
  <c r="BF159" i="1" s="1"/>
  <c r="BD307" i="1"/>
  <c r="BF307" i="1" s="1"/>
  <c r="BD36" i="1"/>
  <c r="BF36" i="1" s="1"/>
  <c r="BD123" i="1"/>
  <c r="BF123" i="1" s="1"/>
  <c r="BD57" i="1"/>
  <c r="BF57" i="1" s="1"/>
  <c r="BD49" i="1"/>
  <c r="BF49" i="1" s="1"/>
  <c r="BD283" i="1"/>
  <c r="BF283" i="1" s="1"/>
  <c r="BD28" i="1"/>
  <c r="BF28" i="1" s="1"/>
  <c r="BD224" i="1"/>
  <c r="BF224" i="1" s="1"/>
  <c r="BD68" i="1"/>
  <c r="BF68" i="1" s="1"/>
  <c r="BD40" i="1"/>
  <c r="BF40" i="1" s="1"/>
  <c r="BD55" i="1"/>
  <c r="BF55" i="1" s="1"/>
  <c r="BD83" i="1"/>
  <c r="BF83" i="1" s="1"/>
  <c r="BD54" i="1"/>
  <c r="BF54" i="1" s="1"/>
  <c r="BD62" i="1"/>
  <c r="BF62" i="1" s="1"/>
  <c r="BD71" i="1"/>
  <c r="BF71" i="1" s="1"/>
  <c r="BD147" i="1"/>
  <c r="BF147" i="1" s="1"/>
  <c r="BD160" i="1"/>
  <c r="BF160" i="1" s="1"/>
  <c r="BD175" i="1"/>
  <c r="BD93" i="1"/>
  <c r="BF93" i="1" s="1"/>
  <c r="BD60" i="1"/>
  <c r="BF60" i="1" s="1"/>
  <c r="BD32" i="1"/>
  <c r="BF32" i="1" s="1"/>
  <c r="BD46" i="1"/>
  <c r="BF46" i="1" s="1"/>
  <c r="BD77" i="1"/>
  <c r="BF77" i="1" s="1"/>
  <c r="BD59" i="1"/>
  <c r="BF59" i="1" s="1"/>
  <c r="BD67" i="1"/>
  <c r="BF67" i="1" s="1"/>
  <c r="BD103" i="1"/>
  <c r="BF103" i="1" s="1"/>
  <c r="BD329" i="1"/>
  <c r="BF329" i="1" s="1"/>
  <c r="BD114" i="1"/>
  <c r="BF114" i="1" s="1"/>
  <c r="BD81" i="1"/>
  <c r="BF81" i="1" s="1"/>
  <c r="BD84" i="1"/>
  <c r="BF84" i="1" s="1"/>
  <c r="BD226" i="1"/>
  <c r="BF226" i="1" s="1"/>
  <c r="BD262" i="1"/>
  <c r="BF262" i="1" s="1"/>
  <c r="BD300" i="1"/>
  <c r="BF300" i="1" s="1"/>
  <c r="BD244" i="1"/>
  <c r="BF244" i="1" s="1"/>
  <c r="BD44" i="1"/>
  <c r="BF44" i="1" s="1"/>
  <c r="BD102" i="1"/>
  <c r="BF102" i="1" s="1"/>
  <c r="BD140" i="1"/>
  <c r="BF140" i="1" s="1"/>
  <c r="BD158" i="1"/>
  <c r="BF158" i="1" s="1"/>
  <c r="BD234" i="1"/>
  <c r="BF234" i="1" s="1"/>
  <c r="BD51" i="1"/>
  <c r="BF51" i="1" s="1"/>
  <c r="BD296" i="1"/>
  <c r="BF296" i="1" s="1"/>
  <c r="BD312" i="1"/>
  <c r="BF312" i="1" s="1"/>
  <c r="BD319" i="1"/>
  <c r="BF319" i="1" s="1"/>
  <c r="BD178" i="1"/>
  <c r="BF178" i="1" s="1"/>
  <c r="BD91" i="1"/>
  <c r="BF91" i="1" s="1"/>
  <c r="BD243" i="1"/>
  <c r="BF243" i="1" s="1"/>
  <c r="BD301" i="1"/>
  <c r="BF301" i="1" s="1"/>
  <c r="BD317" i="1"/>
  <c r="BF317" i="1" s="1"/>
  <c r="BD331" i="1"/>
  <c r="BF331" i="1" s="1"/>
  <c r="BD225" i="1"/>
  <c r="BF225" i="1" s="1"/>
  <c r="BD53" i="1"/>
  <c r="BF53" i="1" s="1"/>
  <c r="BD80" i="1"/>
  <c r="BF80" i="1" s="1"/>
  <c r="BD94" i="1"/>
  <c r="BF94" i="1" s="1"/>
  <c r="BD104" i="1"/>
  <c r="BF104" i="1" s="1"/>
  <c r="BD115" i="1"/>
  <c r="BF115" i="1" s="1"/>
  <c r="BD230" i="1"/>
  <c r="BF230" i="1" s="1"/>
  <c r="BD34" i="1"/>
  <c r="BF34" i="1" s="1"/>
  <c r="BD251" i="1"/>
  <c r="BF251" i="1" s="1"/>
  <c r="BD288" i="1"/>
  <c r="BF288" i="1" s="1"/>
  <c r="BD313" i="1"/>
  <c r="BF313" i="1" s="1"/>
  <c r="BD328" i="1"/>
  <c r="BF328" i="1" s="1"/>
  <c r="BD327" i="1"/>
  <c r="BF327" i="1" s="1"/>
  <c r="BD249" i="1"/>
  <c r="BF249" i="1" s="1"/>
  <c r="BD282" i="1"/>
  <c r="BF282" i="1" s="1"/>
  <c r="BD314" i="1"/>
  <c r="BF314" i="1" s="1"/>
  <c r="BD320" i="1"/>
  <c r="BF320" i="1" s="1"/>
  <c r="AH97" i="6"/>
  <c r="AH61" i="6"/>
  <c r="AH68" i="6"/>
  <c r="AH120" i="6"/>
  <c r="AH65" i="6"/>
  <c r="AH113" i="6"/>
  <c r="AH137" i="6"/>
  <c r="AH161" i="6"/>
  <c r="AH148" i="6"/>
  <c r="AH235" i="6"/>
  <c r="AH260" i="6"/>
  <c r="AH100" i="6"/>
  <c r="AH104" i="6"/>
  <c r="AH194" i="6"/>
  <c r="AH136" i="6"/>
  <c r="AH140" i="6"/>
  <c r="AH172" i="6"/>
  <c r="AH127" i="6"/>
  <c r="AH255" i="6"/>
  <c r="AH159" i="6"/>
  <c r="AH155" i="6"/>
  <c r="AH123" i="6"/>
  <c r="AH174" i="6"/>
  <c r="AH228" i="6"/>
  <c r="AH114" i="6"/>
  <c r="AH250" i="6"/>
  <c r="AH204" i="6"/>
  <c r="AH92" i="6"/>
  <c r="BC69" i="1"/>
  <c r="BC95" i="1"/>
  <c r="BC109" i="1"/>
  <c r="BC130" i="1"/>
  <c r="BC141" i="1"/>
  <c r="BC183" i="1"/>
  <c r="BC198" i="1"/>
  <c r="BC212" i="1"/>
  <c r="BC66" i="1"/>
  <c r="BC137" i="1"/>
  <c r="BC153" i="1"/>
  <c r="BC166" i="1"/>
  <c r="BC194" i="1"/>
  <c r="BC208" i="1"/>
  <c r="BC223" i="1"/>
  <c r="BC121" i="1"/>
  <c r="BC35" i="1"/>
  <c r="BC88" i="1"/>
  <c r="BC98" i="1"/>
  <c r="BC105" i="1"/>
  <c r="BC119" i="1"/>
  <c r="BC149" i="1"/>
  <c r="BC162" i="1"/>
  <c r="BC177" i="1"/>
  <c r="BC190" i="1"/>
  <c r="BC220" i="1"/>
  <c r="BC72" i="1"/>
  <c r="BC173" i="1"/>
  <c r="BC187" i="1"/>
  <c r="BC216" i="1"/>
  <c r="BC134" i="1"/>
  <c r="BC150" i="1"/>
  <c r="BC163" i="1"/>
  <c r="BC250" i="1"/>
  <c r="BC265" i="1"/>
  <c r="BC279" i="1"/>
  <c r="BC290" i="1"/>
  <c r="BC303" i="1"/>
  <c r="BC99" i="1"/>
  <c r="BC116" i="1"/>
  <c r="BC174" i="1"/>
  <c r="BC184" i="1"/>
  <c r="BC191" i="1"/>
  <c r="BC195" i="1"/>
  <c r="BC199" i="1"/>
  <c r="BC202" i="1"/>
  <c r="BC205" i="1"/>
  <c r="BC209" i="1"/>
  <c r="BC217" i="1"/>
  <c r="BC221" i="1"/>
  <c r="BC246" i="1"/>
  <c r="BC261" i="1"/>
  <c r="BC299" i="1"/>
  <c r="BC315" i="1"/>
  <c r="BC322" i="1"/>
  <c r="BC142" i="1"/>
  <c r="BC156" i="1"/>
  <c r="BC170" i="1"/>
  <c r="BC242" i="1"/>
  <c r="BC257" i="1"/>
  <c r="BC272" i="1"/>
  <c r="BC286" i="1"/>
  <c r="BC295" i="1"/>
  <c r="BC311" i="1"/>
  <c r="BC138" i="1"/>
  <c r="BC167" i="1"/>
  <c r="BC180" i="1"/>
  <c r="BC253" i="1"/>
  <c r="BC268" i="1"/>
  <c r="BC117" i="1"/>
  <c r="BC128" i="1"/>
  <c r="BC185" i="1"/>
  <c r="BC200" i="1"/>
  <c r="BC214" i="1"/>
  <c r="BC33" i="1"/>
  <c r="BC124" i="1"/>
  <c r="BC181" i="1"/>
  <c r="BC196" i="1"/>
  <c r="BC210" i="1"/>
  <c r="BC127" i="1"/>
  <c r="BC92" i="1"/>
  <c r="BC100" i="1"/>
  <c r="BC111" i="1"/>
  <c r="BC192" i="1"/>
  <c r="BC206" i="1"/>
  <c r="BC89" i="1"/>
  <c r="BC132" i="1"/>
  <c r="BC135" i="1"/>
  <c r="BC139" i="1"/>
  <c r="BC143" i="1"/>
  <c r="BC151" i="1"/>
  <c r="BC154" i="1"/>
  <c r="BC157" i="1"/>
  <c r="BC218" i="1"/>
  <c r="BC37" i="1"/>
  <c r="BC70" i="1"/>
  <c r="BC96" i="1"/>
  <c r="BC112" i="1"/>
  <c r="BC129" i="1"/>
  <c r="BC169" i="1"/>
  <c r="BC186" i="1"/>
  <c r="BC201" i="1"/>
  <c r="BC215" i="1"/>
  <c r="BC284" i="1"/>
  <c r="BC291" i="1"/>
  <c r="BC304" i="1"/>
  <c r="BC316" i="1"/>
  <c r="BC240" i="1"/>
  <c r="BC274" i="1"/>
  <c r="BC285" i="1"/>
  <c r="BC297" i="1"/>
  <c r="BC171" i="1"/>
  <c r="BC237" i="1"/>
  <c r="BC120" i="1"/>
  <c r="BC97" i="1"/>
  <c r="BC122" i="1"/>
  <c r="BC136" i="1"/>
  <c r="BC152" i="1"/>
  <c r="BC165" i="1"/>
  <c r="BC179" i="1"/>
  <c r="BC197" i="1"/>
  <c r="BC211" i="1"/>
  <c r="BC238" i="1"/>
  <c r="BC29" i="1"/>
  <c r="BC269" i="1"/>
  <c r="BC273" i="1"/>
  <c r="BC276" i="1"/>
  <c r="BC326" i="1"/>
  <c r="BC248" i="1"/>
  <c r="BC259" i="1"/>
  <c r="BC270" i="1"/>
  <c r="BC281" i="1"/>
  <c r="BC309" i="1"/>
  <c r="BC203" i="1"/>
  <c r="BC74" i="1"/>
  <c r="BC73" i="1"/>
  <c r="BC27" i="1"/>
  <c r="BC75" i="1"/>
  <c r="BC108" i="1"/>
  <c r="BC148" i="1"/>
  <c r="BC176" i="1"/>
  <c r="BC193" i="1"/>
  <c r="BC207" i="1"/>
  <c r="BC222" i="1"/>
  <c r="BC323" i="1"/>
  <c r="BC266" i="1"/>
  <c r="BC294" i="1"/>
  <c r="BC305" i="1"/>
  <c r="BC168" i="1"/>
  <c r="BC131" i="1"/>
  <c r="BC118" i="1"/>
  <c r="BC125" i="1"/>
  <c r="BC144" i="1"/>
  <c r="BC172" i="1"/>
  <c r="BC204" i="1"/>
  <c r="BC219" i="1"/>
  <c r="BC247" i="1"/>
  <c r="BC254" i="1"/>
  <c r="BC258" i="1"/>
  <c r="BC308" i="1"/>
  <c r="BC318" i="1"/>
  <c r="BC255" i="1"/>
  <c r="BC263" i="1"/>
  <c r="BC277" i="1"/>
  <c r="BC292" i="1"/>
  <c r="BC241" i="1"/>
  <c r="BC267" i="1"/>
  <c r="BC298" i="1"/>
  <c r="BC310" i="1"/>
  <c r="BC252" i="1"/>
  <c r="BC264" i="1"/>
  <c r="BC275" i="1"/>
  <c r="BC289" i="1"/>
  <c r="BC280" i="1"/>
  <c r="BC260" i="1"/>
  <c r="BC325" i="1"/>
  <c r="BC245" i="1"/>
  <c r="BC256" i="1"/>
  <c r="BC271" i="1"/>
  <c r="BC278" i="1"/>
  <c r="AH103" i="6"/>
  <c r="AH23" i="6"/>
  <c r="AH151" i="6"/>
  <c r="AH177" i="6"/>
  <c r="AH166" i="6"/>
  <c r="AH158" i="6"/>
  <c r="AH131" i="6"/>
  <c r="AH261" i="6"/>
  <c r="AH90" i="6"/>
  <c r="AH99" i="6"/>
  <c r="AH181" i="6"/>
  <c r="AH187" i="6"/>
  <c r="AH223" i="6"/>
  <c r="AH227" i="6"/>
  <c r="AH249" i="6"/>
  <c r="AH211" i="6"/>
  <c r="AH169" i="6"/>
  <c r="AH133" i="6"/>
  <c r="AH153" i="6"/>
  <c r="AH71" i="6"/>
  <c r="AH215" i="6"/>
  <c r="AH91" i="6"/>
  <c r="AH121" i="6"/>
  <c r="AH173" i="6"/>
  <c r="AH109" i="6"/>
  <c r="AH179" i="6"/>
  <c r="AH183" i="6"/>
  <c r="AH108" i="6"/>
  <c r="AH124" i="6"/>
  <c r="AH210" i="6"/>
  <c r="AH132" i="6"/>
  <c r="AH230" i="6"/>
  <c r="AH112" i="6"/>
  <c r="AH152" i="6"/>
  <c r="AH156" i="6"/>
  <c r="AH186" i="6"/>
  <c r="AH226" i="6"/>
  <c r="AH66" i="6"/>
  <c r="AH24" i="6"/>
  <c r="AH70" i="6"/>
  <c r="AH214" i="6"/>
  <c r="AH218" i="6"/>
  <c r="AH222" i="6"/>
  <c r="AH256" i="6"/>
  <c r="AH206" i="6"/>
  <c r="AH144" i="6"/>
  <c r="AH168" i="6"/>
  <c r="AH202" i="6"/>
  <c r="AH180" i="6"/>
  <c r="AH198" i="6"/>
  <c r="AH252" i="6"/>
  <c r="AH203" i="6"/>
  <c r="AH189" i="6"/>
  <c r="AH69" i="6"/>
  <c r="AH205" i="6"/>
  <c r="AH217" i="6"/>
  <c r="AH229" i="6"/>
  <c r="AH111" i="6"/>
  <c r="AH167" i="6"/>
  <c r="AH201" i="6"/>
  <c r="AH213" i="6"/>
  <c r="AH147" i="6"/>
  <c r="AH171" i="6"/>
  <c r="AH225" i="6"/>
  <c r="AH209" i="6"/>
  <c r="AH259" i="6"/>
  <c r="AH224" i="6"/>
  <c r="AH196" i="6"/>
  <c r="AH188" i="6"/>
  <c r="AH220" i="6"/>
  <c r="AH208" i="6"/>
  <c r="AH192" i="6"/>
  <c r="AH72" i="6"/>
  <c r="AH216" i="6"/>
  <c r="AH146" i="6"/>
  <c r="AH154" i="6"/>
  <c r="AH170" i="6"/>
  <c r="AH184" i="6"/>
  <c r="AH212" i="6"/>
  <c r="AH232" i="6"/>
  <c r="AH134" i="6"/>
  <c r="AH182" i="6"/>
  <c r="AH106" i="6"/>
  <c r="AH28" i="6"/>
  <c r="AH89" i="6"/>
  <c r="AH85" i="6"/>
  <c r="AH55" i="6"/>
  <c r="AH50" i="6"/>
  <c r="AH32" i="6"/>
  <c r="AH22" i="6"/>
  <c r="AH46" i="6"/>
  <c r="AH37" i="6"/>
  <c r="AH119" i="6"/>
  <c r="AH58" i="6"/>
  <c r="AH40" i="6"/>
  <c r="AH83" i="6"/>
  <c r="AH26" i="6"/>
  <c r="AH80" i="6"/>
  <c r="AH45" i="6"/>
  <c r="AH36" i="6"/>
  <c r="AH27" i="6"/>
  <c r="AH165" i="6"/>
  <c r="AH87" i="6"/>
  <c r="AH63" i="6"/>
  <c r="AH30" i="6"/>
  <c r="AH20" i="6"/>
  <c r="AH96" i="6"/>
  <c r="AH84" i="6"/>
  <c r="AH49" i="6"/>
  <c r="AH88" i="6"/>
  <c r="AH64" i="6"/>
  <c r="AH54" i="6"/>
  <c r="AH21" i="6"/>
  <c r="AH130" i="6"/>
  <c r="AH74" i="6"/>
  <c r="AH102" i="6"/>
  <c r="AH57" i="6"/>
  <c r="AH86" i="6"/>
  <c r="AH29" i="6"/>
  <c r="AH56" i="6"/>
  <c r="AH48" i="6"/>
  <c r="AH35" i="6"/>
  <c r="AH164" i="6"/>
  <c r="AH78" i="6"/>
  <c r="AH38" i="6"/>
  <c r="AH53" i="6"/>
  <c r="AH129" i="6"/>
  <c r="AH82" i="6"/>
  <c r="AH47" i="6"/>
  <c r="AH42" i="6"/>
  <c r="AH139" i="6"/>
  <c r="AH200" i="6"/>
  <c r="AH51" i="6"/>
  <c r="AH33" i="6"/>
  <c r="AH94" i="6"/>
  <c r="AH43" i="6"/>
  <c r="AH59" i="6"/>
  <c r="AH242" i="6"/>
  <c r="AH75" i="6"/>
  <c r="AH240" i="6"/>
  <c r="AH107" i="6"/>
  <c r="AH116" i="6"/>
  <c r="AH118" i="6"/>
  <c r="AH176" i="6"/>
  <c r="AH244" i="6"/>
  <c r="AH60" i="6"/>
  <c r="AH128" i="6"/>
  <c r="AH52" i="6"/>
  <c r="AH207" i="6"/>
  <c r="AH258" i="6"/>
  <c r="AH138" i="6"/>
  <c r="AH122" i="6"/>
  <c r="AH95" i="6"/>
  <c r="AH67" i="6"/>
  <c r="AH73" i="6"/>
  <c r="AH247" i="6"/>
  <c r="AH25" i="6"/>
  <c r="AH197" i="6"/>
  <c r="AH236" i="6"/>
  <c r="AH44" i="6"/>
  <c r="AH162" i="6"/>
  <c r="AH76" i="6"/>
  <c r="AH231" i="6"/>
  <c r="AH125" i="6"/>
  <c r="AH178" i="6"/>
  <c r="AH150" i="6"/>
  <c r="AH193" i="6"/>
  <c r="AH142" i="6"/>
  <c r="AH238" i="6"/>
  <c r="AH257" i="6"/>
  <c r="AH115" i="6"/>
  <c r="AH239" i="6"/>
  <c r="AH251" i="6"/>
  <c r="AH241" i="6"/>
  <c r="AH253" i="6"/>
  <c r="AH98" i="6"/>
  <c r="AH245" i="6"/>
  <c r="AH157" i="6"/>
  <c r="AH246" i="6"/>
  <c r="AH248" i="6"/>
  <c r="AH175" i="6"/>
  <c r="AH237" i="6"/>
  <c r="AH243" i="6"/>
  <c r="AF55" i="8"/>
  <c r="BD26" i="1"/>
  <c r="AF24" i="8"/>
  <c r="B22" i="10" s="1"/>
  <c r="BD22" i="1"/>
  <c r="AG186" i="6" l="1"/>
  <c r="AG191" i="6"/>
  <c r="AG187" i="6"/>
  <c r="AG192" i="6"/>
  <c r="AG188" i="6"/>
  <c r="AG189" i="6"/>
  <c r="AG210" i="6"/>
  <c r="AG38" i="6"/>
  <c r="AG166" i="6"/>
  <c r="AG158" i="6"/>
  <c r="AG50" i="6"/>
  <c r="AG23" i="6"/>
  <c r="AG75" i="6"/>
  <c r="AG62" i="6"/>
  <c r="AG56" i="6"/>
  <c r="AG159" i="6"/>
  <c r="AG240" i="6"/>
  <c r="AG257" i="6"/>
  <c r="AG236" i="6"/>
  <c r="AG19" i="6"/>
  <c r="AG228" i="6"/>
  <c r="AG220" i="6"/>
  <c r="AG260" i="6"/>
  <c r="AG202" i="6"/>
  <c r="AG194" i="6"/>
  <c r="AG144" i="6"/>
  <c r="AG136" i="6"/>
  <c r="AG152" i="6"/>
  <c r="AG140" i="6"/>
  <c r="AG21" i="6"/>
  <c r="AG49" i="6"/>
  <c r="AG45" i="6"/>
  <c r="AG78" i="6"/>
  <c r="AG41" i="6"/>
  <c r="AG36" i="6"/>
  <c r="AG32" i="6"/>
  <c r="AG28" i="6"/>
  <c r="AG235" i="6"/>
  <c r="AG151" i="6"/>
  <c r="AG147" i="6"/>
  <c r="AG143" i="6"/>
  <c r="AG139" i="6"/>
  <c r="AG259" i="6"/>
  <c r="AG223" i="6"/>
  <c r="AG219" i="6"/>
  <c r="AG209" i="6"/>
  <c r="AG127" i="6"/>
  <c r="AG135" i="6"/>
  <c r="AG53" i="6"/>
  <c r="AG20" i="6"/>
  <c r="AG99" i="6"/>
  <c r="AG81" i="6"/>
  <c r="AG77" i="6"/>
  <c r="AG58" i="6"/>
  <c r="AG35" i="6"/>
  <c r="AG31" i="6"/>
  <c r="AG27" i="6"/>
  <c r="AG258" i="6"/>
  <c r="AG254" i="6"/>
  <c r="AG234" i="6"/>
  <c r="AG218" i="6"/>
  <c r="AG208" i="6"/>
  <c r="AG190" i="6"/>
  <c r="AG142" i="6"/>
  <c r="AG138" i="6"/>
  <c r="AG134" i="6"/>
  <c r="AG93" i="6"/>
  <c r="AG52" i="6"/>
  <c r="AG213" i="6"/>
  <c r="AG157" i="6"/>
  <c r="AG145" i="6"/>
  <c r="AG141" i="6"/>
  <c r="AG66" i="6"/>
  <c r="AG61" i="6"/>
  <c r="AG39" i="6"/>
  <c r="AG34" i="6"/>
  <c r="AG30" i="6"/>
  <c r="AG26" i="6"/>
  <c r="AG261" i="6"/>
  <c r="AG233" i="6"/>
  <c r="AG195" i="6"/>
  <c r="AG185" i="6"/>
  <c r="AG169" i="6"/>
  <c r="AG137" i="6"/>
  <c r="AG51" i="6"/>
  <c r="AG46" i="6"/>
  <c r="AG22" i="6"/>
  <c r="AG69" i="6"/>
  <c r="AG105" i="6"/>
  <c r="AG90" i="6"/>
  <c r="AG167" i="6"/>
  <c r="AG25" i="6"/>
  <c r="AG76" i="6"/>
  <c r="AG24" i="6"/>
  <c r="AG211" i="6"/>
  <c r="AG91" i="6"/>
  <c r="AG212" i="6"/>
  <c r="AG255" i="6"/>
  <c r="AG252" i="6"/>
  <c r="AG232" i="6"/>
  <c r="AG224" i="6"/>
  <c r="AG216" i="6"/>
  <c r="AG206" i="6"/>
  <c r="AG256" i="6"/>
  <c r="AG248" i="6"/>
  <c r="AG244" i="6"/>
  <c r="AG198" i="6"/>
  <c r="AG184" i="6"/>
  <c r="AG180" i="6"/>
  <c r="AG176" i="6"/>
  <c r="AG172" i="6"/>
  <c r="AG168" i="6"/>
  <c r="AG162" i="6"/>
  <c r="AG156" i="6"/>
  <c r="AG148" i="6"/>
  <c r="AG132" i="6"/>
  <c r="AG128" i="6"/>
  <c r="AG124" i="6"/>
  <c r="AG120" i="6"/>
  <c r="AG116" i="6"/>
  <c r="AG92" i="6"/>
  <c r="AG112" i="6"/>
  <c r="AG108" i="6"/>
  <c r="AG100" i="6"/>
  <c r="AG86" i="6"/>
  <c r="AG82" i="6"/>
  <c r="AG104" i="6"/>
  <c r="AG96" i="6"/>
  <c r="AG54" i="6"/>
  <c r="AG72" i="6"/>
  <c r="AG68" i="6"/>
  <c r="AG64" i="6"/>
  <c r="AG59" i="6"/>
  <c r="AG155" i="6"/>
  <c r="AG123" i="6"/>
  <c r="AG107" i="6"/>
  <c r="AG227" i="6"/>
  <c r="AG205" i="6"/>
  <c r="AG201" i="6"/>
  <c r="AG197" i="6"/>
  <c r="AG193" i="6"/>
  <c r="AG183" i="6"/>
  <c r="AG179" i="6"/>
  <c r="AG175" i="6"/>
  <c r="AG171" i="6"/>
  <c r="AG165" i="6"/>
  <c r="AG161" i="6"/>
  <c r="AG247" i="6"/>
  <c r="AG215" i="6"/>
  <c r="AG131" i="6"/>
  <c r="AG95" i="6"/>
  <c r="AG226" i="6"/>
  <c r="AG115" i="6"/>
  <c r="AG251" i="6"/>
  <c r="AG243" i="6"/>
  <c r="AG246" i="6"/>
  <c r="AG119" i="6"/>
  <c r="AG111" i="6"/>
  <c r="AG89" i="6"/>
  <c r="AG48" i="6"/>
  <c r="AG44" i="6"/>
  <c r="AG103" i="6"/>
  <c r="AG85" i="6"/>
  <c r="AG71" i="6"/>
  <c r="AG67" i="6"/>
  <c r="AG63" i="6"/>
  <c r="AG40" i="6"/>
  <c r="AG239" i="6"/>
  <c r="AG231" i="6"/>
  <c r="AG250" i="6"/>
  <c r="AG238" i="6"/>
  <c r="AG222" i="6"/>
  <c r="AG204" i="6"/>
  <c r="AG200" i="6"/>
  <c r="AG196" i="6"/>
  <c r="AG182" i="6"/>
  <c r="AG178" i="6"/>
  <c r="AG174" i="6"/>
  <c r="AG170" i="6"/>
  <c r="AG164" i="6"/>
  <c r="AG160" i="6"/>
  <c r="AG242" i="6"/>
  <c r="AG230" i="6"/>
  <c r="AG214" i="6"/>
  <c r="AG154" i="6"/>
  <c r="AG150" i="6"/>
  <c r="AG146" i="6"/>
  <c r="AG130" i="6"/>
  <c r="AG126" i="6"/>
  <c r="AG122" i="6"/>
  <c r="AG118" i="6"/>
  <c r="AG114" i="6"/>
  <c r="AG110" i="6"/>
  <c r="AG106" i="6"/>
  <c r="AG102" i="6"/>
  <c r="AG98" i="6"/>
  <c r="AG94" i="6"/>
  <c r="AG74" i="6"/>
  <c r="AG57" i="6"/>
  <c r="AG253" i="6"/>
  <c r="AG245" i="6"/>
  <c r="AG229" i="6"/>
  <c r="AG97" i="6"/>
  <c r="AG84" i="6"/>
  <c r="AG47" i="6"/>
  <c r="AG43" i="6"/>
  <c r="AG153" i="6"/>
  <c r="AG149" i="6"/>
  <c r="AG70" i="6"/>
  <c r="AG249" i="6"/>
  <c r="AG241" i="6"/>
  <c r="AG237" i="6"/>
  <c r="AG88" i="6"/>
  <c r="AG80" i="6"/>
  <c r="AG225" i="6"/>
  <c r="AG221" i="6"/>
  <c r="AG217" i="6"/>
  <c r="AG207" i="6"/>
  <c r="AG203" i="6"/>
  <c r="AG199" i="6"/>
  <c r="AG181" i="6"/>
  <c r="AG177" i="6"/>
  <c r="AG173" i="6"/>
  <c r="AG163" i="6"/>
  <c r="AG133" i="6"/>
  <c r="AG129" i="6"/>
  <c r="AG109" i="6"/>
  <c r="AG101" i="6"/>
  <c r="AG83" i="6"/>
  <c r="AG33" i="6"/>
  <c r="AG117" i="6"/>
  <c r="AG113" i="6"/>
  <c r="AG87" i="6"/>
  <c r="AG55" i="6"/>
  <c r="AG121" i="6"/>
  <c r="AG79" i="6"/>
  <c r="AG73" i="6"/>
  <c r="AG65" i="6"/>
  <c r="AG60" i="6"/>
  <c r="AG42" i="6"/>
  <c r="AG37" i="6"/>
  <c r="AG125" i="6"/>
  <c r="AG29" i="6"/>
  <c r="BD360" i="1"/>
  <c r="BF360" i="1" s="1"/>
  <c r="BD352" i="1"/>
  <c r="BF352" i="1" s="1"/>
  <c r="BD350" i="1"/>
  <c r="BF350" i="1" s="1"/>
  <c r="BE155" i="1"/>
  <c r="BE56" i="1"/>
  <c r="BD362" i="1"/>
  <c r="BF362" i="1" s="1"/>
  <c r="BD363" i="1"/>
  <c r="BF363" i="1" s="1"/>
  <c r="BD361" i="1"/>
  <c r="BF361" i="1" s="1"/>
  <c r="BE364" i="1"/>
  <c r="BE365" i="1"/>
  <c r="AF8" i="6"/>
  <c r="AF12" i="6"/>
  <c r="AF11" i="6"/>
  <c r="AF10" i="6"/>
  <c r="AF13" i="6"/>
  <c r="AF14" i="6"/>
  <c r="AF9" i="6"/>
  <c r="BF26" i="1"/>
  <c r="BD106" i="1"/>
  <c r="BF106" i="1" s="1"/>
  <c r="BE22" i="1"/>
  <c r="BE372" i="1"/>
  <c r="BE370" i="1"/>
  <c r="BF370" i="1" s="1"/>
  <c r="BE371" i="1"/>
  <c r="BE368" i="1"/>
  <c r="BE369" i="1"/>
  <c r="BE50" i="1"/>
  <c r="BE79" i="1"/>
  <c r="BE358" i="1"/>
  <c r="BF358" i="1" s="1"/>
  <c r="BE355" i="1"/>
  <c r="BF355" i="1" s="1"/>
  <c r="BE353" i="1"/>
  <c r="BE356" i="1"/>
  <c r="BF356" i="1" s="1"/>
  <c r="BE354" i="1"/>
  <c r="BF354" i="1" s="1"/>
  <c r="BE351" i="1"/>
  <c r="BE357" i="1"/>
  <c r="BF357" i="1" s="1"/>
  <c r="BE359" i="1"/>
  <c r="BF359" i="1" s="1"/>
  <c r="BE314" i="1"/>
  <c r="BE249" i="1"/>
  <c r="BE104" i="1"/>
  <c r="BE71" i="1"/>
  <c r="BE54" i="1"/>
  <c r="BE244" i="1"/>
  <c r="BE83" i="1"/>
  <c r="BE48" i="1"/>
  <c r="BE32" i="1"/>
  <c r="BE307" i="1"/>
  <c r="BE243" i="1"/>
  <c r="BE227" i="1"/>
  <c r="BE147" i="1"/>
  <c r="BE115" i="1"/>
  <c r="BE82" i="1"/>
  <c r="BE65" i="1"/>
  <c r="BE47" i="1"/>
  <c r="BE31" i="1"/>
  <c r="BE226" i="1"/>
  <c r="BE178" i="1"/>
  <c r="BE146" i="1"/>
  <c r="BE114" i="1"/>
  <c r="BE133" i="1"/>
  <c r="BE84" i="1"/>
  <c r="BE67" i="1"/>
  <c r="BE49" i="1"/>
  <c r="BE288" i="1"/>
  <c r="BE224" i="1"/>
  <c r="BE160" i="1"/>
  <c r="BE62" i="1"/>
  <c r="BE44" i="1"/>
  <c r="BE28" i="1"/>
  <c r="BE320" i="1"/>
  <c r="BE287" i="1"/>
  <c r="BE175" i="1"/>
  <c r="BF175" i="1" s="1"/>
  <c r="BE159" i="1"/>
  <c r="BE94" i="1"/>
  <c r="BE77" i="1"/>
  <c r="BE61" i="1"/>
  <c r="BE43" i="1"/>
  <c r="BE319" i="1"/>
  <c r="BE158" i="1"/>
  <c r="BE126" i="1"/>
  <c r="BE93" i="1"/>
  <c r="BE76" i="1"/>
  <c r="BE60" i="1"/>
  <c r="BE38" i="1"/>
  <c r="BE85" i="1"/>
  <c r="BE68" i="1"/>
  <c r="BE46" i="1"/>
  <c r="BE327" i="1"/>
  <c r="BE225" i="1"/>
  <c r="BE145" i="1"/>
  <c r="BE113" i="1"/>
  <c r="BE80" i="1"/>
  <c r="BE63" i="1"/>
  <c r="BE45" i="1"/>
  <c r="BE29" i="1"/>
  <c r="BE317" i="1"/>
  <c r="BE300" i="1"/>
  <c r="BE140" i="1"/>
  <c r="BE91" i="1"/>
  <c r="BE40" i="1"/>
  <c r="BE283" i="1"/>
  <c r="BE251" i="1"/>
  <c r="BE123" i="1"/>
  <c r="BE107" i="1"/>
  <c r="BE90" i="1"/>
  <c r="BE57" i="1"/>
  <c r="BE39" i="1"/>
  <c r="BE282" i="1"/>
  <c r="BE234" i="1"/>
  <c r="BE55" i="1"/>
  <c r="BE51" i="1"/>
  <c r="BE34" i="1"/>
  <c r="BE64" i="1"/>
  <c r="BE335" i="1"/>
  <c r="BE301" i="1"/>
  <c r="BE59" i="1"/>
  <c r="BE41" i="1"/>
  <c r="BE329" i="1"/>
  <c r="BE313" i="1"/>
  <c r="BE296" i="1"/>
  <c r="BE103" i="1"/>
  <c r="BE87" i="1"/>
  <c r="BE53" i="1"/>
  <c r="BE36" i="1"/>
  <c r="BE328" i="1"/>
  <c r="BE312" i="1"/>
  <c r="BE279" i="1"/>
  <c r="BE102" i="1"/>
  <c r="BE86" i="1"/>
  <c r="BE52" i="1"/>
  <c r="BE331" i="1"/>
  <c r="BE278" i="1"/>
  <c r="BE262" i="1"/>
  <c r="BE230" i="1"/>
  <c r="BE101" i="1"/>
  <c r="BE81" i="1"/>
  <c r="BE30" i="1"/>
  <c r="BE348" i="1"/>
  <c r="BE26" i="1"/>
  <c r="BD330" i="1"/>
  <c r="BF330" i="1" s="1"/>
  <c r="BD302" i="1"/>
  <c r="BF302" i="1" s="1"/>
  <c r="AH19" i="6"/>
  <c r="BD321" i="1"/>
  <c r="BF321" i="1" s="1"/>
  <c r="BD332" i="1"/>
  <c r="BF332" i="1" s="1"/>
  <c r="BD367" i="1"/>
  <c r="BF367" i="1" s="1"/>
  <c r="BD366" i="1"/>
  <c r="BF366" i="1" s="1"/>
  <c r="BD337" i="1"/>
  <c r="BF337" i="1" s="1"/>
  <c r="BF56" i="1"/>
  <c r="BD333" i="1"/>
  <c r="BF333" i="1" s="1"/>
  <c r="BD336" i="1"/>
  <c r="BF336" i="1" s="1"/>
  <c r="BD346" i="1"/>
  <c r="BF346" i="1" s="1"/>
  <c r="BD344" i="1"/>
  <c r="BF344" i="1" s="1"/>
  <c r="BD343" i="1"/>
  <c r="BF343" i="1" s="1"/>
  <c r="BD338" i="1"/>
  <c r="BF338" i="1" s="1"/>
  <c r="BD107" i="1"/>
  <c r="BF107" i="1" s="1"/>
  <c r="BD349" i="1"/>
  <c r="BF349" i="1" s="1"/>
  <c r="BD348" i="1"/>
  <c r="BF348" i="1" s="1"/>
  <c r="BD342" i="1"/>
  <c r="BF342" i="1" s="1"/>
  <c r="BD339" i="1"/>
  <c r="BF339" i="1" s="1"/>
  <c r="BD347" i="1"/>
  <c r="BF347" i="1" s="1"/>
  <c r="BD345" i="1"/>
  <c r="BF345" i="1" s="1"/>
  <c r="BD341" i="1"/>
  <c r="BF341" i="1" s="1"/>
  <c r="BD340" i="1"/>
  <c r="BF340" i="1" s="1"/>
  <c r="BD334" i="1"/>
  <c r="BF334" i="1" s="1"/>
  <c r="BD213" i="1"/>
  <c r="BF213" i="1" s="1"/>
  <c r="BD188" i="1"/>
  <c r="BF188" i="1" s="1"/>
  <c r="BD293" i="1"/>
  <c r="BF293" i="1" s="1"/>
  <c r="BD235" i="1"/>
  <c r="BF235" i="1" s="1"/>
  <c r="BD306" i="1"/>
  <c r="BF306" i="1" s="1"/>
  <c r="BD189" i="1"/>
  <c r="BF189" i="1" s="1"/>
  <c r="BD233" i="1"/>
  <c r="BF233" i="1" s="1"/>
  <c r="BD42" i="1"/>
  <c r="BF42" i="1" s="1"/>
  <c r="BD231" i="1"/>
  <c r="BF231" i="1" s="1"/>
  <c r="BD239" i="1"/>
  <c r="BF239" i="1" s="1"/>
  <c r="BD58" i="1"/>
  <c r="BF58" i="1" s="1"/>
  <c r="BD110" i="1"/>
  <c r="BF110" i="1" s="1"/>
  <c r="BD229" i="1"/>
  <c r="BF229" i="1" s="1"/>
  <c r="BD287" i="1"/>
  <c r="BF287" i="1" s="1"/>
  <c r="BD182" i="1"/>
  <c r="BF182" i="1" s="1"/>
  <c r="BD164" i="1"/>
  <c r="BF164" i="1" s="1"/>
  <c r="BD78" i="1"/>
  <c r="BF78" i="1" s="1"/>
  <c r="BD232" i="1"/>
  <c r="BF232" i="1" s="1"/>
  <c r="BD161" i="1"/>
  <c r="BF161" i="1" s="1"/>
  <c r="BD324" i="1"/>
  <c r="BF324" i="1" s="1"/>
  <c r="BD236" i="1"/>
  <c r="BF236" i="1" s="1"/>
  <c r="BD228" i="1"/>
  <c r="BF228" i="1" s="1"/>
  <c r="BD66" i="1"/>
  <c r="BF66" i="1" s="1"/>
  <c r="BD137" i="1"/>
  <c r="BF137" i="1" s="1"/>
  <c r="BD153" i="1"/>
  <c r="BF153" i="1" s="1"/>
  <c r="BD166" i="1"/>
  <c r="BF166" i="1" s="1"/>
  <c r="BD194" i="1"/>
  <c r="BF194" i="1" s="1"/>
  <c r="BD208" i="1"/>
  <c r="BF208" i="1" s="1"/>
  <c r="BD223" i="1"/>
  <c r="BF223" i="1" s="1"/>
  <c r="BD125" i="1"/>
  <c r="BF125" i="1" s="1"/>
  <c r="BD35" i="1"/>
  <c r="BF35" i="1" s="1"/>
  <c r="BD88" i="1"/>
  <c r="BF88" i="1" s="1"/>
  <c r="BD98" i="1"/>
  <c r="BF98" i="1" s="1"/>
  <c r="BD105" i="1"/>
  <c r="BF105" i="1" s="1"/>
  <c r="BD119" i="1"/>
  <c r="BF119" i="1" s="1"/>
  <c r="BD149" i="1"/>
  <c r="BF149" i="1" s="1"/>
  <c r="BD162" i="1"/>
  <c r="BF162" i="1" s="1"/>
  <c r="BD177" i="1"/>
  <c r="BF177" i="1" s="1"/>
  <c r="BD190" i="1"/>
  <c r="BF190" i="1" s="1"/>
  <c r="BD220" i="1"/>
  <c r="BF220" i="1" s="1"/>
  <c r="BD97" i="1"/>
  <c r="BF97" i="1" s="1"/>
  <c r="BD72" i="1"/>
  <c r="BF72" i="1" s="1"/>
  <c r="BD173" i="1"/>
  <c r="BF173" i="1" s="1"/>
  <c r="BD187" i="1"/>
  <c r="BF187" i="1" s="1"/>
  <c r="BD216" i="1"/>
  <c r="BF216" i="1" s="1"/>
  <c r="BD69" i="1"/>
  <c r="BF69" i="1" s="1"/>
  <c r="BD95" i="1"/>
  <c r="BF95" i="1" s="1"/>
  <c r="BD109" i="1"/>
  <c r="BF109" i="1" s="1"/>
  <c r="BD130" i="1"/>
  <c r="BF130" i="1" s="1"/>
  <c r="BD141" i="1"/>
  <c r="BF141" i="1" s="1"/>
  <c r="BF155" i="1"/>
  <c r="BD183" i="1"/>
  <c r="BF183" i="1" s="1"/>
  <c r="BD198" i="1"/>
  <c r="BF198" i="1" s="1"/>
  <c r="BD212" i="1"/>
  <c r="BF212" i="1" s="1"/>
  <c r="BD99" i="1"/>
  <c r="BF99" i="1" s="1"/>
  <c r="BD116" i="1"/>
  <c r="BF116" i="1" s="1"/>
  <c r="BD174" i="1"/>
  <c r="BF174" i="1" s="1"/>
  <c r="BD191" i="1"/>
  <c r="BF191" i="1" s="1"/>
  <c r="BD205" i="1"/>
  <c r="BF205" i="1" s="1"/>
  <c r="BD221" i="1"/>
  <c r="BF221" i="1" s="1"/>
  <c r="BD246" i="1"/>
  <c r="BF246" i="1" s="1"/>
  <c r="BD261" i="1"/>
  <c r="BF261" i="1" s="1"/>
  <c r="BD290" i="1"/>
  <c r="BF290" i="1" s="1"/>
  <c r="BD295" i="1"/>
  <c r="BF295" i="1" s="1"/>
  <c r="BD299" i="1"/>
  <c r="BF299" i="1" s="1"/>
  <c r="BD303" i="1"/>
  <c r="BF303" i="1" s="1"/>
  <c r="BD311" i="1"/>
  <c r="BF311" i="1" s="1"/>
  <c r="BD315" i="1"/>
  <c r="BD322" i="1"/>
  <c r="BF322" i="1" s="1"/>
  <c r="BD142" i="1"/>
  <c r="BF142" i="1" s="1"/>
  <c r="BD156" i="1"/>
  <c r="BF156" i="1" s="1"/>
  <c r="BD170" i="1"/>
  <c r="BF170" i="1" s="1"/>
  <c r="BD202" i="1"/>
  <c r="BF202" i="1" s="1"/>
  <c r="BD217" i="1"/>
  <c r="BF217" i="1" s="1"/>
  <c r="BD242" i="1"/>
  <c r="BF242" i="1" s="1"/>
  <c r="BD257" i="1"/>
  <c r="BF257" i="1" s="1"/>
  <c r="BD272" i="1"/>
  <c r="BF272" i="1" s="1"/>
  <c r="BD286" i="1"/>
  <c r="BF286" i="1" s="1"/>
  <c r="BD27" i="1"/>
  <c r="BF27" i="1" s="1"/>
  <c r="BD138" i="1"/>
  <c r="BF138" i="1" s="1"/>
  <c r="BD167" i="1"/>
  <c r="BF167" i="1" s="1"/>
  <c r="BD180" i="1"/>
  <c r="BF180" i="1" s="1"/>
  <c r="BD184" i="1"/>
  <c r="BF184" i="1" s="1"/>
  <c r="BD199" i="1"/>
  <c r="BF199" i="1" s="1"/>
  <c r="BD253" i="1"/>
  <c r="BF253" i="1" s="1"/>
  <c r="BD268" i="1"/>
  <c r="BF268" i="1" s="1"/>
  <c r="BD134" i="1"/>
  <c r="BF134" i="1" s="1"/>
  <c r="BD150" i="1"/>
  <c r="BF150" i="1" s="1"/>
  <c r="BD163" i="1"/>
  <c r="BF163" i="1" s="1"/>
  <c r="BD195" i="1"/>
  <c r="BF195" i="1" s="1"/>
  <c r="BD209" i="1"/>
  <c r="BF209" i="1" s="1"/>
  <c r="BD250" i="1"/>
  <c r="BF250" i="1" s="1"/>
  <c r="BD265" i="1"/>
  <c r="BF265" i="1" s="1"/>
  <c r="BD279" i="1"/>
  <c r="BD33" i="1"/>
  <c r="BF33" i="1" s="1"/>
  <c r="BD100" i="1"/>
  <c r="BF100" i="1" s="1"/>
  <c r="BD124" i="1"/>
  <c r="BF124" i="1" s="1"/>
  <c r="BD132" i="1"/>
  <c r="BF132" i="1" s="1"/>
  <c r="BD127" i="1"/>
  <c r="BF127" i="1" s="1"/>
  <c r="BD89" i="1"/>
  <c r="BF89" i="1" s="1"/>
  <c r="BD111" i="1"/>
  <c r="BF111" i="1" s="1"/>
  <c r="BD117" i="1"/>
  <c r="BF117" i="1" s="1"/>
  <c r="BD143" i="1"/>
  <c r="BF143" i="1" s="1"/>
  <c r="BD157" i="1"/>
  <c r="BF157" i="1" s="1"/>
  <c r="BD171" i="1"/>
  <c r="BF171" i="1" s="1"/>
  <c r="BD29" i="1"/>
  <c r="BF29" i="1" s="1"/>
  <c r="BD74" i="1"/>
  <c r="BF74" i="1" s="1"/>
  <c r="BD128" i="1"/>
  <c r="BF128" i="1" s="1"/>
  <c r="BD139" i="1"/>
  <c r="BF139" i="1" s="1"/>
  <c r="BD154" i="1"/>
  <c r="BF154" i="1" s="1"/>
  <c r="BD168" i="1"/>
  <c r="BF168" i="1" s="1"/>
  <c r="BD181" i="1"/>
  <c r="BF181" i="1" s="1"/>
  <c r="BD92" i="1"/>
  <c r="BF92" i="1" s="1"/>
  <c r="BD121" i="1"/>
  <c r="BF121" i="1" s="1"/>
  <c r="BD135" i="1"/>
  <c r="BF135" i="1" s="1"/>
  <c r="BD151" i="1"/>
  <c r="BF151" i="1" s="1"/>
  <c r="BD206" i="1"/>
  <c r="BF206" i="1" s="1"/>
  <c r="BD120" i="1"/>
  <c r="BF120" i="1" s="1"/>
  <c r="BD197" i="1"/>
  <c r="BF197" i="1" s="1"/>
  <c r="BD211" i="1"/>
  <c r="BF211" i="1" s="1"/>
  <c r="BD247" i="1"/>
  <c r="BF247" i="1" s="1"/>
  <c r="BD269" i="1"/>
  <c r="BF269" i="1" s="1"/>
  <c r="BD316" i="1"/>
  <c r="BD248" i="1"/>
  <c r="BF248" i="1" s="1"/>
  <c r="BD309" i="1"/>
  <c r="BF309" i="1" s="1"/>
  <c r="BD200" i="1"/>
  <c r="BF200" i="1" s="1"/>
  <c r="BD210" i="1"/>
  <c r="BF210" i="1" s="1"/>
  <c r="BD218" i="1"/>
  <c r="BF218" i="1" s="1"/>
  <c r="BD237" i="1"/>
  <c r="BF237" i="1" s="1"/>
  <c r="BD73" i="1"/>
  <c r="BF73" i="1" s="1"/>
  <c r="BD122" i="1"/>
  <c r="BF122" i="1" s="1"/>
  <c r="BD136" i="1"/>
  <c r="BF136" i="1" s="1"/>
  <c r="BD144" i="1"/>
  <c r="BF144" i="1" s="1"/>
  <c r="BD148" i="1"/>
  <c r="BF148" i="1" s="1"/>
  <c r="BD152" i="1"/>
  <c r="BF152" i="1" s="1"/>
  <c r="BD165" i="1"/>
  <c r="BF165" i="1" s="1"/>
  <c r="BD169" i="1"/>
  <c r="BF169" i="1" s="1"/>
  <c r="BD172" i="1"/>
  <c r="BF172" i="1" s="1"/>
  <c r="BD176" i="1"/>
  <c r="BF176" i="1" s="1"/>
  <c r="BD179" i="1"/>
  <c r="BF179" i="1" s="1"/>
  <c r="BD193" i="1"/>
  <c r="BF193" i="1" s="1"/>
  <c r="BD207" i="1"/>
  <c r="BF207" i="1" s="1"/>
  <c r="BD222" i="1"/>
  <c r="BF222" i="1" s="1"/>
  <c r="BD238" i="1"/>
  <c r="BF238" i="1" s="1"/>
  <c r="BD258" i="1"/>
  <c r="BF258" i="1" s="1"/>
  <c r="BD280" i="1"/>
  <c r="BF280" i="1" s="1"/>
  <c r="BD240" i="1"/>
  <c r="BF240" i="1" s="1"/>
  <c r="BD281" i="1"/>
  <c r="BF281" i="1" s="1"/>
  <c r="BD285" i="1"/>
  <c r="BF285" i="1" s="1"/>
  <c r="BD294" i="1"/>
  <c r="BF294" i="1" s="1"/>
  <c r="BD305" i="1"/>
  <c r="BF305" i="1" s="1"/>
  <c r="BD192" i="1"/>
  <c r="BF192" i="1" s="1"/>
  <c r="BD131" i="1"/>
  <c r="BF131" i="1" s="1"/>
  <c r="BD108" i="1"/>
  <c r="BF108" i="1" s="1"/>
  <c r="BD118" i="1"/>
  <c r="BF118" i="1" s="1"/>
  <c r="BD129" i="1"/>
  <c r="BF129" i="1" s="1"/>
  <c r="BD204" i="1"/>
  <c r="BF204" i="1" s="1"/>
  <c r="BD219" i="1"/>
  <c r="BF219" i="1" s="1"/>
  <c r="BD75" i="1"/>
  <c r="BF75" i="1" s="1"/>
  <c r="BD254" i="1"/>
  <c r="BF254" i="1" s="1"/>
  <c r="BD276" i="1"/>
  <c r="BF276" i="1" s="1"/>
  <c r="BD308" i="1"/>
  <c r="BF308" i="1" s="1"/>
  <c r="BD318" i="1"/>
  <c r="BF318" i="1" s="1"/>
  <c r="BD323" i="1"/>
  <c r="BF323" i="1" s="1"/>
  <c r="BD326" i="1"/>
  <c r="BF326" i="1" s="1"/>
  <c r="BD263" i="1"/>
  <c r="BF263" i="1" s="1"/>
  <c r="BD266" i="1"/>
  <c r="BF266" i="1" s="1"/>
  <c r="BD270" i="1"/>
  <c r="BF270" i="1" s="1"/>
  <c r="BD274" i="1"/>
  <c r="BD277" i="1"/>
  <c r="BF277" i="1" s="1"/>
  <c r="BD292" i="1"/>
  <c r="BF292" i="1" s="1"/>
  <c r="BD185" i="1"/>
  <c r="BF185" i="1" s="1"/>
  <c r="BD196" i="1"/>
  <c r="BF196" i="1" s="1"/>
  <c r="BD203" i="1"/>
  <c r="BF203" i="1" s="1"/>
  <c r="BD214" i="1"/>
  <c r="BF214" i="1" s="1"/>
  <c r="BD37" i="1"/>
  <c r="BF37" i="1" s="1"/>
  <c r="BD70" i="1"/>
  <c r="BF70" i="1" s="1"/>
  <c r="BD96" i="1"/>
  <c r="BF96" i="1" s="1"/>
  <c r="BD186" i="1"/>
  <c r="BF186" i="1" s="1"/>
  <c r="BD201" i="1"/>
  <c r="BF201" i="1" s="1"/>
  <c r="BD215" i="1"/>
  <c r="BF215" i="1" s="1"/>
  <c r="BD112" i="1"/>
  <c r="BF112" i="1" s="1"/>
  <c r="BD273" i="1"/>
  <c r="BF273" i="1" s="1"/>
  <c r="BD284" i="1"/>
  <c r="BF284" i="1" s="1"/>
  <c r="BD291" i="1"/>
  <c r="BF291" i="1" s="1"/>
  <c r="BD304" i="1"/>
  <c r="BF304" i="1" s="1"/>
  <c r="BD259" i="1"/>
  <c r="BF259" i="1" s="1"/>
  <c r="BD297" i="1"/>
  <c r="BF297" i="1" s="1"/>
  <c r="BD252" i="1"/>
  <c r="BF252" i="1" s="1"/>
  <c r="BD264" i="1"/>
  <c r="BF264" i="1" s="1"/>
  <c r="BD275" i="1"/>
  <c r="BF275" i="1" s="1"/>
  <c r="BD289" i="1"/>
  <c r="BF289" i="1" s="1"/>
  <c r="BD255" i="1"/>
  <c r="BF255" i="1" s="1"/>
  <c r="BD260" i="1"/>
  <c r="BF260" i="1" s="1"/>
  <c r="BD298" i="1"/>
  <c r="BF298" i="1" s="1"/>
  <c r="BD325" i="1"/>
  <c r="BF325" i="1" s="1"/>
  <c r="BD245" i="1"/>
  <c r="BF245" i="1" s="1"/>
  <c r="BD256" i="1"/>
  <c r="BF256" i="1" s="1"/>
  <c r="BD271" i="1"/>
  <c r="BF271" i="1" s="1"/>
  <c r="BD278" i="1"/>
  <c r="BD310" i="1"/>
  <c r="BF310" i="1" s="1"/>
  <c r="BD241" i="1"/>
  <c r="BF241" i="1" s="1"/>
  <c r="BD267" i="1"/>
  <c r="BF267" i="1" s="1"/>
  <c r="B53" i="10"/>
  <c r="AG10" i="6" l="1"/>
  <c r="E63" i="8" s="1"/>
  <c r="AG9" i="6"/>
  <c r="D9" i="6" s="1"/>
  <c r="AG8" i="6"/>
  <c r="AG13" i="6"/>
  <c r="H63" i="8" s="1"/>
  <c r="AG14" i="6"/>
  <c r="I63" i="8" s="1"/>
  <c r="AG11" i="6"/>
  <c r="F63" i="8" s="1"/>
  <c r="AG12" i="6"/>
  <c r="G63" i="8" s="1"/>
  <c r="E10" i="6"/>
  <c r="BE360" i="1"/>
  <c r="BE352" i="1"/>
  <c r="BE350" i="1"/>
  <c r="BE362" i="1"/>
  <c r="BE361" i="1"/>
  <c r="BE363" i="1"/>
  <c r="C8" i="6"/>
  <c r="BF278" i="1"/>
  <c r="BF279" i="1"/>
  <c r="AH8" i="6"/>
  <c r="AH10" i="6"/>
  <c r="AH9" i="6"/>
  <c r="BE106" i="1"/>
  <c r="BE366" i="1"/>
  <c r="BE367" i="1"/>
  <c r="BE311" i="1"/>
  <c r="BE333" i="1"/>
  <c r="BE330" i="1"/>
  <c r="BE297" i="1"/>
  <c r="BE281" i="1"/>
  <c r="BE265" i="1"/>
  <c r="BE233" i="1"/>
  <c r="BE217" i="1"/>
  <c r="BE201" i="1"/>
  <c r="BE185" i="1"/>
  <c r="BE169" i="1"/>
  <c r="BE153" i="1"/>
  <c r="BE137" i="1"/>
  <c r="BE121" i="1"/>
  <c r="BE88" i="1"/>
  <c r="BE37" i="1"/>
  <c r="BE325" i="1"/>
  <c r="BE308" i="1"/>
  <c r="BE292" i="1"/>
  <c r="BE276" i="1"/>
  <c r="BE260" i="1"/>
  <c r="BE228" i="1"/>
  <c r="BE212" i="1"/>
  <c r="BE196" i="1"/>
  <c r="BE180" i="1"/>
  <c r="BE164" i="1"/>
  <c r="BE148" i="1"/>
  <c r="BE132" i="1"/>
  <c r="BE116" i="1"/>
  <c r="BE99" i="1"/>
  <c r="BE66" i="1"/>
  <c r="BE324" i="1"/>
  <c r="BE291" i="1"/>
  <c r="BE275" i="1"/>
  <c r="BE259" i="1"/>
  <c r="BE211" i="1"/>
  <c r="BE195" i="1"/>
  <c r="BE179" i="1"/>
  <c r="BE163" i="1"/>
  <c r="BE131" i="1"/>
  <c r="BE98" i="1"/>
  <c r="BE323" i="1"/>
  <c r="BE306" i="1"/>
  <c r="BE290" i="1"/>
  <c r="BE274" i="1"/>
  <c r="BF274" i="1" s="1"/>
  <c r="BE258" i="1"/>
  <c r="BE242" i="1"/>
  <c r="BE210" i="1"/>
  <c r="BE194" i="1"/>
  <c r="BE162" i="1"/>
  <c r="BE130" i="1"/>
  <c r="BE336" i="1"/>
  <c r="BE326" i="1"/>
  <c r="BE309" i="1"/>
  <c r="BE293" i="1"/>
  <c r="BE277" i="1"/>
  <c r="BE261" i="1"/>
  <c r="BE245" i="1"/>
  <c r="BE229" i="1"/>
  <c r="BE213" i="1"/>
  <c r="BE197" i="1"/>
  <c r="BE181" i="1"/>
  <c r="BE165" i="1"/>
  <c r="BE149" i="1"/>
  <c r="BE117" i="1"/>
  <c r="BE100" i="1"/>
  <c r="BE33" i="1"/>
  <c r="BE321" i="1"/>
  <c r="BE304" i="1"/>
  <c r="BE272" i="1"/>
  <c r="BE256" i="1"/>
  <c r="BE240" i="1"/>
  <c r="BE208" i="1"/>
  <c r="BE192" i="1"/>
  <c r="BE176" i="1"/>
  <c r="BE144" i="1"/>
  <c r="BE128" i="1"/>
  <c r="BE112" i="1"/>
  <c r="BE95" i="1"/>
  <c r="BE78" i="1"/>
  <c r="BE303" i="1"/>
  <c r="BE271" i="1"/>
  <c r="BE255" i="1"/>
  <c r="BE239" i="1"/>
  <c r="BE223" i="1"/>
  <c r="BE207" i="1"/>
  <c r="BE191" i="1"/>
  <c r="BE143" i="1"/>
  <c r="BE127" i="1"/>
  <c r="BE111" i="1"/>
  <c r="BE27" i="1"/>
  <c r="BE302" i="1"/>
  <c r="BE286" i="1"/>
  <c r="BE270" i="1"/>
  <c r="BE254" i="1"/>
  <c r="BE238" i="1"/>
  <c r="BE222" i="1"/>
  <c r="BE206" i="1"/>
  <c r="BE190" i="1"/>
  <c r="BE174" i="1"/>
  <c r="BE142" i="1"/>
  <c r="BE110" i="1"/>
  <c r="BE42" i="1"/>
  <c r="BE105" i="1"/>
  <c r="BE72" i="1"/>
  <c r="BE322" i="1"/>
  <c r="BE305" i="1"/>
  <c r="BE289" i="1"/>
  <c r="BE273" i="1"/>
  <c r="BE257" i="1"/>
  <c r="BE241" i="1"/>
  <c r="BE209" i="1"/>
  <c r="BE193" i="1"/>
  <c r="BE177" i="1"/>
  <c r="BE161" i="1"/>
  <c r="BE129" i="1"/>
  <c r="BE96" i="1"/>
  <c r="BE284" i="1"/>
  <c r="BE268" i="1"/>
  <c r="BE252" i="1"/>
  <c r="BE236" i="1"/>
  <c r="BE220" i="1"/>
  <c r="BE204" i="1"/>
  <c r="BE188" i="1"/>
  <c r="BE172" i="1"/>
  <c r="BE156" i="1"/>
  <c r="BE124" i="1"/>
  <c r="BE108" i="1"/>
  <c r="BE74" i="1"/>
  <c r="BE58" i="1"/>
  <c r="BE337" i="1"/>
  <c r="BE316" i="1"/>
  <c r="BF316" i="1" s="1"/>
  <c r="BE299" i="1"/>
  <c r="BE267" i="1"/>
  <c r="BE235" i="1"/>
  <c r="BE219" i="1"/>
  <c r="BE203" i="1"/>
  <c r="BE187" i="1"/>
  <c r="BE171" i="1"/>
  <c r="BE139" i="1"/>
  <c r="BE73" i="1"/>
  <c r="BE332" i="1"/>
  <c r="BE315" i="1"/>
  <c r="BF315" i="1" s="1"/>
  <c r="BE298" i="1"/>
  <c r="BE266" i="1"/>
  <c r="BE250" i="1"/>
  <c r="BE218" i="1"/>
  <c r="BE202" i="1"/>
  <c r="BE186" i="1"/>
  <c r="BE170" i="1"/>
  <c r="BE154" i="1"/>
  <c r="BE138" i="1"/>
  <c r="BE122" i="1"/>
  <c r="BE89" i="1"/>
  <c r="BE118" i="1"/>
  <c r="BE97" i="1"/>
  <c r="BE318" i="1"/>
  <c r="BE285" i="1"/>
  <c r="BE269" i="1"/>
  <c r="BE253" i="1"/>
  <c r="BE237" i="1"/>
  <c r="BE221" i="1"/>
  <c r="BE205" i="1"/>
  <c r="BE189" i="1"/>
  <c r="BE173" i="1"/>
  <c r="BE157" i="1"/>
  <c r="BE141" i="1"/>
  <c r="BE125" i="1"/>
  <c r="BE109" i="1"/>
  <c r="BE92" i="1"/>
  <c r="BE75" i="1"/>
  <c r="BE280" i="1"/>
  <c r="BE264" i="1"/>
  <c r="BE248" i="1"/>
  <c r="BE232" i="1"/>
  <c r="BE216" i="1"/>
  <c r="BE200" i="1"/>
  <c r="BE184" i="1"/>
  <c r="BE168" i="1"/>
  <c r="BE152" i="1"/>
  <c r="BE136" i="1"/>
  <c r="BE120" i="1"/>
  <c r="BE70" i="1"/>
  <c r="BE295" i="1"/>
  <c r="BE263" i="1"/>
  <c r="BE247" i="1"/>
  <c r="BE231" i="1"/>
  <c r="BE215" i="1"/>
  <c r="BE199" i="1"/>
  <c r="BE183" i="1"/>
  <c r="BE167" i="1"/>
  <c r="BE151" i="1"/>
  <c r="BE135" i="1"/>
  <c r="BE119" i="1"/>
  <c r="BE69" i="1"/>
  <c r="BE35" i="1"/>
  <c r="BE310" i="1"/>
  <c r="BE294" i="1"/>
  <c r="BE246" i="1"/>
  <c r="BE214" i="1"/>
  <c r="BE198" i="1"/>
  <c r="BE182" i="1"/>
  <c r="BE166" i="1"/>
  <c r="BE150" i="1"/>
  <c r="BE134" i="1"/>
  <c r="BE344" i="1"/>
  <c r="BE343" i="1"/>
  <c r="BE338" i="1"/>
  <c r="BE346" i="1"/>
  <c r="BE349" i="1"/>
  <c r="BE339" i="1"/>
  <c r="BE345" i="1"/>
  <c r="BE334" i="1"/>
  <c r="BE341" i="1"/>
  <c r="BE340" i="1"/>
  <c r="BE347" i="1"/>
  <c r="BE342" i="1"/>
  <c r="AH13" i="6" l="1"/>
  <c r="H13" i="6"/>
  <c r="AH12" i="6"/>
  <c r="AH14" i="6"/>
  <c r="AH15" i="6" s="1"/>
  <c r="I3" i="6" s="1"/>
  <c r="AH11" i="6"/>
  <c r="G12" i="6"/>
  <c r="I14" i="6"/>
  <c r="I15" i="6" s="1"/>
  <c r="F11" i="6"/>
  <c r="F15" i="6" s="1"/>
  <c r="F3" i="6" s="1"/>
  <c r="K41" i="11"/>
  <c r="R41" i="11" s="1"/>
  <c r="L41" i="11"/>
  <c r="S41" i="11" s="1"/>
  <c r="J41" i="11"/>
  <c r="Q41" i="11" s="1"/>
  <c r="M41" i="11"/>
  <c r="T41" i="11" s="1"/>
  <c r="J5" i="6"/>
  <c r="E15" i="6"/>
  <c r="J10" i="6"/>
  <c r="AB10" i="1" s="1"/>
  <c r="G15" i="6"/>
  <c r="G3" i="6" s="1"/>
  <c r="J12" i="6"/>
  <c r="AB12" i="1" s="1"/>
  <c r="AF61" i="8"/>
  <c r="U64" i="8"/>
  <c r="H15" i="6"/>
  <c r="H3" i="6" s="1"/>
  <c r="J13" i="6"/>
  <c r="AB13" i="1" s="1"/>
  <c r="J6" i="6"/>
  <c r="C15" i="6"/>
  <c r="J8" i="6"/>
  <c r="AB8" i="1" s="1"/>
  <c r="D15" i="6"/>
  <c r="J9" i="6"/>
  <c r="AB9" i="1" s="1"/>
  <c r="U33" i="8"/>
  <c r="J11" i="6" l="1"/>
  <c r="AB11" i="1" s="1"/>
  <c r="J14" i="6"/>
  <c r="AB14" i="1" s="1"/>
  <c r="P7" i="1"/>
  <c r="P4" i="1" s="1"/>
  <c r="D16" i="6"/>
  <c r="D3" i="6"/>
  <c r="E16" i="6"/>
  <c r="E3" i="6"/>
  <c r="C16" i="6"/>
  <c r="H16" i="6"/>
  <c r="F16" i="6"/>
  <c r="I16" i="6"/>
  <c r="G16" i="6"/>
  <c r="I66" i="8"/>
  <c r="G41" i="11"/>
  <c r="I41" i="11"/>
  <c r="B59" i="10"/>
  <c r="AF64" i="8"/>
  <c r="AF30" i="8"/>
  <c r="J15" i="6" l="1"/>
  <c r="J3" i="6" s="1"/>
  <c r="P15" i="1"/>
  <c r="Y7" i="1"/>
  <c r="P41" i="11"/>
  <c r="N41" i="11"/>
  <c r="B62" i="10"/>
  <c r="AF33" i="8"/>
  <c r="B31" i="10" s="1"/>
  <c r="B28" i="10"/>
  <c r="P16" i="1" l="1"/>
  <c r="B36" i="8"/>
  <c r="P10" i="11"/>
  <c r="Q10" i="11" l="1"/>
  <c r="R10" i="11" l="1"/>
  <c r="S10" i="11" l="1"/>
  <c r="G10" i="11" l="1"/>
  <c r="T10" i="11" l="1"/>
  <c r="N10" i="11"/>
  <c r="U10" i="11" l="1"/>
  <c r="O19" i="1" l="1"/>
  <c r="U41" i="11" l="1"/>
  <c r="N19" i="1"/>
  <c r="M19" i="1" l="1"/>
  <c r="L19" i="1" s="1"/>
  <c r="K19" i="1" s="1"/>
  <c r="J19" i="1" s="1"/>
  <c r="I19" i="1" s="1"/>
  <c r="H19" i="1" s="1"/>
  <c r="G19" i="1" s="1"/>
  <c r="F19" i="1" l="1"/>
  <c r="S17" i="1"/>
  <c r="BP78" i="1" l="1"/>
  <c r="BP158" i="1"/>
  <c r="BP141" i="1"/>
  <c r="BP131" i="1"/>
  <c r="BP129" i="1"/>
  <c r="BP96" i="1"/>
  <c r="BP73" i="1"/>
  <c r="BP60" i="1"/>
  <c r="BP35" i="1"/>
  <c r="BP135" i="1"/>
  <c r="BP101" i="1"/>
  <c r="BP49" i="1"/>
  <c r="BP27" i="1"/>
  <c r="BP157" i="1"/>
  <c r="BP130" i="1"/>
  <c r="BP72" i="1"/>
  <c r="T17" i="1"/>
  <c r="AE32" i="21" l="1"/>
  <c r="AE57" i="21"/>
  <c r="AE56" i="21"/>
  <c r="AE47" i="21"/>
  <c r="AE38" i="21"/>
  <c r="AE37" i="21"/>
  <c r="AE34" i="21"/>
  <c r="AE67" i="21"/>
  <c r="AE58" i="21"/>
  <c r="AE45" i="21"/>
  <c r="AE68" i="21"/>
  <c r="AE20" i="21"/>
  <c r="AE27" i="21"/>
  <c r="AE55" i="21"/>
  <c r="AE40" i="21"/>
  <c r="U17" i="1"/>
  <c r="U361" i="1" s="1"/>
  <c r="V17" i="1" l="1"/>
  <c r="V361" i="1" s="1"/>
  <c r="W17" i="1" l="1"/>
  <c r="W361" i="1" s="1"/>
  <c r="X17" i="1" l="1"/>
  <c r="Q279" i="1" l="1"/>
  <c r="Q355" i="1"/>
  <c r="Q358" i="1"/>
  <c r="Q353" i="1"/>
  <c r="Q359" i="1"/>
  <c r="Q360" i="1"/>
  <c r="Q354" i="1"/>
  <c r="Q356" i="1"/>
  <c r="Q173" i="1"/>
  <c r="Q278" i="1"/>
  <c r="Q357" i="1"/>
  <c r="Q352" i="1"/>
  <c r="Q271" i="1" l="1"/>
  <c r="Q203" i="1"/>
  <c r="Q95" i="1"/>
  <c r="Q128" i="1"/>
  <c r="C54" i="21" s="1"/>
  <c r="D45" i="60" s="1"/>
  <c r="F45" i="60" s="1"/>
  <c r="Q242" i="1"/>
  <c r="Q241" i="1"/>
  <c r="Q165" i="1"/>
  <c r="Q231" i="1"/>
  <c r="Q243" i="1"/>
  <c r="Q310" i="1"/>
  <c r="Q216" i="1"/>
  <c r="Q174" i="1"/>
  <c r="Q188" i="1"/>
  <c r="Q266" i="1"/>
  <c r="Q325" i="1"/>
  <c r="Q267" i="1"/>
  <c r="Q305" i="1"/>
  <c r="Q146" i="1"/>
  <c r="C62" i="21" s="1"/>
  <c r="D53" i="60" s="1"/>
  <c r="F53" i="60" s="1"/>
  <c r="Q202" i="1"/>
  <c r="Q250" i="1"/>
  <c r="Q122" i="1"/>
  <c r="Q254" i="1"/>
  <c r="Q343" i="1"/>
  <c r="Q289" i="1"/>
  <c r="Q265" i="1"/>
  <c r="Q292" i="1"/>
  <c r="Q67" i="1"/>
  <c r="Q286" i="1"/>
  <c r="Q215" i="1"/>
  <c r="Q290" i="1"/>
  <c r="Q258" i="1"/>
  <c r="Q341" i="1"/>
  <c r="Q59" i="1"/>
  <c r="Q240" i="1"/>
  <c r="Q58" i="1"/>
  <c r="Q283" i="1"/>
  <c r="Q139" i="1"/>
  <c r="Q144" i="1"/>
  <c r="Q301" i="1"/>
  <c r="Q349" i="1"/>
  <c r="Q206" i="1"/>
  <c r="Q273" i="1"/>
  <c r="Q328" i="1"/>
  <c r="C78" i="21" s="1"/>
  <c r="D75" i="60" s="1"/>
  <c r="F75" i="60" s="1"/>
  <c r="Q109" i="1"/>
  <c r="Q218" i="1"/>
  <c r="Q318" i="1"/>
  <c r="Q104" i="1"/>
  <c r="Q327" i="1"/>
  <c r="Q143" i="1"/>
  <c r="Q107" i="1"/>
  <c r="Q131" i="1"/>
  <c r="C57" i="21" s="1"/>
  <c r="D48" i="60" s="1"/>
  <c r="F48" i="60" s="1"/>
  <c r="Q253" i="1"/>
  <c r="Q303" i="1"/>
  <c r="Q80" i="1"/>
  <c r="Q196" i="1"/>
  <c r="Q314" i="1"/>
  <c r="Q138" i="1"/>
  <c r="Q259" i="1"/>
  <c r="Q335" i="1"/>
  <c r="Q163" i="1"/>
  <c r="Q93" i="1"/>
  <c r="C44" i="21" s="1"/>
  <c r="D34" i="60" s="1"/>
  <c r="F34" i="60" s="1"/>
  <c r="Q141" i="1"/>
  <c r="BQ141" i="1" s="1"/>
  <c r="Q334" i="1"/>
  <c r="Q331" i="1"/>
  <c r="Q195" i="1"/>
  <c r="Q321" i="1"/>
  <c r="Q187" i="1"/>
  <c r="Q70" i="1"/>
  <c r="Q123" i="1"/>
  <c r="Q184" i="1"/>
  <c r="Q342" i="1"/>
  <c r="Q345" i="1"/>
  <c r="Q121" i="1"/>
  <c r="C52" i="21" s="1"/>
  <c r="D43" i="60" s="1"/>
  <c r="F43" i="60" s="1"/>
  <c r="Q302" i="1"/>
  <c r="Q217" i="1"/>
  <c r="Q137" i="1"/>
  <c r="Q175" i="1"/>
  <c r="Q151" i="1"/>
  <c r="C65" i="21" s="1"/>
  <c r="D55" i="60" s="1"/>
  <c r="F55" i="60" s="1"/>
  <c r="Q324" i="1"/>
  <c r="Q166" i="1"/>
  <c r="Q84" i="1"/>
  <c r="C41" i="21" s="1"/>
  <c r="D29" i="60" s="1"/>
  <c r="F29" i="60" s="1"/>
  <c r="Q236" i="1"/>
  <c r="Q247" i="1"/>
  <c r="Q86" i="1"/>
  <c r="Q213" i="1"/>
  <c r="Q180" i="1"/>
  <c r="Q246" i="1"/>
  <c r="Q69" i="1"/>
  <c r="Q315" i="1"/>
  <c r="Q333" i="1"/>
  <c r="Q351" i="1"/>
  <c r="Q268" i="1"/>
  <c r="Q226" i="1"/>
  <c r="Q308" i="1"/>
  <c r="Q222" i="1"/>
  <c r="Q161" i="1"/>
  <c r="Q270" i="1"/>
  <c r="Q229" i="1"/>
  <c r="Q197" i="1"/>
  <c r="Q330" i="1"/>
  <c r="Q127" i="1"/>
  <c r="C53" i="21" s="1"/>
  <c r="D44" i="60" s="1"/>
  <c r="F44" i="60" s="1"/>
  <c r="Q313" i="1"/>
  <c r="Q348" i="1"/>
  <c r="Q169" i="1"/>
  <c r="Q164" i="1"/>
  <c r="Q339" i="1"/>
  <c r="Q88" i="1"/>
  <c r="BQ88" i="1" s="1"/>
  <c r="Q260" i="1"/>
  <c r="C72" i="21" s="1"/>
  <c r="D67" i="60" s="1"/>
  <c r="F67" i="60" s="1"/>
  <c r="Q74" i="1"/>
  <c r="Q249" i="1"/>
  <c r="Q120" i="1"/>
  <c r="Q252" i="1"/>
  <c r="Q62" i="1"/>
  <c r="Q65" i="1"/>
  <c r="C36" i="21" s="1"/>
  <c r="D23" i="60" s="1"/>
  <c r="F23" i="60" s="1"/>
  <c r="Q111" i="1"/>
  <c r="C49" i="21" s="1"/>
  <c r="D38" i="60" s="1"/>
  <c r="F38" i="60" s="1"/>
  <c r="Q75" i="1"/>
  <c r="C39" i="21" s="1"/>
  <c r="D26" i="60" s="1"/>
  <c r="F26" i="60" s="1"/>
  <c r="Q159" i="1"/>
  <c r="Q185" i="1"/>
  <c r="Q72" i="1"/>
  <c r="Q82" i="1"/>
  <c r="Q158" i="1"/>
  <c r="C68" i="21" s="1"/>
  <c r="D59" i="60" s="1"/>
  <c r="F59" i="60" s="1"/>
  <c r="Q277" i="1"/>
  <c r="Q262" i="1"/>
  <c r="Q147" i="1"/>
  <c r="C63" i="21" s="1"/>
  <c r="Q103" i="1"/>
  <c r="Q132" i="1"/>
  <c r="Q205" i="1"/>
  <c r="Q280" i="1"/>
  <c r="Q64" i="1"/>
  <c r="C35" i="21" s="1"/>
  <c r="D22" i="60" s="1"/>
  <c r="F22" i="60" s="1"/>
  <c r="Q193" i="1"/>
  <c r="Q322" i="1"/>
  <c r="Q221" i="1"/>
  <c r="Q183" i="1"/>
  <c r="Q227" i="1"/>
  <c r="Q199" i="1"/>
  <c r="Q77" i="1"/>
  <c r="Q153" i="1"/>
  <c r="Q130" i="1"/>
  <c r="C56" i="21" s="1"/>
  <c r="D47" i="60" s="1"/>
  <c r="F47" i="60" s="1"/>
  <c r="Q284" i="1"/>
  <c r="Q117" i="1"/>
  <c r="Q274" i="1"/>
  <c r="Q176" i="1"/>
  <c r="Q81" i="1"/>
  <c r="Q172" i="1"/>
  <c r="Q232" i="1"/>
  <c r="Q68" i="1"/>
  <c r="Q125" i="1"/>
  <c r="Q134" i="1"/>
  <c r="Q304" i="1"/>
  <c r="Q223" i="1"/>
  <c r="Q168" i="1"/>
  <c r="Q110" i="1"/>
  <c r="Q211" i="1"/>
  <c r="Q194" i="1"/>
  <c r="Q102" i="1"/>
  <c r="C48" i="21" s="1"/>
  <c r="D37" i="60" s="1"/>
  <c r="F37" i="60" s="1"/>
  <c r="Q307" i="1"/>
  <c r="Q316" i="1"/>
  <c r="Q234" i="1"/>
  <c r="Q83" i="1"/>
  <c r="Q150" i="1"/>
  <c r="C64" i="21" s="1"/>
  <c r="D54" i="60" s="1"/>
  <c r="F54" i="60" s="1"/>
  <c r="Q182" i="1"/>
  <c r="Q275" i="1"/>
  <c r="Q191" i="1"/>
  <c r="Q255" i="1"/>
  <c r="Q245" i="1"/>
  <c r="Q257" i="1"/>
  <c r="Q300" i="1"/>
  <c r="Q142" i="1"/>
  <c r="C61" i="21" s="1"/>
  <c r="Q155" i="1"/>
  <c r="Q332" i="1"/>
  <c r="Q76" i="1"/>
  <c r="Q179" i="1"/>
  <c r="Q256" i="1"/>
  <c r="Q237" i="1"/>
  <c r="Q210" i="1"/>
  <c r="Q224" i="1"/>
  <c r="C70" i="21" s="1"/>
  <c r="D60" i="60" s="1"/>
  <c r="F60" i="60" s="1"/>
  <c r="Q190" i="1"/>
  <c r="Q329" i="1"/>
  <c r="Q171" i="1"/>
  <c r="Q366" i="1"/>
  <c r="Q317" i="1"/>
  <c r="Q311" i="1"/>
  <c r="Q181" i="1"/>
  <c r="Q99" i="1"/>
  <c r="Q244" i="1"/>
  <c r="Q337" i="1"/>
  <c r="Q85" i="1"/>
  <c r="C42" i="21" s="1"/>
  <c r="D30" i="60" s="1"/>
  <c r="F30" i="60" s="1"/>
  <c r="Q148" i="1"/>
  <c r="Q251" i="1"/>
  <c r="Q189" i="1"/>
  <c r="Q78" i="1"/>
  <c r="C40" i="21" s="1"/>
  <c r="D27" i="60" s="1"/>
  <c r="F27" i="60" s="1"/>
  <c r="Q90" i="1"/>
  <c r="Q79" i="1"/>
  <c r="Q344" i="1"/>
  <c r="Q97" i="1"/>
  <c r="Q230" i="1"/>
  <c r="Q105" i="1"/>
  <c r="Q309" i="1"/>
  <c r="Q293" i="1"/>
  <c r="Q92" i="1"/>
  <c r="Q140" i="1"/>
  <c r="Q346" i="1"/>
  <c r="Q133" i="1"/>
  <c r="Q297" i="1"/>
  <c r="Q285" i="1"/>
  <c r="Q209" i="1"/>
  <c r="Q66" i="1"/>
  <c r="Q294" i="1"/>
  <c r="Q219" i="1"/>
  <c r="Q145" i="1"/>
  <c r="Q61" i="1"/>
  <c r="Q269" i="1"/>
  <c r="Q323" i="1"/>
  <c r="Q207" i="1"/>
  <c r="Q167" i="1"/>
  <c r="BQ167" i="1" s="1"/>
  <c r="Q178" i="1"/>
  <c r="Q350" i="1"/>
  <c r="Q204" i="1"/>
  <c r="Q282" i="1"/>
  <c r="Q114" i="1"/>
  <c r="Q149" i="1"/>
  <c r="Q212" i="1"/>
  <c r="Q347" i="1"/>
  <c r="Q73" i="1"/>
  <c r="Q177" i="1"/>
  <c r="Q91" i="1"/>
  <c r="Q162" i="1"/>
  <c r="Q228" i="1"/>
  <c r="Q98" i="1"/>
  <c r="C46" i="21" s="1"/>
  <c r="Q152" i="1"/>
  <c r="Q156" i="1"/>
  <c r="C66" i="21" s="1"/>
  <c r="D57" i="60" s="1"/>
  <c r="F57" i="60" s="1"/>
  <c r="Q71" i="1"/>
  <c r="Q401" i="1" s="1"/>
  <c r="K8" i="58" s="1"/>
  <c r="K25" i="58" s="1"/>
  <c r="Q170" i="1"/>
  <c r="Q124" i="1"/>
  <c r="Q108" i="1"/>
  <c r="Q287" i="1"/>
  <c r="BQ287" i="1" s="1"/>
  <c r="Q100" i="1"/>
  <c r="Q94" i="1"/>
  <c r="Q264" i="1"/>
  <c r="Q233" i="1"/>
  <c r="Q338" i="1"/>
  <c r="Q115" i="1"/>
  <c r="Q220" i="1"/>
  <c r="Q225" i="1"/>
  <c r="Q326" i="1"/>
  <c r="Q116" i="1"/>
  <c r="Q336" i="1"/>
  <c r="Q201" i="1"/>
  <c r="Q126" i="1"/>
  <c r="Q295" i="1"/>
  <c r="Q281" i="1"/>
  <c r="C76" i="21" s="1"/>
  <c r="Q60" i="1"/>
  <c r="C34" i="21" s="1"/>
  <c r="Q135" i="1"/>
  <c r="C58" i="21" s="1"/>
  <c r="D50" i="60" s="1"/>
  <c r="F50" i="60" s="1"/>
  <c r="Q238" i="1"/>
  <c r="C71" i="21" s="1"/>
  <c r="D62" i="60" s="1"/>
  <c r="F62" i="60" s="1"/>
  <c r="Q198" i="1"/>
  <c r="Q291" i="1"/>
  <c r="Q118" i="1"/>
  <c r="C50" i="21" s="1"/>
  <c r="D40" i="60" s="1"/>
  <c r="F40" i="60" s="1"/>
  <c r="Q248" i="1"/>
  <c r="Q296" i="1"/>
  <c r="Q157" i="1"/>
  <c r="C67" i="21" s="1"/>
  <c r="D58" i="60" s="1"/>
  <c r="F58" i="60" s="1"/>
  <c r="Q96" i="1"/>
  <c r="C45" i="21" s="1"/>
  <c r="D35" i="60" s="1"/>
  <c r="F35" i="60" s="1"/>
  <c r="Q312" i="1"/>
  <c r="Q340" i="1"/>
  <c r="Q89" i="1"/>
  <c r="Q276" i="1"/>
  <c r="Q129" i="1"/>
  <c r="C55" i="21" s="1"/>
  <c r="D46" i="60" s="1"/>
  <c r="F46" i="60" s="1"/>
  <c r="Q306" i="1"/>
  <c r="Q154" i="1"/>
  <c r="Q239" i="1"/>
  <c r="Q192" i="1"/>
  <c r="Q186" i="1"/>
  <c r="Q208" i="1"/>
  <c r="Q112" i="1"/>
  <c r="Q119" i="1"/>
  <c r="C51" i="21" s="1"/>
  <c r="D41" i="60" s="1"/>
  <c r="F41" i="60" s="1"/>
  <c r="Q160" i="1"/>
  <c r="C69" i="21" s="1"/>
  <c r="Q288" i="1"/>
  <c r="C74" i="21" s="1"/>
  <c r="D70" i="60" s="1"/>
  <c r="F70" i="60" s="1"/>
  <c r="Q113" i="1"/>
  <c r="Q235" i="1"/>
  <c r="Q200" i="1"/>
  <c r="Q57" i="1"/>
  <c r="Q136" i="1"/>
  <c r="C59" i="21" s="1"/>
  <c r="D51" i="60" s="1"/>
  <c r="F51" i="60" s="1"/>
  <c r="Q263" i="1"/>
  <c r="Q319" i="1"/>
  <c r="Q101" i="1"/>
  <c r="C47" i="21" s="1"/>
  <c r="D36" i="60" s="1"/>
  <c r="F36" i="60" s="1"/>
  <c r="Q272" i="1"/>
  <c r="Q298" i="1"/>
  <c r="Q299" i="1"/>
  <c r="Q214" i="1"/>
  <c r="Q320" i="1"/>
  <c r="Q106" i="1"/>
  <c r="Q261" i="1"/>
  <c r="C73" i="21" s="1"/>
  <c r="D68" i="60" s="1"/>
  <c r="F68" i="60" s="1"/>
  <c r="Q56" i="1"/>
  <c r="Q46" i="1"/>
  <c r="C29" i="21" s="1"/>
  <c r="D13" i="60" s="1"/>
  <c r="F13" i="60" s="1"/>
  <c r="Q54" i="1"/>
  <c r="Q33" i="1"/>
  <c r="Q36" i="1"/>
  <c r="C28" i="21" s="1"/>
  <c r="D12" i="60" s="1"/>
  <c r="F12" i="60" s="1"/>
  <c r="Q41" i="1"/>
  <c r="Q29" i="1"/>
  <c r="Q37" i="1"/>
  <c r="Q45" i="1"/>
  <c r="Q43" i="1"/>
  <c r="Q27" i="1"/>
  <c r="C20" i="21" s="1"/>
  <c r="Q34" i="1"/>
  <c r="C25" i="21" s="1"/>
  <c r="D9" i="60" s="1"/>
  <c r="F9" i="60" s="1"/>
  <c r="Q31" i="1"/>
  <c r="Q55" i="1"/>
  <c r="C33" i="21" s="1"/>
  <c r="D18" i="60" s="1"/>
  <c r="F18" i="60" s="1"/>
  <c r="Q47" i="1"/>
  <c r="C30" i="21" s="1"/>
  <c r="D14" i="60" s="1"/>
  <c r="F14" i="60" s="1"/>
  <c r="Q30" i="1"/>
  <c r="Q39" i="1"/>
  <c r="Q35" i="1"/>
  <c r="C27" i="21" s="1"/>
  <c r="D11" i="60" s="1"/>
  <c r="F11" i="60" s="1"/>
  <c r="Q42" i="1"/>
  <c r="Q40" i="1"/>
  <c r="Q50" i="1"/>
  <c r="Q48" i="1"/>
  <c r="C31" i="21" s="1"/>
  <c r="D15" i="60" s="1"/>
  <c r="F15" i="60" s="1"/>
  <c r="Q32" i="1"/>
  <c r="C23" i="21" s="1"/>
  <c r="D7" i="60" s="1"/>
  <c r="F7" i="60" s="1"/>
  <c r="Q44" i="1"/>
  <c r="Q53" i="1"/>
  <c r="Q28" i="1"/>
  <c r="Q49" i="1"/>
  <c r="C32" i="21" s="1"/>
  <c r="D16" i="60" s="1"/>
  <c r="F16" i="60" s="1"/>
  <c r="Q51" i="1"/>
  <c r="Q52" i="1"/>
  <c r="Q38" i="1"/>
  <c r="Q23" i="29"/>
  <c r="Q26" i="1"/>
  <c r="Q398" i="1" l="1"/>
  <c r="K6" i="58" s="1"/>
  <c r="K23" i="58" s="1"/>
  <c r="Q405" i="1"/>
  <c r="K13" i="58" s="1"/>
  <c r="K30" i="58" s="1"/>
  <c r="Q397" i="1"/>
  <c r="K5" i="58" s="1"/>
  <c r="K22" i="58" s="1"/>
  <c r="C22" i="21"/>
  <c r="D6" i="60" s="1"/>
  <c r="F6" i="60" s="1"/>
  <c r="Q400" i="1"/>
  <c r="K7" i="58" s="1"/>
  <c r="K24" i="58" s="1"/>
  <c r="C24" i="21"/>
  <c r="D8" i="60" s="1"/>
  <c r="F8" i="60" s="1"/>
  <c r="Q402" i="1"/>
  <c r="K10" i="58" s="1"/>
  <c r="K27" i="58" s="1"/>
  <c r="Q404" i="1"/>
  <c r="K12" i="58" s="1"/>
  <c r="K29" i="58" s="1"/>
  <c r="Q399" i="1"/>
  <c r="K9" i="58" s="1"/>
  <c r="K26" i="58" s="1"/>
  <c r="Q403" i="1"/>
  <c r="K11" i="58" s="1"/>
  <c r="K28" i="58" s="1"/>
  <c r="C38" i="21"/>
  <c r="D25" i="60" s="1"/>
  <c r="F25" i="60" s="1"/>
  <c r="C19" i="21"/>
  <c r="BQ26" i="1"/>
  <c r="C37" i="21"/>
  <c r="D24" i="60" s="1"/>
  <c r="F24" i="60" s="1"/>
  <c r="C21" i="21"/>
  <c r="BQ28" i="1"/>
  <c r="D52" i="60"/>
  <c r="F52" i="60" s="1"/>
  <c r="Q385" i="1"/>
  <c r="Q23" i="1"/>
  <c r="Q381" i="1"/>
  <c r="Q384" i="1"/>
  <c r="Q386" i="1"/>
  <c r="Q389" i="1"/>
  <c r="Q388" i="1"/>
  <c r="Q383" i="1"/>
  <c r="Q387" i="1"/>
  <c r="Q382" i="1"/>
  <c r="Q22" i="1"/>
  <c r="Q406" i="1" l="1"/>
  <c r="C17" i="21"/>
  <c r="C2" i="6" s="1"/>
  <c r="C3" i="6" s="1"/>
  <c r="C80" i="21"/>
  <c r="Q8" i="1"/>
  <c r="C88" i="8"/>
  <c r="C78" i="8"/>
  <c r="C87" i="8"/>
  <c r="C74" i="8"/>
  <c r="C85" i="8"/>
  <c r="C81" i="8"/>
  <c r="C77" i="8"/>
  <c r="C76" i="8"/>
  <c r="C83" i="8"/>
  <c r="C89" i="8"/>
  <c r="C84" i="8"/>
  <c r="C95" i="8"/>
  <c r="C75" i="8"/>
  <c r="C79" i="8"/>
  <c r="C82" i="8"/>
  <c r="C80" i="8"/>
  <c r="Q390" i="1"/>
  <c r="K32" i="58" l="1"/>
  <c r="K15" i="58"/>
  <c r="Q15" i="1"/>
  <c r="Y8" i="1"/>
  <c r="C73" i="8"/>
  <c r="C98" i="8" s="1"/>
  <c r="C33" i="8"/>
  <c r="Q16" i="1" l="1"/>
  <c r="L92" i="8" l="1"/>
  <c r="L78" i="8"/>
  <c r="L76" i="8"/>
  <c r="L81" i="8"/>
  <c r="L74" i="8"/>
  <c r="L77" i="8"/>
  <c r="L80" i="8"/>
  <c r="L93" i="8"/>
  <c r="L91" i="8"/>
  <c r="L85" i="8"/>
  <c r="L90" i="8"/>
  <c r="L84" i="8"/>
  <c r="L83" i="8"/>
  <c r="L89" i="8"/>
  <c r="L88" i="8"/>
  <c r="L75" i="8"/>
  <c r="L87" i="8"/>
  <c r="L79" i="8"/>
  <c r="L86" i="8"/>
  <c r="L82" i="8"/>
  <c r="L95" i="8"/>
  <c r="L94" i="8"/>
  <c r="L33" i="8"/>
  <c r="L73" i="8"/>
  <c r="L98" i="8" l="1"/>
  <c r="AG30" i="8"/>
  <c r="C28" i="10" s="1"/>
  <c r="V95" i="8"/>
  <c r="V87" i="8"/>
  <c r="AG22" i="8"/>
  <c r="C20" i="10" s="1"/>
  <c r="AG23" i="8"/>
  <c r="C21" i="10" s="1"/>
  <c r="V88" i="8"/>
  <c r="V83" i="8"/>
  <c r="AG18" i="8"/>
  <c r="C16" i="10" s="1"/>
  <c r="AG25" i="8"/>
  <c r="C23" i="10" s="1"/>
  <c r="V90" i="8"/>
  <c r="V85" i="8"/>
  <c r="AG20" i="8"/>
  <c r="C18" i="10" s="1"/>
  <c r="AG12" i="8"/>
  <c r="C10" i="10" s="1"/>
  <c r="V77" i="8"/>
  <c r="AG16" i="8"/>
  <c r="C14" i="10" s="1"/>
  <c r="V81" i="8"/>
  <c r="V78" i="8"/>
  <c r="AG13" i="8"/>
  <c r="C11" i="10" s="1"/>
  <c r="V93" i="8"/>
  <c r="AG28" i="8"/>
  <c r="C26" i="10" s="1"/>
  <c r="AG21" i="8"/>
  <c r="C19" i="10" s="1"/>
  <c r="V86" i="8"/>
  <c r="V94" i="8"/>
  <c r="AG29" i="8"/>
  <c r="C27" i="10" s="1"/>
  <c r="V82" i="8"/>
  <c r="AG17" i="8"/>
  <c r="C15" i="10" s="1"/>
  <c r="V79" i="8"/>
  <c r="AG14" i="8"/>
  <c r="C12" i="10" s="1"/>
  <c r="AG10" i="8"/>
  <c r="C8" i="10" s="1"/>
  <c r="V75" i="8"/>
  <c r="AG24" i="8"/>
  <c r="C22" i="10" s="1"/>
  <c r="V89" i="8"/>
  <c r="AG19" i="8"/>
  <c r="C17" i="10" s="1"/>
  <c r="V84" i="8"/>
  <c r="AG15" i="8"/>
  <c r="C13" i="10" s="1"/>
  <c r="V80" i="8"/>
  <c r="AG9" i="8"/>
  <c r="C7" i="10" s="1"/>
  <c r="V74" i="8"/>
  <c r="V76" i="8"/>
  <c r="AG11" i="8"/>
  <c r="C9" i="10" s="1"/>
  <c r="V92" i="8"/>
  <c r="AG27" i="8"/>
  <c r="C25" i="10" s="1"/>
  <c r="V73" i="8"/>
  <c r="AG8" i="8"/>
  <c r="V33" i="8"/>
  <c r="V91" i="8"/>
  <c r="AG26" i="8"/>
  <c r="C24" i="10" s="1"/>
  <c r="AG33" i="8" l="1"/>
  <c r="C6" i="10"/>
  <c r="V98" i="8"/>
  <c r="C31" i="10" l="1"/>
  <c r="I42" i="8" l="1"/>
  <c r="I107" i="8" s="1"/>
  <c r="H50" i="8"/>
  <c r="H115" i="8" s="1"/>
  <c r="G42" i="8"/>
  <c r="G107" i="8" s="1"/>
  <c r="F50" i="8"/>
  <c r="I54" i="8" l="1"/>
  <c r="I119" i="8" s="1"/>
  <c r="I51" i="8"/>
  <c r="I116" i="8" s="1"/>
  <c r="I47" i="8"/>
  <c r="I112" i="8" s="1"/>
  <c r="I48" i="8"/>
  <c r="I113" i="8" s="1"/>
  <c r="I50" i="8"/>
  <c r="I115" i="8" s="1"/>
  <c r="H62" i="8"/>
  <c r="H127" i="8" s="1"/>
  <c r="H53" i="8"/>
  <c r="H118" i="8" s="1"/>
  <c r="H40" i="8"/>
  <c r="H105" i="8" s="1"/>
  <c r="H47" i="8"/>
  <c r="H112" i="8" s="1"/>
  <c r="I40" i="8"/>
  <c r="I105" i="8" s="1"/>
  <c r="I46" i="8"/>
  <c r="I111" i="8" s="1"/>
  <c r="I53" i="8"/>
  <c r="I118" i="8" s="1"/>
  <c r="I45" i="8"/>
  <c r="I110" i="8" s="1"/>
  <c r="I55" i="8"/>
  <c r="I120" i="8" s="1"/>
  <c r="I44" i="8"/>
  <c r="I109" i="8" s="1"/>
  <c r="I49" i="8"/>
  <c r="I114" i="8" s="1"/>
  <c r="H39" i="8"/>
  <c r="H46" i="8"/>
  <c r="H111" i="8" s="1"/>
  <c r="H43" i="8"/>
  <c r="H108" i="8" s="1"/>
  <c r="H42" i="8"/>
  <c r="H107" i="8" s="1"/>
  <c r="H49" i="8"/>
  <c r="H114" i="8" s="1"/>
  <c r="H51" i="8"/>
  <c r="H116" i="8" s="1"/>
  <c r="H52" i="8"/>
  <c r="H117" i="8" s="1"/>
  <c r="H55" i="8"/>
  <c r="H120" i="8" s="1"/>
  <c r="H61" i="8"/>
  <c r="H126" i="8" s="1"/>
  <c r="I43" i="8"/>
  <c r="I108" i="8" s="1"/>
  <c r="H44" i="8"/>
  <c r="H109" i="8" s="1"/>
  <c r="H45" i="8"/>
  <c r="H110" i="8" s="1"/>
  <c r="I52" i="8"/>
  <c r="I117" i="8" s="1"/>
  <c r="H54" i="8"/>
  <c r="H119" i="8" s="1"/>
  <c r="H48" i="8"/>
  <c r="H113" i="8" s="1"/>
  <c r="F52" i="8"/>
  <c r="F62" i="8"/>
  <c r="F46" i="8"/>
  <c r="G39" i="8"/>
  <c r="G40" i="8"/>
  <c r="G105" i="8" s="1"/>
  <c r="G52" i="8"/>
  <c r="G117" i="8" s="1"/>
  <c r="G47" i="8"/>
  <c r="G112" i="8" s="1"/>
  <c r="G48" i="8"/>
  <c r="G113" i="8" s="1"/>
  <c r="I61" i="8"/>
  <c r="I126" i="8" s="1"/>
  <c r="F55" i="8"/>
  <c r="G55" i="8"/>
  <c r="G120" i="8" s="1"/>
  <c r="I62" i="8"/>
  <c r="I39" i="8"/>
  <c r="G51" i="8"/>
  <c r="G116" i="8" s="1"/>
  <c r="G49" i="8"/>
  <c r="G114" i="8" s="1"/>
  <c r="F39" i="8"/>
  <c r="F44" i="8"/>
  <c r="G46" i="8"/>
  <c r="G111" i="8" s="1"/>
  <c r="G45" i="8"/>
  <c r="G110" i="8" s="1"/>
  <c r="G61" i="8"/>
  <c r="G126" i="8" s="1"/>
  <c r="G53" i="8"/>
  <c r="G118" i="8" s="1"/>
  <c r="F53" i="8"/>
  <c r="F51" i="8"/>
  <c r="G62" i="8"/>
  <c r="G127" i="8" s="1"/>
  <c r="G50" i="8"/>
  <c r="G115" i="8" s="1"/>
  <c r="F42" i="8"/>
  <c r="G54" i="8"/>
  <c r="G119" i="8" s="1"/>
  <c r="F61" i="8"/>
  <c r="F40" i="8"/>
  <c r="F54" i="8"/>
  <c r="F45" i="8"/>
  <c r="G44" i="8"/>
  <c r="G109" i="8" s="1"/>
  <c r="G43" i="8"/>
  <c r="G108" i="8" s="1"/>
  <c r="F47" i="8"/>
  <c r="F49" i="8"/>
  <c r="F43" i="8"/>
  <c r="F115" i="8"/>
  <c r="F48" i="8"/>
  <c r="F118" i="8" l="1"/>
  <c r="F120" i="8"/>
  <c r="F114" i="8"/>
  <c r="F110" i="8"/>
  <c r="F109" i="8"/>
  <c r="F111" i="8"/>
  <c r="F112" i="8"/>
  <c r="F119" i="8"/>
  <c r="F127" i="8"/>
  <c r="F108" i="8"/>
  <c r="F126" i="8"/>
  <c r="F107" i="8"/>
  <c r="F105" i="8"/>
  <c r="F116" i="8"/>
  <c r="F117" i="8"/>
  <c r="AF13" i="21"/>
  <c r="AF14" i="21"/>
  <c r="I104" i="8"/>
  <c r="I64" i="8"/>
  <c r="R63" i="8" s="1"/>
  <c r="AB63" i="8" s="1"/>
  <c r="AM63" i="8" s="1"/>
  <c r="F63" i="11" s="1"/>
  <c r="M63" i="11" s="1"/>
  <c r="T63" i="11" s="1"/>
  <c r="I127" i="8"/>
  <c r="AF12" i="21"/>
  <c r="H104" i="8"/>
  <c r="H129" i="8" s="1"/>
  <c r="H64" i="8"/>
  <c r="Q63" i="8" s="1"/>
  <c r="AA63" i="8" s="1"/>
  <c r="AL63" i="8" s="1"/>
  <c r="E63" i="11" s="1"/>
  <c r="L63" i="11" s="1"/>
  <c r="S63" i="11" s="1"/>
  <c r="G104" i="8"/>
  <c r="G129" i="8" s="1"/>
  <c r="G64" i="8"/>
  <c r="P63" i="8" s="1"/>
  <c r="Z63" i="8" s="1"/>
  <c r="AK63" i="8" s="1"/>
  <c r="D63" i="11" s="1"/>
  <c r="K63" i="11" s="1"/>
  <c r="R63" i="11" s="1"/>
  <c r="AF11" i="21"/>
  <c r="F64" i="8"/>
  <c r="O63" i="8" s="1"/>
  <c r="Y63" i="8" s="1"/>
  <c r="AJ63" i="8" s="1"/>
  <c r="C63" i="11" s="1"/>
  <c r="F104" i="8"/>
  <c r="F113" i="8"/>
  <c r="J63" i="11" l="1"/>
  <c r="F13" i="21"/>
  <c r="F14" i="21"/>
  <c r="I129" i="8"/>
  <c r="F12" i="21"/>
  <c r="R55" i="8"/>
  <c r="R59" i="8"/>
  <c r="R56" i="8"/>
  <c r="R46" i="8"/>
  <c r="R57" i="8"/>
  <c r="R44" i="8"/>
  <c r="R61" i="8"/>
  <c r="R50" i="8"/>
  <c r="R54" i="8"/>
  <c r="R52" i="8"/>
  <c r="R60" i="8"/>
  <c r="R40" i="8"/>
  <c r="R45" i="8"/>
  <c r="R43" i="8"/>
  <c r="R49" i="8"/>
  <c r="R39" i="8"/>
  <c r="R51" i="8"/>
  <c r="R42" i="8"/>
  <c r="R53" i="8"/>
  <c r="R48" i="8"/>
  <c r="R58" i="8"/>
  <c r="R62" i="8"/>
  <c r="R47" i="8"/>
  <c r="Q62" i="8"/>
  <c r="Q61" i="8"/>
  <c r="Q51" i="8"/>
  <c r="Q39" i="8"/>
  <c r="Q52" i="8"/>
  <c r="Q43" i="8"/>
  <c r="Q50" i="8"/>
  <c r="Q56" i="8"/>
  <c r="Q55" i="8"/>
  <c r="Q58" i="8"/>
  <c r="Q60" i="8"/>
  <c r="Q47" i="8"/>
  <c r="Q44" i="8"/>
  <c r="Q42" i="8"/>
  <c r="Q57" i="8"/>
  <c r="Q53" i="8"/>
  <c r="Q54" i="8"/>
  <c r="Q45" i="8"/>
  <c r="Q59" i="8"/>
  <c r="Q46" i="8"/>
  <c r="Q49" i="8"/>
  <c r="Q40" i="8"/>
  <c r="Q48" i="8"/>
  <c r="P60" i="8"/>
  <c r="P44" i="8"/>
  <c r="P55" i="8"/>
  <c r="P40" i="8"/>
  <c r="P57" i="8"/>
  <c r="P46" i="8"/>
  <c r="P59" i="8"/>
  <c r="P39" i="8"/>
  <c r="P58" i="8"/>
  <c r="P43" i="8"/>
  <c r="P56" i="8"/>
  <c r="P50" i="8"/>
  <c r="P62" i="8"/>
  <c r="P51" i="8"/>
  <c r="P42" i="8"/>
  <c r="P53" i="8"/>
  <c r="P49" i="8"/>
  <c r="P47" i="8"/>
  <c r="P45" i="8"/>
  <c r="P54" i="8"/>
  <c r="P48" i="8"/>
  <c r="P52" i="8"/>
  <c r="P61" i="8"/>
  <c r="O56" i="8"/>
  <c r="O47" i="8"/>
  <c r="O54" i="8"/>
  <c r="O53" i="8"/>
  <c r="O49" i="8"/>
  <c r="O43" i="8"/>
  <c r="O51" i="8"/>
  <c r="O58" i="8"/>
  <c r="O52" i="8"/>
  <c r="O45" i="8"/>
  <c r="O61" i="8"/>
  <c r="O60" i="8"/>
  <c r="O48" i="8"/>
  <c r="O57" i="8"/>
  <c r="O44" i="8"/>
  <c r="O62" i="8"/>
  <c r="O59" i="8"/>
  <c r="O39" i="8"/>
  <c r="O50" i="8"/>
  <c r="O40" i="8"/>
  <c r="O42" i="8"/>
  <c r="O46" i="8"/>
  <c r="O55" i="8"/>
  <c r="F11" i="21"/>
  <c r="F129" i="8"/>
  <c r="Q63" i="11" l="1"/>
  <c r="R104" i="8"/>
  <c r="R64" i="8"/>
  <c r="AB39" i="8"/>
  <c r="AB47" i="8"/>
  <c r="R112" i="8"/>
  <c r="R118" i="8"/>
  <c r="AB53" i="8"/>
  <c r="AB49" i="8"/>
  <c r="R114" i="8"/>
  <c r="AB60" i="8"/>
  <c r="R125" i="8"/>
  <c r="AB61" i="8"/>
  <c r="R126" i="8"/>
  <c r="AB56" i="8"/>
  <c r="R121" i="8"/>
  <c r="R127" i="8"/>
  <c r="AB62" i="8"/>
  <c r="AB42" i="8"/>
  <c r="R107" i="8"/>
  <c r="AB43" i="8"/>
  <c r="R108" i="8"/>
  <c r="AB44" i="8"/>
  <c r="R109" i="8"/>
  <c r="R124" i="8"/>
  <c r="AB59" i="8"/>
  <c r="AB52" i="8"/>
  <c r="R117" i="8"/>
  <c r="AB58" i="8"/>
  <c r="R123" i="8"/>
  <c r="AB51" i="8"/>
  <c r="R116" i="8"/>
  <c r="AB45" i="8"/>
  <c r="R110" i="8"/>
  <c r="AB54" i="8"/>
  <c r="R119" i="8"/>
  <c r="AB57" i="8"/>
  <c r="R122" i="8"/>
  <c r="R120" i="8"/>
  <c r="AB55" i="8"/>
  <c r="AB48" i="8"/>
  <c r="R113" i="8"/>
  <c r="R105" i="8"/>
  <c r="AB40" i="8"/>
  <c r="R115" i="8"/>
  <c r="AB50" i="8"/>
  <c r="AB46" i="8"/>
  <c r="R111" i="8"/>
  <c r="AA49" i="8"/>
  <c r="Q114" i="8"/>
  <c r="AA54" i="8"/>
  <c r="Q119" i="8"/>
  <c r="AA44" i="8"/>
  <c r="Q109" i="8"/>
  <c r="Q120" i="8"/>
  <c r="AA55" i="8"/>
  <c r="AA52" i="8"/>
  <c r="Q117" i="8"/>
  <c r="Q127" i="8"/>
  <c r="AA62" i="8"/>
  <c r="AA46" i="8"/>
  <c r="Q111" i="8"/>
  <c r="AA53" i="8"/>
  <c r="Q118" i="8"/>
  <c r="AA47" i="8"/>
  <c r="Q112" i="8"/>
  <c r="Q121" i="8"/>
  <c r="AA56" i="8"/>
  <c r="Q104" i="8"/>
  <c r="Q64" i="8"/>
  <c r="AA39" i="8"/>
  <c r="Q113" i="8"/>
  <c r="AA48" i="8"/>
  <c r="AA59" i="8"/>
  <c r="Q124" i="8"/>
  <c r="AA57" i="8"/>
  <c r="Q122" i="8"/>
  <c r="AA60" i="8"/>
  <c r="Q125" i="8"/>
  <c r="AA50" i="8"/>
  <c r="Q115" i="8"/>
  <c r="Q116" i="8"/>
  <c r="AA51" i="8"/>
  <c r="AA40" i="8"/>
  <c r="Q105" i="8"/>
  <c r="Q110" i="8"/>
  <c r="AA45" i="8"/>
  <c r="AA42" i="8"/>
  <c r="Q107" i="8"/>
  <c r="AA58" i="8"/>
  <c r="Q123" i="8"/>
  <c r="Q108" i="8"/>
  <c r="AA43" i="8"/>
  <c r="Q126" i="8"/>
  <c r="AA61" i="8"/>
  <c r="Z54" i="8"/>
  <c r="P119" i="8"/>
  <c r="Z53" i="8"/>
  <c r="P118" i="8"/>
  <c r="P115" i="8"/>
  <c r="Z50" i="8"/>
  <c r="P104" i="8"/>
  <c r="P64" i="8"/>
  <c r="Z39" i="8"/>
  <c r="P105" i="8"/>
  <c r="Z40" i="8"/>
  <c r="Z61" i="8"/>
  <c r="P126" i="8"/>
  <c r="P110" i="8"/>
  <c r="Z45" i="8"/>
  <c r="Z42" i="8"/>
  <c r="P107" i="8"/>
  <c r="P121" i="8"/>
  <c r="Z56" i="8"/>
  <c r="Z59" i="8"/>
  <c r="P124" i="8"/>
  <c r="Z55" i="8"/>
  <c r="P120" i="8"/>
  <c r="Z52" i="8"/>
  <c r="P117" i="8"/>
  <c r="Z47" i="8"/>
  <c r="P112" i="8"/>
  <c r="Z51" i="8"/>
  <c r="P116" i="8"/>
  <c r="Z43" i="8"/>
  <c r="P108" i="8"/>
  <c r="P111" i="8"/>
  <c r="Z46" i="8"/>
  <c r="Z44" i="8"/>
  <c r="P109" i="8"/>
  <c r="Z48" i="8"/>
  <c r="P113" i="8"/>
  <c r="P114" i="8"/>
  <c r="Z49" i="8"/>
  <c r="Z62" i="8"/>
  <c r="P127" i="8"/>
  <c r="Z58" i="8"/>
  <c r="P123" i="8"/>
  <c r="P122" i="8"/>
  <c r="Z57" i="8"/>
  <c r="P125" i="8"/>
  <c r="Z60" i="8"/>
  <c r="O124" i="8"/>
  <c r="Y59" i="8"/>
  <c r="O117" i="8"/>
  <c r="Y52" i="8"/>
  <c r="O127" i="8"/>
  <c r="Y62" i="8"/>
  <c r="Y60" i="8"/>
  <c r="O125" i="8"/>
  <c r="O118" i="8"/>
  <c r="Y53" i="8"/>
  <c r="O120" i="8"/>
  <c r="Y55" i="8"/>
  <c r="O115" i="8"/>
  <c r="Y50" i="8"/>
  <c r="O109" i="8"/>
  <c r="Y44" i="8"/>
  <c r="O126" i="8"/>
  <c r="Y61" i="8"/>
  <c r="O116" i="8"/>
  <c r="Y51" i="8"/>
  <c r="O119" i="8"/>
  <c r="Y54" i="8"/>
  <c r="O113" i="8"/>
  <c r="Y48" i="8"/>
  <c r="O114" i="8"/>
  <c r="Y49" i="8"/>
  <c r="O105" i="8"/>
  <c r="Y40" i="8"/>
  <c r="Y58" i="8"/>
  <c r="O123" i="8"/>
  <c r="O111" i="8"/>
  <c r="Y46" i="8"/>
  <c r="O64" i="8"/>
  <c r="O104" i="8"/>
  <c r="Y39" i="8"/>
  <c r="Y57" i="8"/>
  <c r="O122" i="8"/>
  <c r="O110" i="8"/>
  <c r="Y45" i="8"/>
  <c r="O108" i="8"/>
  <c r="Y43" i="8"/>
  <c r="O112" i="8"/>
  <c r="Y47" i="8"/>
  <c r="O107" i="8"/>
  <c r="Y42" i="8"/>
  <c r="Y56" i="8"/>
  <c r="O121" i="8"/>
  <c r="AM48" i="8" l="1"/>
  <c r="F48" i="11" s="1"/>
  <c r="M48" i="11" s="1"/>
  <c r="T48" i="11" s="1"/>
  <c r="AB113" i="8"/>
  <c r="AB120" i="8"/>
  <c r="AM55" i="8"/>
  <c r="F55" i="11" s="1"/>
  <c r="M55" i="11" s="1"/>
  <c r="T55" i="11" s="1"/>
  <c r="AB117" i="8"/>
  <c r="AM52" i="8"/>
  <c r="F52" i="11" s="1"/>
  <c r="M52" i="11" s="1"/>
  <c r="T52" i="11" s="1"/>
  <c r="AM43" i="8"/>
  <c r="F43" i="11" s="1"/>
  <c r="M43" i="11" s="1"/>
  <c r="T43" i="11" s="1"/>
  <c r="AB108" i="8"/>
  <c r="AM56" i="8"/>
  <c r="F56" i="11" s="1"/>
  <c r="M56" i="11" s="1"/>
  <c r="T56" i="11" s="1"/>
  <c r="AB121" i="8"/>
  <c r="AM60" i="8"/>
  <c r="F60" i="11" s="1"/>
  <c r="M60" i="11" s="1"/>
  <c r="T60" i="11" s="1"/>
  <c r="AB125" i="8"/>
  <c r="AB105" i="8"/>
  <c r="AM40" i="8"/>
  <c r="F40" i="11" s="1"/>
  <c r="M40" i="11" s="1"/>
  <c r="T40" i="11" s="1"/>
  <c r="AM54" i="8"/>
  <c r="F54" i="11" s="1"/>
  <c r="M54" i="11" s="1"/>
  <c r="T54" i="11" s="1"/>
  <c r="AB119" i="8"/>
  <c r="AM51" i="8"/>
  <c r="F51" i="11" s="1"/>
  <c r="M51" i="11" s="1"/>
  <c r="T51" i="11" s="1"/>
  <c r="AB116" i="8"/>
  <c r="R129" i="8"/>
  <c r="AM46" i="8"/>
  <c r="F46" i="11" s="1"/>
  <c r="M46" i="11" s="1"/>
  <c r="T46" i="11" s="1"/>
  <c r="AB111" i="8"/>
  <c r="AB109" i="8"/>
  <c r="AM44" i="8"/>
  <c r="F44" i="11" s="1"/>
  <c r="M44" i="11" s="1"/>
  <c r="T44" i="11" s="1"/>
  <c r="AM42" i="8"/>
  <c r="F42" i="11" s="1"/>
  <c r="M42" i="11" s="1"/>
  <c r="T42" i="11" s="1"/>
  <c r="AB107" i="8"/>
  <c r="AB126" i="8"/>
  <c r="AM61" i="8"/>
  <c r="F61" i="11" s="1"/>
  <c r="M61" i="11" s="1"/>
  <c r="T61" i="11" s="1"/>
  <c r="AM49" i="8"/>
  <c r="F49" i="11" s="1"/>
  <c r="M49" i="11" s="1"/>
  <c r="T49" i="11" s="1"/>
  <c r="AB114" i="8"/>
  <c r="AB112" i="8"/>
  <c r="AM47" i="8"/>
  <c r="F47" i="11" s="1"/>
  <c r="M47" i="11" s="1"/>
  <c r="T47" i="11" s="1"/>
  <c r="AB115" i="8"/>
  <c r="AM50" i="8"/>
  <c r="F50" i="11" s="1"/>
  <c r="M50" i="11" s="1"/>
  <c r="T50" i="11" s="1"/>
  <c r="AM57" i="8"/>
  <c r="F57" i="11" s="1"/>
  <c r="M57" i="11" s="1"/>
  <c r="T57" i="11" s="1"/>
  <c r="AB122" i="8"/>
  <c r="AM45" i="8"/>
  <c r="F45" i="11" s="1"/>
  <c r="M45" i="11" s="1"/>
  <c r="T45" i="11" s="1"/>
  <c r="AB110" i="8"/>
  <c r="AM58" i="8"/>
  <c r="F58" i="11" s="1"/>
  <c r="M58" i="11" s="1"/>
  <c r="T58" i="11" s="1"/>
  <c r="AB123" i="8"/>
  <c r="AM59" i="8"/>
  <c r="F59" i="11" s="1"/>
  <c r="M59" i="11" s="1"/>
  <c r="T59" i="11" s="1"/>
  <c r="AB124" i="8"/>
  <c r="AM62" i="8"/>
  <c r="F62" i="11" s="1"/>
  <c r="M62" i="11" s="1"/>
  <c r="T62" i="11" s="1"/>
  <c r="AB127" i="8"/>
  <c r="AM53" i="8"/>
  <c r="F53" i="11" s="1"/>
  <c r="M53" i="11" s="1"/>
  <c r="T53" i="11" s="1"/>
  <c r="AB118" i="8"/>
  <c r="AM39" i="8"/>
  <c r="AB64" i="8"/>
  <c r="AB104" i="8"/>
  <c r="AA123" i="8"/>
  <c r="AL58" i="8"/>
  <c r="E58" i="11" s="1"/>
  <c r="L58" i="11" s="1"/>
  <c r="S58" i="11" s="1"/>
  <c r="AL48" i="8"/>
  <c r="E48" i="11" s="1"/>
  <c r="L48" i="11" s="1"/>
  <c r="S48" i="11" s="1"/>
  <c r="AA113" i="8"/>
  <c r="AA121" i="8"/>
  <c r="AL56" i="8"/>
  <c r="E56" i="11" s="1"/>
  <c r="L56" i="11" s="1"/>
  <c r="S56" i="11" s="1"/>
  <c r="AL62" i="8"/>
  <c r="E62" i="11" s="1"/>
  <c r="L62" i="11" s="1"/>
  <c r="S62" i="11" s="1"/>
  <c r="AA127" i="8"/>
  <c r="AA120" i="8"/>
  <c r="AL55" i="8"/>
  <c r="E55" i="11" s="1"/>
  <c r="L55" i="11" s="1"/>
  <c r="S55" i="11" s="1"/>
  <c r="AA108" i="8"/>
  <c r="AL43" i="8"/>
  <c r="E43" i="11" s="1"/>
  <c r="L43" i="11" s="1"/>
  <c r="S43" i="11" s="1"/>
  <c r="AL50" i="8"/>
  <c r="E50" i="11" s="1"/>
  <c r="L50" i="11" s="1"/>
  <c r="S50" i="11" s="1"/>
  <c r="AA115" i="8"/>
  <c r="AL57" i="8"/>
  <c r="E57" i="11" s="1"/>
  <c r="L57" i="11" s="1"/>
  <c r="S57" i="11" s="1"/>
  <c r="AA122" i="8"/>
  <c r="AA104" i="8"/>
  <c r="AA64" i="8"/>
  <c r="AL39" i="8"/>
  <c r="AA118" i="8"/>
  <c r="AL53" i="8"/>
  <c r="E53" i="11" s="1"/>
  <c r="L53" i="11" s="1"/>
  <c r="S53" i="11" s="1"/>
  <c r="AA119" i="8"/>
  <c r="AL54" i="8"/>
  <c r="E54" i="11" s="1"/>
  <c r="L54" i="11" s="1"/>
  <c r="S54" i="11" s="1"/>
  <c r="AL42" i="8"/>
  <c r="E42" i="11" s="1"/>
  <c r="L42" i="11" s="1"/>
  <c r="S42" i="11" s="1"/>
  <c r="AA107" i="8"/>
  <c r="AL40" i="8"/>
  <c r="E40" i="11" s="1"/>
  <c r="L40" i="11" s="1"/>
  <c r="S40" i="11" s="1"/>
  <c r="AA105" i="8"/>
  <c r="AL51" i="8"/>
  <c r="E51" i="11" s="1"/>
  <c r="L51" i="11" s="1"/>
  <c r="S51" i="11" s="1"/>
  <c r="AA116" i="8"/>
  <c r="AA126" i="8"/>
  <c r="AL61" i="8"/>
  <c r="E61" i="11" s="1"/>
  <c r="L61" i="11" s="1"/>
  <c r="S61" i="11" s="1"/>
  <c r="AL45" i="8"/>
  <c r="E45" i="11" s="1"/>
  <c r="L45" i="11" s="1"/>
  <c r="S45" i="11" s="1"/>
  <c r="AA110" i="8"/>
  <c r="AA125" i="8"/>
  <c r="AL60" i="8"/>
  <c r="E60" i="11" s="1"/>
  <c r="L60" i="11" s="1"/>
  <c r="S60" i="11" s="1"/>
  <c r="AL59" i="8"/>
  <c r="E59" i="11" s="1"/>
  <c r="L59" i="11" s="1"/>
  <c r="S59" i="11" s="1"/>
  <c r="AA124" i="8"/>
  <c r="Q129" i="8"/>
  <c r="AA112" i="8"/>
  <c r="AL47" i="8"/>
  <c r="E47" i="11" s="1"/>
  <c r="L47" i="11" s="1"/>
  <c r="S47" i="11" s="1"/>
  <c r="AA111" i="8"/>
  <c r="AL46" i="8"/>
  <c r="E46" i="11" s="1"/>
  <c r="L46" i="11" s="1"/>
  <c r="S46" i="11" s="1"/>
  <c r="AA117" i="8"/>
  <c r="AL52" i="8"/>
  <c r="E52" i="11" s="1"/>
  <c r="L52" i="11" s="1"/>
  <c r="S52" i="11" s="1"/>
  <c r="AL44" i="8"/>
  <c r="E44" i="11" s="1"/>
  <c r="L44" i="11" s="1"/>
  <c r="S44" i="11" s="1"/>
  <c r="AA109" i="8"/>
  <c r="AA114" i="8"/>
  <c r="AL49" i="8"/>
  <c r="E49" i="11" s="1"/>
  <c r="L49" i="11" s="1"/>
  <c r="S49" i="11" s="1"/>
  <c r="AK62" i="8"/>
  <c r="D62" i="11" s="1"/>
  <c r="K62" i="11" s="1"/>
  <c r="R62" i="11" s="1"/>
  <c r="Z127" i="8"/>
  <c r="AK48" i="8"/>
  <c r="D48" i="11" s="1"/>
  <c r="K48" i="11" s="1"/>
  <c r="R48" i="11" s="1"/>
  <c r="Z113" i="8"/>
  <c r="AK59" i="8"/>
  <c r="D59" i="11" s="1"/>
  <c r="K59" i="11" s="1"/>
  <c r="R59" i="11" s="1"/>
  <c r="Z124" i="8"/>
  <c r="AK42" i="8"/>
  <c r="D42" i="11" s="1"/>
  <c r="K42" i="11" s="1"/>
  <c r="R42" i="11" s="1"/>
  <c r="Z107" i="8"/>
  <c r="AK61" i="8"/>
  <c r="D61" i="11" s="1"/>
  <c r="K61" i="11" s="1"/>
  <c r="R61" i="11" s="1"/>
  <c r="Z126" i="8"/>
  <c r="AK60" i="8"/>
  <c r="D60" i="11" s="1"/>
  <c r="K60" i="11" s="1"/>
  <c r="R60" i="11" s="1"/>
  <c r="Z125" i="8"/>
  <c r="AK49" i="8"/>
  <c r="D49" i="11" s="1"/>
  <c r="K49" i="11" s="1"/>
  <c r="R49" i="11" s="1"/>
  <c r="Z114" i="8"/>
  <c r="AK44" i="8"/>
  <c r="D44" i="11" s="1"/>
  <c r="K44" i="11" s="1"/>
  <c r="R44" i="11" s="1"/>
  <c r="Z109" i="8"/>
  <c r="AK43" i="8"/>
  <c r="D43" i="11" s="1"/>
  <c r="K43" i="11" s="1"/>
  <c r="R43" i="11" s="1"/>
  <c r="Z108" i="8"/>
  <c r="Z112" i="8"/>
  <c r="AK47" i="8"/>
  <c r="D47" i="11" s="1"/>
  <c r="K47" i="11" s="1"/>
  <c r="R47" i="11" s="1"/>
  <c r="AK56" i="8"/>
  <c r="D56" i="11" s="1"/>
  <c r="K56" i="11" s="1"/>
  <c r="R56" i="11" s="1"/>
  <c r="Z121" i="8"/>
  <c r="Z110" i="8"/>
  <c r="AK45" i="8"/>
  <c r="D45" i="11" s="1"/>
  <c r="K45" i="11" s="1"/>
  <c r="R45" i="11" s="1"/>
  <c r="Z105" i="8"/>
  <c r="AK40" i="8"/>
  <c r="D40" i="11" s="1"/>
  <c r="K40" i="11" s="1"/>
  <c r="R40" i="11" s="1"/>
  <c r="P129" i="8"/>
  <c r="AK53" i="8"/>
  <c r="D53" i="11" s="1"/>
  <c r="K53" i="11" s="1"/>
  <c r="R53" i="11" s="1"/>
  <c r="Z118" i="8"/>
  <c r="AK58" i="8"/>
  <c r="D58" i="11" s="1"/>
  <c r="K58" i="11" s="1"/>
  <c r="R58" i="11" s="1"/>
  <c r="Z123" i="8"/>
  <c r="AK46" i="8"/>
  <c r="D46" i="11" s="1"/>
  <c r="K46" i="11" s="1"/>
  <c r="R46" i="11" s="1"/>
  <c r="Z111" i="8"/>
  <c r="AK55" i="8"/>
  <c r="D55" i="11" s="1"/>
  <c r="K55" i="11" s="1"/>
  <c r="R55" i="11" s="1"/>
  <c r="Z120" i="8"/>
  <c r="AK50" i="8"/>
  <c r="D50" i="11" s="1"/>
  <c r="K50" i="11" s="1"/>
  <c r="R50" i="11" s="1"/>
  <c r="Z115" i="8"/>
  <c r="Z122" i="8"/>
  <c r="AK57" i="8"/>
  <c r="D57" i="11" s="1"/>
  <c r="K57" i="11" s="1"/>
  <c r="R57" i="11" s="1"/>
  <c r="AK51" i="8"/>
  <c r="D51" i="11" s="1"/>
  <c r="K51" i="11" s="1"/>
  <c r="R51" i="11" s="1"/>
  <c r="Z116" i="8"/>
  <c r="AK52" i="8"/>
  <c r="D52" i="11" s="1"/>
  <c r="K52" i="11" s="1"/>
  <c r="R52" i="11" s="1"/>
  <c r="Z117" i="8"/>
  <c r="AK39" i="8"/>
  <c r="Z104" i="8"/>
  <c r="Z64" i="8"/>
  <c r="AK54" i="8"/>
  <c r="D54" i="11" s="1"/>
  <c r="K54" i="11" s="1"/>
  <c r="R54" i="11" s="1"/>
  <c r="Z119" i="8"/>
  <c r="AJ57" i="8"/>
  <c r="C57" i="11" s="1"/>
  <c r="Y122" i="8"/>
  <c r="AJ46" i="8"/>
  <c r="C46" i="11" s="1"/>
  <c r="Y111" i="8"/>
  <c r="AJ40" i="8"/>
  <c r="C40" i="11" s="1"/>
  <c r="Y105" i="8"/>
  <c r="Y117" i="8"/>
  <c r="AJ52" i="8"/>
  <c r="C52" i="11" s="1"/>
  <c r="AJ47" i="8"/>
  <c r="C47" i="11" s="1"/>
  <c r="Y112" i="8"/>
  <c r="Y64" i="8"/>
  <c r="Y104" i="8"/>
  <c r="AJ39" i="8"/>
  <c r="AJ48" i="8"/>
  <c r="C48" i="11" s="1"/>
  <c r="Y113" i="8"/>
  <c r="AJ51" i="8"/>
  <c r="C51" i="11" s="1"/>
  <c r="Y116" i="8"/>
  <c r="Y109" i="8"/>
  <c r="AJ44" i="8"/>
  <c r="C44" i="11" s="1"/>
  <c r="Y120" i="8"/>
  <c r="AJ55" i="8"/>
  <c r="C55" i="11" s="1"/>
  <c r="AJ60" i="8"/>
  <c r="C60" i="11" s="1"/>
  <c r="Y125" i="8"/>
  <c r="AJ45" i="8"/>
  <c r="C45" i="11" s="1"/>
  <c r="Y110" i="8"/>
  <c r="Y121" i="8"/>
  <c r="AJ56" i="8"/>
  <c r="C56" i="11" s="1"/>
  <c r="O129" i="8"/>
  <c r="AJ53" i="8"/>
  <c r="C53" i="11" s="1"/>
  <c r="Y118" i="8"/>
  <c r="AJ62" i="8"/>
  <c r="C62" i="11" s="1"/>
  <c r="Y127" i="8"/>
  <c r="AJ59" i="8"/>
  <c r="C59" i="11" s="1"/>
  <c r="Y124" i="8"/>
  <c r="AJ42" i="8"/>
  <c r="C42" i="11" s="1"/>
  <c r="Y107" i="8"/>
  <c r="AJ43" i="8"/>
  <c r="C43" i="11" s="1"/>
  <c r="Y108" i="8"/>
  <c r="AJ58" i="8"/>
  <c r="C58" i="11" s="1"/>
  <c r="Y123" i="8"/>
  <c r="AJ49" i="8"/>
  <c r="C49" i="11" s="1"/>
  <c r="Y114" i="8"/>
  <c r="AJ54" i="8"/>
  <c r="C54" i="11" s="1"/>
  <c r="Y119" i="8"/>
  <c r="Y126" i="8"/>
  <c r="AJ61" i="8"/>
  <c r="C61" i="11" s="1"/>
  <c r="AJ50" i="8"/>
  <c r="C50" i="11" s="1"/>
  <c r="Y115" i="8"/>
  <c r="AB129" i="8" l="1"/>
  <c r="F39" i="11"/>
  <c r="M39" i="11" s="1"/>
  <c r="AM64" i="8"/>
  <c r="F64" i="11" s="1"/>
  <c r="E39" i="11"/>
  <c r="L39" i="11" s="1"/>
  <c r="AL64" i="8"/>
  <c r="E64" i="11" s="1"/>
  <c r="AA129" i="8"/>
  <c r="Z129" i="8"/>
  <c r="D39" i="11"/>
  <c r="K39" i="11" s="1"/>
  <c r="AK64" i="8"/>
  <c r="D64" i="11" s="1"/>
  <c r="J61" i="11"/>
  <c r="J60" i="11"/>
  <c r="J46" i="11"/>
  <c r="J50" i="11"/>
  <c r="J54" i="11"/>
  <c r="J49" i="11"/>
  <c r="J43" i="11"/>
  <c r="J59" i="11"/>
  <c r="J53" i="11"/>
  <c r="J56" i="11"/>
  <c r="J55" i="11"/>
  <c r="AJ64" i="8"/>
  <c r="C39" i="11"/>
  <c r="J47" i="11"/>
  <c r="J48" i="11"/>
  <c r="J51" i="11"/>
  <c r="Y129" i="8"/>
  <c r="J52" i="11"/>
  <c r="J40" i="11"/>
  <c r="J57" i="11"/>
  <c r="J58" i="11"/>
  <c r="J42" i="11"/>
  <c r="J62" i="11"/>
  <c r="J44" i="11"/>
  <c r="J45" i="11"/>
  <c r="T39" i="11" l="1"/>
  <c r="T64" i="11" s="1"/>
  <c r="M64" i="11"/>
  <c r="S39" i="11"/>
  <c r="S64" i="11" s="1"/>
  <c r="L64" i="11"/>
  <c r="R39" i="11"/>
  <c r="R64" i="11" s="1"/>
  <c r="K64" i="11"/>
  <c r="Q45" i="11"/>
  <c r="Q55" i="11"/>
  <c r="Q62" i="11"/>
  <c r="Q58" i="11"/>
  <c r="Q40" i="11"/>
  <c r="J39" i="11"/>
  <c r="C64" i="11"/>
  <c r="Q59" i="11"/>
  <c r="Q49" i="11"/>
  <c r="Q50" i="11"/>
  <c r="Q60" i="11"/>
  <c r="Q44" i="11"/>
  <c r="Q51" i="11"/>
  <c r="Q56" i="11"/>
  <c r="Q42" i="11"/>
  <c r="Q57" i="11"/>
  <c r="Q52" i="11"/>
  <c r="Q48" i="11"/>
  <c r="Q47" i="11"/>
  <c r="Q53" i="11"/>
  <c r="Q43" i="11"/>
  <c r="Q54" i="11"/>
  <c r="Q46" i="11"/>
  <c r="Q61" i="11"/>
  <c r="J64" i="11" l="1"/>
  <c r="Q39" i="11"/>
  <c r="Q64" i="11" l="1"/>
  <c r="D5" i="60" l="1"/>
  <c r="F5" i="60" s="1"/>
  <c r="T8" i="21"/>
  <c r="X16" i="6" s="1"/>
  <c r="O8" i="21"/>
  <c r="S16" i="6" s="1"/>
  <c r="X8" i="21"/>
  <c r="AB16" i="6" s="1"/>
  <c r="N8" i="21"/>
  <c r="R16" i="6" s="1"/>
  <c r="W8" i="21"/>
  <c r="AA16" i="6" s="1"/>
  <c r="K8" i="21"/>
  <c r="O16" i="6" s="1"/>
  <c r="Z8" i="21"/>
  <c r="AD16" i="6" s="1"/>
  <c r="S8" i="21"/>
  <c r="W16" i="6" s="1"/>
  <c r="V8" i="21"/>
  <c r="Z16" i="6" s="1"/>
  <c r="J8" i="21"/>
  <c r="N16" i="6" s="1"/>
  <c r="U8" i="21"/>
  <c r="Y16" i="6" s="1"/>
  <c r="AA8" i="21"/>
  <c r="AE16" i="6" s="1"/>
  <c r="L8" i="21"/>
  <c r="P16" i="6" s="1"/>
  <c r="M8" i="21"/>
  <c r="Q16" i="6" s="1"/>
  <c r="R8" i="21"/>
  <c r="V16" i="6" s="1"/>
  <c r="AB8" i="21"/>
  <c r="AF16" i="6" s="1"/>
  <c r="Q8" i="21"/>
  <c r="U16" i="6" s="1"/>
  <c r="P8" i="21" l="1"/>
  <c r="T16" i="6" s="1"/>
  <c r="D21" i="60"/>
  <c r="F21" i="60" s="1"/>
  <c r="Y8" i="21"/>
  <c r="AC8" i="21"/>
  <c r="C126" i="8"/>
  <c r="C113" i="8"/>
  <c r="C108" i="8"/>
  <c r="C112" i="8"/>
  <c r="C115" i="8"/>
  <c r="C120" i="8"/>
  <c r="C118" i="8"/>
  <c r="C110" i="8"/>
  <c r="C107" i="8"/>
  <c r="C105" i="8"/>
  <c r="C109" i="8"/>
  <c r="C111" i="8"/>
  <c r="C106" i="8"/>
  <c r="C116" i="8"/>
  <c r="C117" i="8"/>
  <c r="C114" i="8"/>
  <c r="C119" i="8" l="1"/>
  <c r="AC16" i="6"/>
  <c r="C63" i="8"/>
  <c r="AG16" i="6"/>
  <c r="C8" i="21"/>
  <c r="F8" i="21" s="1"/>
  <c r="AF8" i="21"/>
  <c r="C104" i="8"/>
  <c r="C129" i="8" s="1"/>
  <c r="C64" i="8" l="1"/>
  <c r="AH16" i="6"/>
  <c r="C15" i="21"/>
  <c r="C16" i="21" s="1"/>
  <c r="L125" i="8" l="1"/>
  <c r="L109" i="8"/>
  <c r="L126" i="8"/>
  <c r="L107" i="8"/>
  <c r="L123" i="8"/>
  <c r="L110" i="8"/>
  <c r="L122" i="8"/>
  <c r="L108" i="8"/>
  <c r="L106" i="8"/>
  <c r="L120" i="8"/>
  <c r="L118" i="8"/>
  <c r="L117" i="8"/>
  <c r="L121" i="8"/>
  <c r="L124" i="8"/>
  <c r="L116" i="8"/>
  <c r="L64" i="8"/>
  <c r="L104" i="8"/>
  <c r="L115" i="8"/>
  <c r="L112" i="8"/>
  <c r="L119" i="8"/>
  <c r="L113" i="8"/>
  <c r="L105" i="8"/>
  <c r="L114" i="8"/>
  <c r="L111" i="8"/>
  <c r="L129" i="8" l="1"/>
  <c r="V124" i="8"/>
  <c r="AG59" i="8"/>
  <c r="C57" i="10" s="1"/>
  <c r="V117" i="8"/>
  <c r="AG52" i="8"/>
  <c r="C50" i="10" s="1"/>
  <c r="AG55" i="8"/>
  <c r="C53" i="10" s="1"/>
  <c r="V120" i="8"/>
  <c r="V108" i="8"/>
  <c r="AG43" i="8"/>
  <c r="C41" i="10" s="1"/>
  <c r="AG45" i="8"/>
  <c r="C43" i="10" s="1"/>
  <c r="V110" i="8"/>
  <c r="AG42" i="8"/>
  <c r="C40" i="10" s="1"/>
  <c r="V107" i="8"/>
  <c r="AG44" i="8"/>
  <c r="C42" i="10" s="1"/>
  <c r="V109" i="8"/>
  <c r="AG46" i="8"/>
  <c r="C44" i="10" s="1"/>
  <c r="V111" i="8"/>
  <c r="AG40" i="8"/>
  <c r="C38" i="10" s="1"/>
  <c r="V105" i="8"/>
  <c r="AG54" i="8"/>
  <c r="C52" i="10" s="1"/>
  <c r="V119" i="8"/>
  <c r="AG50" i="8"/>
  <c r="C48" i="10" s="1"/>
  <c r="V115" i="8"/>
  <c r="AG51" i="8"/>
  <c r="C49" i="10" s="1"/>
  <c r="V116" i="8"/>
  <c r="V118" i="8"/>
  <c r="AG53" i="8"/>
  <c r="C51" i="10" s="1"/>
  <c r="V106" i="8"/>
  <c r="AG41" i="8"/>
  <c r="C39" i="10" s="1"/>
  <c r="V122" i="8"/>
  <c r="AG57" i="8"/>
  <c r="C55" i="10" s="1"/>
  <c r="AG61" i="8"/>
  <c r="C59" i="10" s="1"/>
  <c r="V126" i="8"/>
  <c r="AG49" i="8"/>
  <c r="C47" i="10" s="1"/>
  <c r="V114" i="8"/>
  <c r="V113" i="8"/>
  <c r="AG48" i="8"/>
  <c r="C46" i="10" s="1"/>
  <c r="AG47" i="8"/>
  <c r="C45" i="10" s="1"/>
  <c r="V112" i="8"/>
  <c r="V104" i="8"/>
  <c r="AG39" i="8"/>
  <c r="V64" i="8"/>
  <c r="V121" i="8"/>
  <c r="AG56" i="8"/>
  <c r="C54" i="10" s="1"/>
  <c r="AG58" i="8"/>
  <c r="C56" i="10" s="1"/>
  <c r="V123" i="8"/>
  <c r="AG60" i="8"/>
  <c r="C58" i="10" s="1"/>
  <c r="V125" i="8"/>
  <c r="V129" i="8" l="1"/>
  <c r="C37" i="10"/>
  <c r="AG64" i="8"/>
  <c r="C62" i="10" l="1"/>
  <c r="X372" i="1" l="1"/>
  <c r="X371" i="1" l="1"/>
  <c r="X368" i="1"/>
  <c r="X370" i="1"/>
  <c r="X369" i="1" l="1"/>
  <c r="V363" i="1" l="1"/>
  <c r="W363" i="1"/>
  <c r="V364" i="1"/>
  <c r="W364" i="1"/>
  <c r="S362" i="1"/>
  <c r="V362" i="1"/>
  <c r="S363" i="1"/>
  <c r="S364" i="1"/>
  <c r="S365" i="1"/>
  <c r="W362" i="1"/>
  <c r="U362" i="1"/>
  <c r="R372" i="1" l="1"/>
  <c r="T370" i="1" l="1"/>
  <c r="E75" i="8" l="1"/>
  <c r="X360" i="1" l="1"/>
  <c r="U360" i="1"/>
  <c r="W360" i="1"/>
  <c r="T360" i="1"/>
  <c r="V360" i="1"/>
  <c r="X354" i="1" l="1"/>
  <c r="X358" i="1"/>
  <c r="X355" i="1"/>
  <c r="X359" i="1"/>
  <c r="X357" i="1"/>
  <c r="X356" i="1"/>
  <c r="R356" i="1" l="1"/>
  <c r="R355" i="1"/>
  <c r="R357" i="1"/>
  <c r="R354" i="1"/>
  <c r="R358" i="1"/>
  <c r="R359" i="1"/>
  <c r="W355" i="1"/>
  <c r="V354" i="1"/>
  <c r="W354" i="1"/>
  <c r="S358" i="1"/>
  <c r="U354" i="1"/>
  <c r="T356" i="1"/>
  <c r="T357" i="1"/>
  <c r="S356" i="1"/>
  <c r="W357" i="1"/>
  <c r="S359" i="1"/>
  <c r="W356" i="1"/>
  <c r="S355" i="1"/>
  <c r="V355" i="1"/>
  <c r="U358" i="1"/>
  <c r="T358" i="1"/>
  <c r="S357" i="1"/>
  <c r="U359" i="1"/>
  <c r="T359" i="1"/>
  <c r="R353" i="1" l="1"/>
  <c r="S350" i="1"/>
  <c r="T350" i="1"/>
  <c r="S351" i="1"/>
  <c r="X44" i="1" l="1"/>
  <c r="T44" i="1"/>
  <c r="W44" i="1"/>
  <c r="U44" i="1"/>
  <c r="V44" i="1"/>
  <c r="S44" i="1" l="1"/>
  <c r="R56" i="1" l="1"/>
  <c r="R360" i="1"/>
  <c r="S56" i="1" l="1"/>
  <c r="S173" i="1"/>
  <c r="U353" i="1" l="1"/>
  <c r="T351" i="1"/>
  <c r="U350" i="1"/>
  <c r="U352" i="1"/>
  <c r="U351" i="1"/>
  <c r="T353" i="1"/>
  <c r="V353" i="1" l="1"/>
  <c r="T56" i="1"/>
  <c r="V352" i="1"/>
  <c r="W353" i="1" l="1"/>
  <c r="V350" i="1"/>
  <c r="W352" i="1"/>
  <c r="W350" i="1"/>
  <c r="V351" i="1"/>
  <c r="W351" i="1"/>
  <c r="X352" i="1"/>
  <c r="X351" i="1"/>
  <c r="X350" i="1"/>
  <c r="X353" i="1"/>
  <c r="X278" i="1"/>
  <c r="X279" i="1"/>
  <c r="T155" i="1" l="1"/>
  <c r="T173" i="1" l="1"/>
  <c r="W56" i="1"/>
  <c r="V155" i="1"/>
  <c r="V56" i="1"/>
  <c r="U155" i="1"/>
  <c r="W155" i="1"/>
  <c r="V173" i="1"/>
  <c r="W173" i="1"/>
  <c r="U173" i="1"/>
  <c r="U56" i="1"/>
  <c r="Y56" i="1" l="1"/>
  <c r="Z56" i="1"/>
  <c r="AI56" i="1" s="1"/>
  <c r="AD56" i="1" s="1"/>
  <c r="AA56" i="1" l="1"/>
  <c r="AH56" i="1"/>
  <c r="S348" i="1" l="1"/>
  <c r="X49" i="1" l="1"/>
  <c r="T31" i="1"/>
  <c r="X59" i="1"/>
  <c r="X146" i="1"/>
  <c r="X262" i="1"/>
  <c r="X45" i="1"/>
  <c r="X238" i="1"/>
  <c r="X316" i="1"/>
  <c r="X335" i="1"/>
  <c r="X366" i="1"/>
  <c r="X47" i="1"/>
  <c r="X87" i="1"/>
  <c r="X332" i="1"/>
  <c r="X69" i="1"/>
  <c r="X333" i="1"/>
  <c r="X43" i="1"/>
  <c r="X140" i="1"/>
  <c r="X132" i="1"/>
  <c r="X106" i="1"/>
  <c r="X83" i="1"/>
  <c r="X84" i="1"/>
  <c r="X52" i="1"/>
  <c r="X319" i="1"/>
  <c r="X256" i="1"/>
  <c r="X94" i="1"/>
  <c r="X340" i="1"/>
  <c r="X243" i="1"/>
  <c r="X51" i="1"/>
  <c r="X345" i="1"/>
  <c r="X82" i="1"/>
  <c r="X336" i="1"/>
  <c r="X330" i="1" l="1"/>
  <c r="X156" i="1"/>
  <c r="X224" i="1"/>
  <c r="X39" i="1"/>
  <c r="X322" i="1"/>
  <c r="X111" i="1"/>
  <c r="X349" i="1"/>
  <c r="X159" i="1"/>
  <c r="X329" i="1"/>
  <c r="X344" i="1"/>
  <c r="X338" i="1"/>
  <c r="X348" i="1"/>
  <c r="X104" i="1"/>
  <c r="X327" i="1"/>
  <c r="X313" i="1"/>
  <c r="X131" i="1"/>
  <c r="X97" i="1"/>
  <c r="X328" i="1"/>
  <c r="X77" i="1"/>
  <c r="X76" i="1"/>
  <c r="X331" i="1"/>
  <c r="X62" i="1"/>
  <c r="X70" i="1"/>
  <c r="X64" i="1"/>
  <c r="X300" i="1"/>
  <c r="X31" i="1"/>
  <c r="X53" i="1"/>
  <c r="X296" i="1"/>
  <c r="X314" i="1"/>
  <c r="X326" i="1"/>
  <c r="X321" i="1"/>
  <c r="X325" i="1"/>
  <c r="X341" i="1"/>
  <c r="X367" i="1"/>
  <c r="X288" i="1"/>
  <c r="X337" i="1"/>
  <c r="X85" i="1"/>
  <c r="X105" i="1"/>
  <c r="X342" i="1"/>
  <c r="X50" i="1"/>
  <c r="V43" i="1"/>
  <c r="T84" i="1"/>
  <c r="T333" i="1"/>
  <c r="V94" i="1"/>
  <c r="W262" i="1"/>
  <c r="T341" i="1"/>
  <c r="U314" i="1"/>
  <c r="T40" i="1"/>
  <c r="W323" i="1"/>
  <c r="V288" i="1"/>
  <c r="V317" i="1"/>
  <c r="T366" i="1"/>
  <c r="T327" i="1"/>
  <c r="V262" i="1"/>
  <c r="S37" i="1"/>
  <c r="U133" i="1"/>
  <c r="T53" i="1"/>
  <c r="T313" i="1"/>
  <c r="T104" i="1"/>
  <c r="W288" i="1"/>
  <c r="W146" i="1"/>
  <c r="T331" i="1"/>
  <c r="V338" i="1"/>
  <c r="V343" i="1"/>
  <c r="W45" i="1"/>
  <c r="T98" i="1"/>
  <c r="W83" i="1"/>
  <c r="U47" i="1"/>
  <c r="W105" i="1"/>
  <c r="T119" i="1"/>
  <c r="W328" i="1"/>
  <c r="W243" i="1"/>
  <c r="T133" i="1"/>
  <c r="T50" i="1"/>
  <c r="W40" i="1"/>
  <c r="U52" i="1"/>
  <c r="V47" i="1"/>
  <c r="V40" i="1"/>
  <c r="U132" i="1"/>
  <c r="V336" i="1"/>
  <c r="U64" i="1"/>
  <c r="W341" i="1"/>
  <c r="W82" i="1"/>
  <c r="W91" i="1"/>
  <c r="T85" i="1"/>
  <c r="T94" i="1"/>
  <c r="W39" i="1"/>
  <c r="T367" i="1"/>
  <c r="U104" i="1"/>
  <c r="W345" i="1"/>
  <c r="V64" i="1"/>
  <c r="W52" i="1"/>
  <c r="T335" i="1"/>
  <c r="V314" i="1"/>
  <c r="W87" i="1"/>
  <c r="T323" i="1"/>
  <c r="T43" i="1"/>
  <c r="W104" i="1"/>
  <c r="T70" i="1"/>
  <c r="W111" i="1"/>
  <c r="W62" i="1"/>
  <c r="T326" i="1"/>
  <c r="W319" i="1"/>
  <c r="U43" i="1"/>
  <c r="V140" i="1"/>
  <c r="W334" i="1"/>
  <c r="T330" i="1"/>
  <c r="W85" i="1"/>
  <c r="T106" i="1"/>
  <c r="V85" i="1"/>
  <c r="U98" i="1"/>
  <c r="V87" i="1"/>
  <c r="U91" i="1"/>
  <c r="U77" i="1"/>
  <c r="U85" i="1"/>
  <c r="V38" i="1"/>
  <c r="U333" i="1"/>
  <c r="W156" i="1"/>
  <c r="U119" i="1"/>
  <c r="W38" i="1"/>
  <c r="W140" i="1"/>
  <c r="T45" i="1"/>
  <c r="U323" i="1"/>
  <c r="U79" i="1"/>
  <c r="V339" i="1"/>
  <c r="T69" i="1"/>
  <c r="U159" i="1"/>
  <c r="U106" i="1"/>
  <c r="W300" i="1"/>
  <c r="T243" i="1"/>
  <c r="V334" i="1"/>
  <c r="V327" i="1"/>
  <c r="T329" i="1"/>
  <c r="U31" i="1"/>
  <c r="T238" i="1"/>
  <c r="W50" i="1"/>
  <c r="V93" i="1"/>
  <c r="T76" i="1"/>
  <c r="U140" i="1"/>
  <c r="T317" i="1"/>
  <c r="U238" i="1"/>
  <c r="T111" i="1"/>
  <c r="W77" i="1"/>
  <c r="U324" i="1"/>
  <c r="U51" i="1"/>
  <c r="U321" i="1"/>
  <c r="U111" i="1"/>
  <c r="U105" i="1"/>
  <c r="U335" i="1"/>
  <c r="T156" i="1"/>
  <c r="U330" i="1"/>
  <c r="T52" i="1"/>
  <c r="W296" i="1"/>
  <c r="U243" i="1"/>
  <c r="W119" i="1"/>
  <c r="U347" i="1"/>
  <c r="T340" i="1"/>
  <c r="U338" i="1"/>
  <c r="T321" i="1"/>
  <c r="T49" i="1"/>
  <c r="T132" i="1"/>
  <c r="W94" i="1"/>
  <c r="S300" i="1"/>
  <c r="T324" i="1"/>
  <c r="U329" i="1"/>
  <c r="V82" i="1"/>
  <c r="V31" i="1"/>
  <c r="T314" i="1"/>
  <c r="T39" i="1"/>
  <c r="T296" i="1"/>
  <c r="W131" i="1"/>
  <c r="V323" i="1"/>
  <c r="W335" i="1"/>
  <c r="U341" i="1"/>
  <c r="W133" i="1"/>
  <c r="T105" i="1"/>
  <c r="W344" i="1"/>
  <c r="W331" i="1"/>
  <c r="V132" i="1"/>
  <c r="V224" i="1"/>
  <c r="W346" i="1"/>
  <c r="U131" i="1"/>
  <c r="W43" i="1"/>
  <c r="W337" i="1"/>
  <c r="V45" i="1"/>
  <c r="V344" i="1"/>
  <c r="T322" i="1"/>
  <c r="U87" i="1"/>
  <c r="V331" i="1"/>
  <c r="W93" i="1"/>
  <c r="U38" i="1"/>
  <c r="T62" i="1"/>
  <c r="T97" i="1"/>
  <c r="V333" i="1"/>
  <c r="V51" i="1"/>
  <c r="W339" i="1"/>
  <c r="W314" i="1"/>
  <c r="W159" i="1"/>
  <c r="W132" i="1"/>
  <c r="W98" i="1"/>
  <c r="V335" i="1"/>
  <c r="T140" i="1"/>
  <c r="W327" i="1"/>
  <c r="T146" i="1"/>
  <c r="T77" i="1"/>
  <c r="U366" i="1"/>
  <c r="T343" i="1"/>
  <c r="T59" i="1"/>
  <c r="T224" i="1"/>
  <c r="U69" i="1"/>
  <c r="T319" i="1"/>
  <c r="U224" i="1"/>
  <c r="T93" i="1"/>
  <c r="W317" i="1"/>
  <c r="V133" i="1"/>
  <c r="W51" i="1"/>
  <c r="U62" i="1"/>
  <c r="V98" i="1"/>
  <c r="V319" i="1"/>
  <c r="V256" i="1"/>
  <c r="W324" i="1"/>
  <c r="W76" i="1"/>
  <c r="U84" i="1"/>
  <c r="V324" i="1"/>
  <c r="V243" i="1"/>
  <c r="U93" i="1"/>
  <c r="V76" i="1"/>
  <c r="W31" i="1"/>
  <c r="V328" i="1"/>
  <c r="W59" i="1"/>
  <c r="V39" i="1"/>
  <c r="U49" i="1"/>
  <c r="U288" i="1"/>
  <c r="V97" i="1"/>
  <c r="U327" i="1"/>
  <c r="W336" i="1"/>
  <c r="U296" i="1"/>
  <c r="U94" i="1"/>
  <c r="U50" i="1"/>
  <c r="V119" i="1"/>
  <c r="W53" i="1"/>
  <c r="V146" i="1"/>
  <c r="T334" i="1"/>
  <c r="V366" i="1"/>
  <c r="W238" i="1"/>
  <c r="U70" i="1"/>
  <c r="U343" i="1"/>
  <c r="T79" i="1"/>
  <c r="V77" i="1"/>
  <c r="T87" i="1"/>
  <c r="T83" i="1"/>
  <c r="V111" i="1"/>
  <c r="V321" i="1"/>
  <c r="U76" i="1"/>
  <c r="V345" i="1"/>
  <c r="W332" i="1"/>
  <c r="W70" i="1"/>
  <c r="W224" i="1"/>
  <c r="U339" i="1"/>
  <c r="W347" i="1"/>
  <c r="W366" i="1"/>
  <c r="U59" i="1"/>
  <c r="V156" i="1"/>
  <c r="U328" i="1"/>
  <c r="T159" i="1"/>
  <c r="V52" i="1"/>
  <c r="T38" i="1"/>
  <c r="U319" i="1"/>
  <c r="U313" i="1"/>
  <c r="T51" i="1"/>
  <c r="V347" i="1"/>
  <c r="U40" i="1"/>
  <c r="V59" i="1"/>
  <c r="T288" i="1"/>
  <c r="V296" i="1"/>
  <c r="U317" i="1"/>
  <c r="T64" i="1"/>
  <c r="T339" i="1"/>
  <c r="W338" i="1"/>
  <c r="T262" i="1"/>
  <c r="T300" i="1"/>
  <c r="U300" i="1"/>
  <c r="W330" i="1"/>
  <c r="U262" i="1"/>
  <c r="W47" i="1"/>
  <c r="W343" i="1"/>
  <c r="T131" i="1"/>
  <c r="U332" i="1"/>
  <c r="U344" i="1"/>
  <c r="V69" i="1"/>
  <c r="W69" i="1"/>
  <c r="U39" i="1"/>
  <c r="U53" i="1"/>
  <c r="U83" i="1"/>
  <c r="V329" i="1"/>
  <c r="V346" i="1"/>
  <c r="V53" i="1"/>
  <c r="X38" i="1"/>
  <c r="X334" i="1"/>
  <c r="X317" i="1" l="1"/>
  <c r="X93" i="1"/>
  <c r="X98" i="1"/>
  <c r="X91" i="1"/>
  <c r="X339" i="1"/>
  <c r="X347" i="1"/>
  <c r="V106" i="1"/>
  <c r="X324" i="1"/>
  <c r="X346" i="1"/>
  <c r="X40" i="1"/>
  <c r="X315" i="1"/>
  <c r="X119" i="1"/>
  <c r="X343" i="1"/>
  <c r="X79" i="1"/>
  <c r="X133" i="1"/>
  <c r="X323" i="1"/>
  <c r="W49" i="1"/>
  <c r="V332" i="1"/>
  <c r="V79" i="1"/>
  <c r="V105" i="1"/>
  <c r="S102" i="1"/>
  <c r="S296" i="1"/>
  <c r="S106" i="1"/>
  <c r="S261" i="1"/>
  <c r="S303" i="1"/>
  <c r="S335" i="1"/>
  <c r="S326" i="1"/>
  <c r="S77" i="1"/>
  <c r="S68" i="1"/>
  <c r="U346" i="1"/>
  <c r="S27" i="1"/>
  <c r="S38" i="1"/>
  <c r="S312" i="1"/>
  <c r="S60" i="1"/>
  <c r="S191" i="1"/>
  <c r="S91" i="1"/>
  <c r="S124" i="1"/>
  <c r="S288" i="1"/>
  <c r="S220" i="1"/>
  <c r="S50" i="1"/>
  <c r="S80" i="1"/>
  <c r="S133" i="1"/>
  <c r="S74" i="1"/>
  <c r="S86" i="1"/>
  <c r="S221" i="1"/>
  <c r="S331" i="1"/>
  <c r="S46" i="1"/>
  <c r="S227" i="1"/>
  <c r="S241" i="1"/>
  <c r="S294" i="1"/>
  <c r="S146" i="1"/>
  <c r="S160" i="1"/>
  <c r="S175" i="1"/>
  <c r="S204" i="1"/>
  <c r="S61" i="1"/>
  <c r="S112" i="1"/>
  <c r="S329" i="1"/>
  <c r="S59" i="1"/>
  <c r="S240" i="1"/>
  <c r="S200" i="1"/>
  <c r="S83" i="1"/>
  <c r="S219" i="1"/>
  <c r="S202" i="1"/>
  <c r="S187" i="1"/>
  <c r="S132" i="1"/>
  <c r="S234" i="1"/>
  <c r="S31" i="1"/>
  <c r="S367" i="1"/>
  <c r="S26" i="1"/>
  <c r="S319" i="1"/>
  <c r="S236" i="1"/>
  <c r="S286" i="1"/>
  <c r="S48" i="1"/>
  <c r="W79" i="1"/>
  <c r="U82" i="1"/>
  <c r="W333" i="1"/>
  <c r="V62" i="1"/>
  <c r="W64" i="1"/>
  <c r="T338" i="1"/>
  <c r="V84" i="1"/>
  <c r="V341" i="1"/>
  <c r="V91" i="1"/>
  <c r="T332" i="1"/>
  <c r="S53" i="1"/>
  <c r="S238" i="1"/>
  <c r="S230" i="1"/>
  <c r="S264" i="1"/>
  <c r="S30" i="1"/>
  <c r="S341" i="1"/>
  <c r="S40" i="1"/>
  <c r="S210" i="1"/>
  <c r="S135" i="1"/>
  <c r="S45" i="1"/>
  <c r="S215" i="1"/>
  <c r="S89" i="1"/>
  <c r="S87" i="1"/>
  <c r="S32" i="1"/>
  <c r="S338" i="1"/>
  <c r="S291" i="1"/>
  <c r="S189" i="1"/>
  <c r="S158" i="1"/>
  <c r="S57" i="1"/>
  <c r="S293" i="1"/>
  <c r="S142" i="1"/>
  <c r="S250" i="1"/>
  <c r="S43" i="1"/>
  <c r="S69" i="1"/>
  <c r="S101" i="1"/>
  <c r="S330" i="1"/>
  <c r="S105" i="1"/>
  <c r="S231" i="1"/>
  <c r="S51" i="1"/>
  <c r="S109" i="1"/>
  <c r="S130" i="1"/>
  <c r="S118" i="1"/>
  <c r="S201" i="1"/>
  <c r="S313" i="1"/>
  <c r="S184" i="1"/>
  <c r="S216" i="1"/>
  <c r="S244" i="1"/>
  <c r="S98" i="1"/>
  <c r="S325" i="1"/>
  <c r="S123" i="1"/>
  <c r="S323" i="1"/>
  <c r="S62" i="1"/>
  <c r="S260" i="1"/>
  <c r="U256" i="1"/>
  <c r="V104" i="1"/>
  <c r="U156" i="1"/>
  <c r="U45" i="1"/>
  <c r="V300" i="1"/>
  <c r="U331" i="1"/>
  <c r="V330" i="1"/>
  <c r="W329" i="1"/>
  <c r="V337" i="1"/>
  <c r="W106" i="1"/>
  <c r="W97" i="1"/>
  <c r="U146" i="1"/>
  <c r="U97" i="1"/>
  <c r="W349" i="1"/>
  <c r="W84" i="1"/>
  <c r="U334" i="1"/>
  <c r="U337" i="1"/>
  <c r="S218" i="1"/>
  <c r="S52" i="1"/>
  <c r="S267" i="1"/>
  <c r="S207" i="1"/>
  <c r="S258" i="1"/>
  <c r="S265" i="1"/>
  <c r="S151" i="1"/>
  <c r="S54" i="1"/>
  <c r="S324" i="1"/>
  <c r="S140" i="1"/>
  <c r="S194" i="1"/>
  <c r="S208" i="1"/>
  <c r="U336" i="1"/>
  <c r="S272" i="1"/>
  <c r="S94" i="1"/>
  <c r="S170" i="1"/>
  <c r="S328" i="1"/>
  <c r="S307" i="1"/>
  <c r="S79" i="1"/>
  <c r="S188" i="1"/>
  <c r="S75" i="1"/>
  <c r="S178" i="1"/>
  <c r="S209" i="1"/>
  <c r="S129" i="1"/>
  <c r="S65" i="1"/>
  <c r="S131" i="1"/>
  <c r="S297" i="1"/>
  <c r="S222" i="1"/>
  <c r="S70" i="1"/>
  <c r="S72" i="1"/>
  <c r="S143" i="1"/>
  <c r="S343" i="1"/>
  <c r="S47" i="1"/>
  <c r="S192" i="1"/>
  <c r="S242" i="1"/>
  <c r="S289" i="1"/>
  <c r="S33" i="1"/>
  <c r="S42" i="1"/>
  <c r="S150" i="1"/>
  <c r="S163" i="1"/>
  <c r="S127" i="1"/>
  <c r="S128" i="1"/>
  <c r="S165" i="1"/>
  <c r="S136" i="1"/>
  <c r="W313" i="1"/>
  <c r="V49" i="1"/>
  <c r="S290" i="1"/>
  <c r="S171" i="1"/>
  <c r="S213" i="1"/>
  <c r="S233" i="1"/>
  <c r="S205" i="1"/>
  <c r="S203" i="1"/>
  <c r="S49" i="1"/>
  <c r="S64" i="1"/>
  <c r="S55" i="1"/>
  <c r="S66" i="1"/>
  <c r="S120" i="1"/>
  <c r="S249" i="1"/>
  <c r="S92" i="1"/>
  <c r="S97" i="1"/>
  <c r="S317" i="1"/>
  <c r="S327" i="1"/>
  <c r="S157" i="1"/>
  <c r="S292" i="1"/>
  <c r="S90" i="1"/>
  <c r="S84" i="1"/>
  <c r="S211" i="1"/>
  <c r="S262" i="1"/>
  <c r="S217" i="1"/>
  <c r="S41" i="1"/>
  <c r="S243" i="1"/>
  <c r="S195" i="1"/>
  <c r="S119" i="1"/>
  <c r="S340" i="1"/>
  <c r="S174" i="1"/>
  <c r="S154" i="1"/>
  <c r="S82" i="1"/>
  <c r="S172" i="1"/>
  <c r="S85" i="1"/>
  <c r="T348" i="1"/>
  <c r="S212" i="1"/>
  <c r="S96" i="1"/>
  <c r="S115" i="1"/>
  <c r="S314" i="1"/>
  <c r="S93" i="1"/>
  <c r="S224" i="1"/>
  <c r="S104" i="1"/>
  <c r="S76" i="1"/>
  <c r="S29" i="1"/>
  <c r="S34" i="1"/>
  <c r="W326" i="1"/>
  <c r="V70" i="1"/>
  <c r="T91" i="1"/>
  <c r="V238" i="1"/>
  <c r="T328" i="1"/>
  <c r="W256" i="1"/>
  <c r="V313" i="1"/>
  <c r="U345" i="1"/>
  <c r="V83" i="1"/>
  <c r="V50" i="1"/>
  <c r="T47" i="1"/>
  <c r="T82" i="1"/>
  <c r="W321" i="1"/>
  <c r="V159" i="1"/>
  <c r="V131" i="1"/>
  <c r="S223" i="1" l="1"/>
  <c r="S73" i="1"/>
  <c r="S156" i="1"/>
  <c r="S122" i="1"/>
  <c r="S28" i="1"/>
  <c r="E30" i="21"/>
  <c r="E31" i="21"/>
  <c r="S36" i="1"/>
  <c r="S111" i="1"/>
  <c r="S35" i="1"/>
  <c r="S121" i="1"/>
  <c r="E19" i="21"/>
  <c r="S39" i="1"/>
  <c r="E25" i="21"/>
  <c r="S176" i="1"/>
  <c r="S251" i="1"/>
  <c r="S67" i="1"/>
  <c r="S78" i="1"/>
  <c r="E23" i="21"/>
  <c r="S177" i="1"/>
  <c r="E22" i="21"/>
  <c r="E24" i="21"/>
  <c r="E78" i="21"/>
  <c r="S161" i="1"/>
  <c r="S225" i="1"/>
  <c r="S153" i="1"/>
  <c r="S141" i="1"/>
  <c r="S383" i="1" s="1"/>
  <c r="E20" i="21"/>
  <c r="E29" i="21" l="1"/>
  <c r="E27" i="21"/>
  <c r="E28" i="21"/>
  <c r="S399" i="1"/>
  <c r="M9" i="58" s="1"/>
  <c r="M26" i="58" s="1"/>
  <c r="E21" i="21"/>
  <c r="X129" i="1" l="1"/>
  <c r="X33" i="1"/>
  <c r="X193" i="1"/>
  <c r="X208" i="1"/>
  <c r="X96" i="1"/>
  <c r="X41" i="1"/>
  <c r="X134" i="1"/>
  <c r="X171" i="1"/>
  <c r="X206" i="1"/>
  <c r="X226" i="1"/>
  <c r="X58" i="1"/>
  <c r="X252" i="1"/>
  <c r="X135" i="1"/>
  <c r="X198" i="1"/>
  <c r="X141" i="1"/>
  <c r="X273" i="1"/>
  <c r="X195" i="1"/>
  <c r="X309" i="1"/>
  <c r="X124" i="1"/>
  <c r="X310" i="1"/>
  <c r="X283" i="1"/>
  <c r="X121" i="1"/>
  <c r="X143" i="1"/>
  <c r="X185" i="1"/>
  <c r="X153" i="1"/>
  <c r="X227" i="1"/>
  <c r="X168" i="1"/>
  <c r="X128" i="1"/>
  <c r="X277" i="1"/>
  <c r="X90" i="1"/>
  <c r="X158" i="1"/>
  <c r="X30" i="1"/>
  <c r="X34" i="1"/>
  <c r="X176" i="1"/>
  <c r="X80" i="1"/>
  <c r="X199" i="1"/>
  <c r="X265" i="1"/>
  <c r="X179" i="1"/>
  <c r="X167" i="1"/>
  <c r="X117" i="1"/>
  <c r="X303" i="1"/>
  <c r="X54" i="1"/>
  <c r="X186" i="1"/>
  <c r="X235" i="1"/>
  <c r="X230" i="1"/>
  <c r="X320" i="1"/>
  <c r="X155" i="1"/>
  <c r="X281" i="1"/>
  <c r="X212" i="1"/>
  <c r="X42" i="1"/>
  <c r="X200" i="1"/>
  <c r="X275" i="1"/>
  <c r="X152" i="1"/>
  <c r="X137" i="1"/>
  <c r="X298" i="1"/>
  <c r="X184" i="1"/>
  <c r="X169" i="1"/>
  <c r="X308" i="1"/>
  <c r="X65" i="1"/>
  <c r="X301" i="1"/>
  <c r="X74" i="1"/>
  <c r="X151" i="1"/>
  <c r="X297" i="1"/>
  <c r="X312" i="1"/>
  <c r="X183" i="1"/>
  <c r="X210" i="1"/>
  <c r="X228" i="1"/>
  <c r="X266" i="1"/>
  <c r="X175" i="1"/>
  <c r="X214" i="1"/>
  <c r="X66" i="1"/>
  <c r="X307" i="1"/>
  <c r="X287" i="1"/>
  <c r="X174" i="1"/>
  <c r="X165" i="1"/>
  <c r="X318" i="1"/>
  <c r="X28" i="1"/>
  <c r="X204" i="1"/>
  <c r="X46" i="1"/>
  <c r="X125" i="1"/>
  <c r="X26" i="1"/>
  <c r="X180" i="1"/>
  <c r="X271" i="1"/>
  <c r="X280" i="1"/>
  <c r="X257" i="1"/>
  <c r="X166" i="1"/>
  <c r="X113" i="1" l="1"/>
  <c r="X86" i="1"/>
  <c r="X144" i="1"/>
  <c r="X109" i="1"/>
  <c r="X142" i="1"/>
  <c r="X245" i="1"/>
  <c r="X149" i="1"/>
  <c r="X99" i="1"/>
  <c r="X254" i="1"/>
  <c r="X162" i="1"/>
  <c r="X289" i="1"/>
  <c r="X57" i="1"/>
  <c r="X274" i="1"/>
  <c r="X55" i="1"/>
  <c r="X122" i="1"/>
  <c r="X268" i="1"/>
  <c r="X75" i="1"/>
  <c r="X139" i="1"/>
  <c r="X108" i="1"/>
  <c r="X181" i="1"/>
  <c r="X150" i="1"/>
  <c r="X207" i="1"/>
  <c r="X68" i="1"/>
  <c r="X177" i="1"/>
  <c r="X295" i="1"/>
  <c r="X147" i="1"/>
  <c r="X251" i="1"/>
  <c r="X35" i="1"/>
  <c r="X136" i="1"/>
  <c r="X264" i="1"/>
  <c r="X263" i="1"/>
  <c r="X282" i="1"/>
  <c r="X27" i="1"/>
  <c r="X145" i="1"/>
  <c r="X160" i="1"/>
  <c r="X182" i="1"/>
  <c r="X258" i="1"/>
  <c r="X201" i="1"/>
  <c r="X299" i="1"/>
  <c r="X292" i="1"/>
  <c r="X229" i="1"/>
  <c r="X73" i="1"/>
  <c r="X261" i="1"/>
  <c r="X250" i="1"/>
  <c r="X36" i="1"/>
  <c r="X237" i="1"/>
  <c r="X88" i="1"/>
  <c r="X89" i="1"/>
  <c r="X170" i="1"/>
  <c r="X123" i="1"/>
  <c r="X81" i="1"/>
  <c r="X211" i="1"/>
  <c r="X197" i="1"/>
  <c r="X311" i="1"/>
  <c r="X231" i="1"/>
  <c r="X253" i="1"/>
  <c r="X126" i="1"/>
  <c r="X260" i="1"/>
  <c r="X127" i="1"/>
  <c r="X157" i="1"/>
  <c r="X118" i="1"/>
  <c r="X209" i="1"/>
  <c r="X130" i="1"/>
  <c r="X190" i="1"/>
  <c r="X120" i="1"/>
  <c r="X202" i="1"/>
  <c r="X32" i="1"/>
  <c r="X244" i="1"/>
  <c r="X304" i="1"/>
  <c r="X95" i="1"/>
  <c r="X115" i="1"/>
  <c r="X255" i="1"/>
  <c r="X60" i="1"/>
  <c r="X148" i="1"/>
  <c r="X225" i="1"/>
  <c r="X276" i="1"/>
  <c r="X172" i="1"/>
  <c r="X220" i="1"/>
  <c r="X194" i="1"/>
  <c r="X233" i="1"/>
  <c r="X103" i="1"/>
  <c r="X196" i="1"/>
  <c r="X290" i="1"/>
  <c r="X112" i="1"/>
  <c r="X203" i="1"/>
  <c r="X291" i="1"/>
  <c r="X305" i="1"/>
  <c r="X37" i="1"/>
  <c r="X259" i="1"/>
  <c r="X187" i="1"/>
  <c r="X232" i="1"/>
  <c r="W226" i="1"/>
  <c r="W160" i="1"/>
  <c r="V120" i="1"/>
  <c r="W241" i="1"/>
  <c r="U281" i="1"/>
  <c r="W309" i="1"/>
  <c r="V144" i="1"/>
  <c r="U167" i="1"/>
  <c r="U237" i="1"/>
  <c r="V30" i="1"/>
  <c r="W291" i="1"/>
  <c r="U268" i="1"/>
  <c r="W135" i="1"/>
  <c r="V123" i="1"/>
  <c r="U112" i="1"/>
  <c r="U305" i="1"/>
  <c r="U290" i="1"/>
  <c r="W268" i="1"/>
  <c r="W129" i="1"/>
  <c r="W261" i="1"/>
  <c r="W103" i="1"/>
  <c r="U171" i="1"/>
  <c r="U61" i="1"/>
  <c r="U95" i="1"/>
  <c r="T239" i="1"/>
  <c r="U283" i="1"/>
  <c r="U168" i="1"/>
  <c r="T110" i="1"/>
  <c r="V171" i="1"/>
  <c r="V36" i="1"/>
  <c r="W34" i="1"/>
  <c r="U117" i="1"/>
  <c r="V234" i="1"/>
  <c r="W108" i="1"/>
  <c r="V257" i="1"/>
  <c r="W213" i="1"/>
  <c r="U42" i="1"/>
  <c r="W234" i="1"/>
  <c r="U241" i="1"/>
  <c r="W172" i="1"/>
  <c r="T145" i="1"/>
  <c r="W130" i="1"/>
  <c r="V74" i="1"/>
  <c r="U118" i="1"/>
  <c r="V46" i="1"/>
  <c r="V145" i="1"/>
  <c r="W183" i="1"/>
  <c r="V294" i="1"/>
  <c r="W72" i="1"/>
  <c r="W200" i="1"/>
  <c r="V135" i="1"/>
  <c r="U233" i="1"/>
  <c r="U267" i="1"/>
  <c r="V199" i="1"/>
  <c r="V205" i="1"/>
  <c r="U176" i="1"/>
  <c r="W297" i="1"/>
  <c r="U235" i="1"/>
  <c r="W36" i="1"/>
  <c r="V150" i="1"/>
  <c r="V81" i="1"/>
  <c r="V216" i="1"/>
  <c r="V261" i="1"/>
  <c r="V204" i="1"/>
  <c r="U170" i="1"/>
  <c r="W46" i="1"/>
  <c r="V219" i="1"/>
  <c r="U123" i="1"/>
  <c r="V157" i="1"/>
  <c r="U185" i="1"/>
  <c r="W271" i="1"/>
  <c r="W252" i="1"/>
  <c r="W210" i="1"/>
  <c r="U242" i="1"/>
  <c r="W282" i="1"/>
  <c r="W171" i="1"/>
  <c r="W167" i="1"/>
  <c r="W65" i="1"/>
  <c r="V260" i="1"/>
  <c r="W122" i="1"/>
  <c r="W166" i="1"/>
  <c r="U144" i="1"/>
  <c r="W153" i="1"/>
  <c r="W284" i="1"/>
  <c r="V108" i="1"/>
  <c r="W249" i="1"/>
  <c r="V191" i="1"/>
  <c r="W257" i="1"/>
  <c r="V110" i="1"/>
  <c r="T144" i="1"/>
  <c r="W126" i="1"/>
  <c r="U219" i="1"/>
  <c r="W179" i="1"/>
  <c r="W190" i="1"/>
  <c r="W250" i="1"/>
  <c r="W41" i="1"/>
  <c r="V198" i="1"/>
  <c r="V55" i="1"/>
  <c r="V124" i="1"/>
  <c r="W125" i="1"/>
  <c r="U28" i="1"/>
  <c r="V281" i="1"/>
  <c r="W151" i="1"/>
  <c r="V134" i="1"/>
  <c r="W60" i="1"/>
  <c r="V160" i="1"/>
  <c r="V78" i="1"/>
  <c r="U160" i="1"/>
  <c r="W33" i="1"/>
  <c r="W227" i="1"/>
  <c r="V114" i="1"/>
  <c r="T107" i="1"/>
  <c r="W115" i="1"/>
  <c r="U41" i="1"/>
  <c r="V244" i="1"/>
  <c r="U73" i="1"/>
  <c r="U130" i="1"/>
  <c r="V61" i="1"/>
  <c r="U172" i="1"/>
  <c r="W137" i="1"/>
  <c r="V181" i="1"/>
  <c r="W174" i="1"/>
  <c r="W301" i="1"/>
  <c r="V168" i="1"/>
  <c r="V226" i="1"/>
  <c r="U136" i="1"/>
  <c r="W164" i="1"/>
  <c r="W168" i="1"/>
  <c r="V193" i="1"/>
  <c r="U57" i="1"/>
  <c r="W311" i="1"/>
  <c r="W48" i="1"/>
  <c r="T259" i="1"/>
  <c r="V277" i="1"/>
  <c r="V72" i="1"/>
  <c r="U80" i="1"/>
  <c r="W251" i="1"/>
  <c r="T81" i="1"/>
  <c r="W88" i="1"/>
  <c r="V175" i="1"/>
  <c r="W263" i="1"/>
  <c r="W121" i="1"/>
  <c r="V185" i="1"/>
  <c r="V251" i="1"/>
  <c r="U303" i="1"/>
  <c r="V233" i="1"/>
  <c r="U166" i="1"/>
  <c r="T126" i="1"/>
  <c r="X56" i="1"/>
  <c r="T181" i="1"/>
  <c r="V287" i="1"/>
  <c r="V41" i="1"/>
  <c r="U127" i="1"/>
  <c r="V116" i="1"/>
  <c r="W235" i="1"/>
  <c r="T282" i="1"/>
  <c r="U163" i="1"/>
  <c r="T138" i="1"/>
  <c r="V217" i="1"/>
  <c r="W57" i="1"/>
  <c r="W92" i="1"/>
  <c r="V169" i="1"/>
  <c r="U126" i="1"/>
  <c r="V66" i="1"/>
  <c r="V162" i="1"/>
  <c r="W118" i="1"/>
  <c r="U286" i="1"/>
  <c r="U58" i="1"/>
  <c r="U174" i="1"/>
  <c r="U239" i="1"/>
  <c r="W193" i="1"/>
  <c r="V107" i="1"/>
  <c r="U194" i="1"/>
  <c r="W55" i="1"/>
  <c r="U180" i="1"/>
  <c r="U178" i="1"/>
  <c r="W66" i="1"/>
  <c r="W228" i="1"/>
  <c r="U157" i="1"/>
  <c r="W178" i="1"/>
  <c r="V213" i="1"/>
  <c r="T226" i="1"/>
  <c r="V37" i="1"/>
  <c r="V240" i="1"/>
  <c r="U169" i="1"/>
  <c r="U89" i="1"/>
  <c r="W28" i="1"/>
  <c r="W158" i="1"/>
  <c r="W181" i="1"/>
  <c r="U301" i="1"/>
  <c r="W277" i="1"/>
  <c r="W195" i="1"/>
  <c r="U183" i="1"/>
  <c r="W186" i="1"/>
  <c r="W127" i="1"/>
  <c r="T121" i="1"/>
  <c r="W95" i="1"/>
  <c r="W214" i="1"/>
  <c r="V196" i="1"/>
  <c r="V301" i="1"/>
  <c r="W117" i="1"/>
  <c r="U309" i="1"/>
  <c r="T88" i="1"/>
  <c r="W35" i="1"/>
  <c r="V266" i="1"/>
  <c r="V202" i="1"/>
  <c r="X173" i="1"/>
  <c r="T139" i="1"/>
  <c r="W86" i="1"/>
  <c r="W170" i="1"/>
  <c r="T234" i="1"/>
  <c r="X67" i="1"/>
  <c r="W230" i="1"/>
  <c r="V158" i="1"/>
  <c r="U143" i="1"/>
  <c r="V197" i="1"/>
  <c r="W73" i="1"/>
  <c r="V258" i="1"/>
  <c r="W175" i="1"/>
  <c r="U129" i="1"/>
  <c r="W184" i="1"/>
  <c r="T58" i="1"/>
  <c r="V203" i="1"/>
  <c r="T164" i="1"/>
  <c r="V166" i="1"/>
  <c r="W141" i="1"/>
  <c r="W273" i="1"/>
  <c r="W80" i="1"/>
  <c r="U27" i="1"/>
  <c r="V113" i="1"/>
  <c r="V129" i="1"/>
  <c r="T318" i="1"/>
  <c r="V118" i="1"/>
  <c r="V137" i="1"/>
  <c r="W176" i="1"/>
  <c r="V177" i="1"/>
  <c r="W308" i="1"/>
  <c r="W61" i="1"/>
  <c r="T193" i="1"/>
  <c r="V139" i="1"/>
  <c r="U179" i="1"/>
  <c r="U177" i="1"/>
  <c r="V268" i="1"/>
  <c r="W29" i="1"/>
  <c r="V229" i="1"/>
  <c r="V29" i="1"/>
  <c r="V136" i="1"/>
  <c r="U115" i="1"/>
  <c r="T304" i="1"/>
  <c r="W177" i="1"/>
  <c r="W139" i="1"/>
  <c r="W189" i="1"/>
  <c r="U258" i="1"/>
  <c r="U251" i="1"/>
  <c r="W99" i="1"/>
  <c r="U35" i="1"/>
  <c r="W102" i="1"/>
  <c r="U32" i="1"/>
  <c r="V228" i="1"/>
  <c r="V235" i="1"/>
  <c r="X114" i="1"/>
  <c r="U88" i="1"/>
  <c r="W302" i="1"/>
  <c r="W229" i="1"/>
  <c r="W149" i="1"/>
  <c r="U33" i="1"/>
  <c r="U193" i="1"/>
  <c r="W107" i="1"/>
  <c r="U67" i="1"/>
  <c r="V88" i="1"/>
  <c r="U312" i="1"/>
  <c r="V112" i="1"/>
  <c r="V170" i="1"/>
  <c r="V86" i="1"/>
  <c r="V302" i="1"/>
  <c r="W283" i="1"/>
  <c r="W128" i="1"/>
  <c r="V90" i="1"/>
  <c r="V126" i="1"/>
  <c r="W310" i="1"/>
  <c r="V164" i="1"/>
  <c r="U271" i="1"/>
  <c r="W71" i="1"/>
  <c r="T117" i="1"/>
  <c r="U86" i="1"/>
  <c r="W42" i="1"/>
  <c r="U34" i="1"/>
  <c r="V42" i="1"/>
  <c r="W304" i="1"/>
  <c r="U134" i="1"/>
  <c r="U99" i="1"/>
  <c r="U263" i="1"/>
  <c r="U135" i="1"/>
  <c r="V75" i="1"/>
  <c r="U151" i="1"/>
  <c r="W293" i="1"/>
  <c r="W110" i="1"/>
  <c r="U121" i="1"/>
  <c r="W74" i="1"/>
  <c r="U310" i="1"/>
  <c r="V271" i="1"/>
  <c r="W208" i="1"/>
  <c r="W298" i="1"/>
  <c r="W67" i="1"/>
  <c r="U71" i="1"/>
  <c r="V282" i="1"/>
  <c r="V142" i="1"/>
  <c r="T99" i="1"/>
  <c r="W305" i="1"/>
  <c r="V35" i="1"/>
  <c r="U175" i="1"/>
  <c r="W204" i="1"/>
  <c r="W258" i="1"/>
  <c r="V264" i="1"/>
  <c r="V28" i="1"/>
  <c r="V117" i="1"/>
  <c r="V100" i="1"/>
  <c r="V297" i="1"/>
  <c r="U109" i="1"/>
  <c r="U318" i="1"/>
  <c r="U30" i="1"/>
  <c r="W101" i="1"/>
  <c r="V121" i="1"/>
  <c r="U153" i="1"/>
  <c r="V73" i="1"/>
  <c r="V227" i="1"/>
  <c r="U66" i="1"/>
  <c r="V305" i="1"/>
  <c r="V96" i="1"/>
  <c r="V32" i="1"/>
  <c r="W236" i="1"/>
  <c r="U227" i="1"/>
  <c r="U81" i="1"/>
  <c r="V103" i="1"/>
  <c r="V286" i="1"/>
  <c r="W144" i="1"/>
  <c r="W157" i="1"/>
  <c r="X110" i="1"/>
  <c r="W152" i="1"/>
  <c r="U78" i="1"/>
  <c r="W120" i="1"/>
  <c r="U234" i="1"/>
  <c r="U162" i="1"/>
  <c r="W209" i="1"/>
  <c r="U181" i="1"/>
  <c r="U114" i="1"/>
  <c r="W180" i="1"/>
  <c r="V179" i="1"/>
  <c r="U195" i="1"/>
  <c r="V249" i="1"/>
  <c r="W54" i="1"/>
  <c r="W220" i="1"/>
  <c r="V291" i="1"/>
  <c r="W81" i="1"/>
  <c r="T281" i="1"/>
  <c r="U147" i="1"/>
  <c r="U90" i="1"/>
  <c r="W68" i="1"/>
  <c r="V237" i="1"/>
  <c r="V163" i="1"/>
  <c r="U311" i="1"/>
  <c r="V34" i="1"/>
  <c r="V109" i="1"/>
  <c r="U209" i="1"/>
  <c r="W260" i="1"/>
  <c r="U150" i="1"/>
  <c r="V153" i="1"/>
  <c r="V215" i="1"/>
  <c r="U100" i="1"/>
  <c r="V122" i="1"/>
  <c r="U142" i="1"/>
  <c r="W281" i="1"/>
  <c r="U46" i="1"/>
  <c r="U188" i="1"/>
  <c r="V54" i="1"/>
  <c r="W265" i="1"/>
  <c r="V303" i="1"/>
  <c r="U287" i="1"/>
  <c r="U113" i="1"/>
  <c r="U249" i="1"/>
  <c r="U149" i="1"/>
  <c r="V128" i="1"/>
  <c r="T148" i="1"/>
  <c r="U307" i="1"/>
  <c r="U60" i="1"/>
  <c r="W142" i="1"/>
  <c r="T183" i="1"/>
  <c r="V127" i="1"/>
  <c r="W165" i="1"/>
  <c r="U102" i="1"/>
  <c r="U96" i="1"/>
  <c r="U215" i="1"/>
  <c r="W109" i="1"/>
  <c r="V225" i="1"/>
  <c r="W138" i="1"/>
  <c r="W233" i="1"/>
  <c r="U29" i="1"/>
  <c r="W205" i="1"/>
  <c r="V295" i="1"/>
  <c r="W58" i="1"/>
  <c r="T166" i="1"/>
  <c r="V141" i="1"/>
  <c r="T308" i="1"/>
  <c r="W289" i="1"/>
  <c r="U48" i="1"/>
  <c r="U250" i="1"/>
  <c r="T149" i="1"/>
  <c r="W254" i="1"/>
  <c r="V149" i="1"/>
  <c r="V306" i="1"/>
  <c r="W197" i="1"/>
  <c r="U72" i="1"/>
  <c r="V60" i="1"/>
  <c r="W116" i="1"/>
  <c r="V89" i="1"/>
  <c r="W239" i="1"/>
  <c r="V65" i="1"/>
  <c r="W30" i="1"/>
  <c r="U261" i="1"/>
  <c r="U294" i="1"/>
  <c r="W196" i="1"/>
  <c r="U141" i="1"/>
  <c r="V48" i="1"/>
  <c r="U36" i="1"/>
  <c r="X92" i="1"/>
  <c r="U55" i="1"/>
  <c r="U231" i="1"/>
  <c r="W312" i="1"/>
  <c r="W143" i="1"/>
  <c r="U145" i="1"/>
  <c r="V200" i="1"/>
  <c r="W37" i="1"/>
  <c r="T268" i="1"/>
  <c r="W318" i="1"/>
  <c r="W148" i="1"/>
  <c r="V250" i="1"/>
  <c r="U75" i="1"/>
  <c r="T37" i="1"/>
  <c r="V58" i="1"/>
  <c r="U222" i="1"/>
  <c r="V310" i="1"/>
  <c r="W169" i="1"/>
  <c r="X234" i="1"/>
  <c r="U137" i="1"/>
  <c r="V125" i="1"/>
  <c r="U139" i="1"/>
  <c r="T71" i="1"/>
  <c r="U122" i="1"/>
  <c r="V283" i="1"/>
  <c r="V80" i="1"/>
  <c r="W203" i="1"/>
  <c r="U37" i="1"/>
  <c r="U68" i="1"/>
  <c r="V263" i="1"/>
  <c r="U201" i="1"/>
  <c r="T287" i="1"/>
  <c r="V174" i="1"/>
  <c r="W112" i="1"/>
  <c r="W134" i="1"/>
  <c r="U236" i="1"/>
  <c r="V151" i="1"/>
  <c r="V99" i="1"/>
  <c r="W280" i="1"/>
  <c r="W266" i="1"/>
  <c r="V27" i="1"/>
  <c r="U282" i="1"/>
  <c r="V138" i="1"/>
  <c r="V312" i="1"/>
  <c r="V180" i="1"/>
  <c r="U108" i="1"/>
  <c r="V71" i="1"/>
  <c r="W163" i="1"/>
  <c r="W201" i="1"/>
  <c r="T190" i="1"/>
  <c r="W27" i="1"/>
  <c r="U217" i="1"/>
  <c r="V130" i="1"/>
  <c r="U110" i="1"/>
  <c r="V236" i="1"/>
  <c r="U226" i="1"/>
  <c r="W299" i="1"/>
  <c r="W295" i="1"/>
  <c r="T169" i="1"/>
  <c r="U308" i="1"/>
  <c r="U260" i="1"/>
  <c r="W306" i="1"/>
  <c r="T103" i="1"/>
  <c r="V102" i="1"/>
  <c r="U92" i="1"/>
  <c r="V194" i="1"/>
  <c r="W255" i="1"/>
  <c r="W96" i="1"/>
  <c r="T137" i="1"/>
  <c r="W240" i="1"/>
  <c r="U306" i="1"/>
  <c r="U124" i="1"/>
  <c r="U54" i="1"/>
  <c r="U230" i="1"/>
  <c r="W162" i="1"/>
  <c r="W202" i="1"/>
  <c r="V307" i="1"/>
  <c r="U200" i="1"/>
  <c r="W185" i="1"/>
  <c r="V183" i="1"/>
  <c r="U148" i="1"/>
  <c r="X102" i="1"/>
  <c r="X249" i="1" l="1"/>
  <c r="U244" i="1"/>
  <c r="V115" i="1"/>
  <c r="X78" i="1"/>
  <c r="X293" i="1"/>
  <c r="X242" i="1"/>
  <c r="X163" i="1"/>
  <c r="X240" i="1"/>
  <c r="X236" i="1"/>
  <c r="X71" i="1"/>
  <c r="X302" i="1"/>
  <c r="X72" i="1"/>
  <c r="X61" i="1"/>
  <c r="X100" i="1"/>
  <c r="X306" i="1"/>
  <c r="X239" i="1"/>
  <c r="X138" i="1"/>
  <c r="X272" i="1"/>
  <c r="X205" i="1"/>
  <c r="X189" i="1"/>
  <c r="X164" i="1"/>
  <c r="V33" i="1"/>
  <c r="X116" i="1"/>
  <c r="X107" i="1"/>
  <c r="X213" i="1"/>
  <c r="X241" i="1"/>
  <c r="X101" i="1"/>
  <c r="X284" i="1"/>
  <c r="T222" i="1"/>
  <c r="T96" i="1"/>
  <c r="T160" i="1"/>
  <c r="T34" i="1"/>
  <c r="T201" i="1"/>
  <c r="T72" i="1"/>
  <c r="T289" i="1"/>
  <c r="T112" i="1"/>
  <c r="T66" i="1"/>
  <c r="T151" i="1"/>
  <c r="T188" i="1"/>
  <c r="T33" i="1"/>
  <c r="T130" i="1"/>
  <c r="W383" i="1"/>
  <c r="W399" i="1"/>
  <c r="Q9" i="58" s="1"/>
  <c r="T242" i="1"/>
  <c r="W398" i="1"/>
  <c r="Q6" i="58" s="1"/>
  <c r="W382" i="1"/>
  <c r="Q23" i="58" s="1"/>
  <c r="T78" i="1"/>
  <c r="T249" i="1"/>
  <c r="T250" i="1"/>
  <c r="T89" i="1"/>
  <c r="T68" i="1"/>
  <c r="T174" i="1"/>
  <c r="T27" i="1"/>
  <c r="T57" i="1"/>
  <c r="T86" i="1"/>
  <c r="T41" i="1"/>
  <c r="T227" i="1"/>
  <c r="T36" i="1"/>
  <c r="T163" i="1"/>
  <c r="T204" i="1"/>
  <c r="T161" i="1"/>
  <c r="T157" i="1"/>
  <c r="T158" i="1"/>
  <c r="T90" i="1"/>
  <c r="T180" i="1"/>
  <c r="U101" i="1"/>
  <c r="V167" i="1"/>
  <c r="V178" i="1"/>
  <c r="V383" i="1" s="1"/>
  <c r="W123" i="1"/>
  <c r="V239" i="1"/>
  <c r="T75" i="1"/>
  <c r="V304" i="1"/>
  <c r="V311" i="1"/>
  <c r="U304" i="1"/>
  <c r="V172" i="1"/>
  <c r="U210" i="1"/>
  <c r="V147" i="1"/>
  <c r="W89" i="1"/>
  <c r="W307" i="1"/>
  <c r="W198" i="1"/>
  <c r="V67" i="1"/>
  <c r="U26" i="1"/>
  <c r="T29" i="1"/>
  <c r="T118" i="1"/>
  <c r="T261" i="1"/>
  <c r="T135" i="1"/>
  <c r="U383" i="1"/>
  <c r="U399" i="1"/>
  <c r="O9" i="58" s="1"/>
  <c r="T30" i="1"/>
  <c r="T109" i="1"/>
  <c r="T102" i="1"/>
  <c r="T143" i="1"/>
  <c r="T191" i="1"/>
  <c r="T312" i="1"/>
  <c r="T61" i="1"/>
  <c r="T115" i="1"/>
  <c r="T120" i="1"/>
  <c r="T170" i="1"/>
  <c r="T150" i="1"/>
  <c r="T26" i="1"/>
  <c r="T307" i="1"/>
  <c r="T153" i="1"/>
  <c r="T203" i="1"/>
  <c r="T122" i="1"/>
  <c r="V143" i="1"/>
  <c r="U257" i="1"/>
  <c r="V101" i="1"/>
  <c r="T301" i="1"/>
  <c r="W145" i="1"/>
  <c r="W225" i="1"/>
  <c r="W100" i="1"/>
  <c r="W244" i="1"/>
  <c r="T306" i="1"/>
  <c r="W199" i="1"/>
  <c r="U191" i="1"/>
  <c r="W303" i="1"/>
  <c r="V214" i="1"/>
  <c r="V92" i="1"/>
  <c r="V176" i="1"/>
  <c r="W264" i="1"/>
  <c r="U138" i="1"/>
  <c r="V148" i="1"/>
  <c r="U103" i="1"/>
  <c r="V230" i="1"/>
  <c r="W136" i="1"/>
  <c r="U65" i="1"/>
  <c r="T305" i="1"/>
  <c r="U208" i="1"/>
  <c r="V201" i="1"/>
  <c r="W78" i="1"/>
  <c r="U74" i="1"/>
  <c r="W32" i="1"/>
  <c r="U128" i="1"/>
  <c r="U192" i="1"/>
  <c r="W75" i="1"/>
  <c r="V95" i="1"/>
  <c r="V195" i="1"/>
  <c r="V318" i="1"/>
  <c r="U158" i="1"/>
  <c r="U225" i="1"/>
  <c r="U190" i="1"/>
  <c r="W113" i="1"/>
  <c r="W147" i="1"/>
  <c r="T172" i="1"/>
  <c r="T192" i="1"/>
  <c r="T65" i="1"/>
  <c r="T272" i="1"/>
  <c r="T210" i="1"/>
  <c r="T209" i="1"/>
  <c r="T184" i="1"/>
  <c r="T176" i="1"/>
  <c r="T60" i="1"/>
  <c r="T141" i="1"/>
  <c r="T46" i="1"/>
  <c r="T205" i="1"/>
  <c r="T28" i="1"/>
  <c r="T233" i="1"/>
  <c r="T211" i="1"/>
  <c r="T241" i="1"/>
  <c r="T216" i="1"/>
  <c r="T127" i="1"/>
  <c r="T80" i="1"/>
  <c r="T92" i="1"/>
  <c r="T129" i="1"/>
  <c r="T286" i="1"/>
  <c r="T175" i="1"/>
  <c r="T54" i="1"/>
  <c r="T290" i="1"/>
  <c r="T48" i="1"/>
  <c r="T230" i="1"/>
  <c r="T123" i="1"/>
  <c r="T219" i="1"/>
  <c r="T215" i="1"/>
  <c r="T74" i="1"/>
  <c r="T202" i="1"/>
  <c r="T218" i="1"/>
  <c r="T231" i="1"/>
  <c r="T55" i="1"/>
  <c r="T187" i="1"/>
  <c r="T35" i="1"/>
  <c r="T251" i="1"/>
  <c r="T240" i="1"/>
  <c r="T42" i="1"/>
  <c r="X48" i="1"/>
  <c r="U216" i="1"/>
  <c r="W287" i="1"/>
  <c r="T167" i="1"/>
  <c r="W90" i="1"/>
  <c r="W124" i="1"/>
  <c r="T258" i="1"/>
  <c r="T73" i="1"/>
  <c r="Y37" i="1"/>
  <c r="Z37" i="1"/>
  <c r="AI37" i="1" s="1"/>
  <c r="AD37" i="1" s="1"/>
  <c r="T101" i="1"/>
  <c r="W26" i="1"/>
  <c r="T260" i="1"/>
  <c r="T291" i="1"/>
  <c r="T67" i="1"/>
  <c r="V26" i="1"/>
  <c r="T32" i="1"/>
  <c r="T267" i="1"/>
  <c r="T294" i="1"/>
  <c r="T244" i="1"/>
  <c r="V152" i="1"/>
  <c r="T142" i="1"/>
  <c r="T128" i="1"/>
  <c r="T208" i="1"/>
  <c r="U107" i="1"/>
  <c r="U164" i="1"/>
  <c r="V57" i="1"/>
  <c r="U120" i="1"/>
  <c r="W320" i="1"/>
  <c r="U218" i="1"/>
  <c r="V299" i="1"/>
  <c r="T178" i="1"/>
  <c r="V190" i="1"/>
  <c r="V242" i="1"/>
  <c r="W114" i="1"/>
  <c r="W150" i="1"/>
  <c r="W237" i="1"/>
  <c r="W194" i="1"/>
  <c r="V68" i="1"/>
  <c r="V267" i="1"/>
  <c r="V309" i="1"/>
  <c r="V308" i="1"/>
  <c r="O26" i="58" l="1"/>
  <c r="Q26" i="58"/>
  <c r="T212" i="1"/>
  <c r="AA37" i="1"/>
  <c r="AH37" i="1"/>
  <c r="T136" i="1"/>
  <c r="T124" i="1"/>
  <c r="T217" i="1"/>
  <c r="V399" i="1"/>
  <c r="P9" i="58" s="1"/>
  <c r="P26" i="58" s="1"/>
  <c r="T265" i="1"/>
  <c r="T303" i="1"/>
  <c r="T171" i="1"/>
  <c r="T177" i="1"/>
  <c r="T236" i="1"/>
  <c r="T225" i="1"/>
  <c r="T399" i="1"/>
  <c r="N9" i="58" s="1"/>
  <c r="T383" i="1"/>
  <c r="N26" i="58" l="1"/>
  <c r="R274" i="1"/>
  <c r="R155" i="1"/>
  <c r="S361" i="1"/>
  <c r="S370" i="1"/>
  <c r="S336" i="1"/>
  <c r="S152" i="1"/>
  <c r="S337" i="1" l="1"/>
  <c r="S346" i="1"/>
  <c r="S353" i="1"/>
  <c r="S71" i="1"/>
  <c r="S306" i="1"/>
  <c r="S252" i="1"/>
  <c r="S371" i="1"/>
  <c r="S147" i="1"/>
  <c r="S107" i="1"/>
  <c r="S88" i="1"/>
  <c r="S155" i="1"/>
  <c r="S166" i="1"/>
  <c r="S149" i="1"/>
  <c r="S369" i="1"/>
  <c r="S311" i="1"/>
  <c r="S110" i="1"/>
  <c r="S232" i="1"/>
  <c r="S81" i="1"/>
  <c r="S138" i="1"/>
  <c r="S372" i="1"/>
  <c r="S137" i="1"/>
  <c r="S320" i="1"/>
  <c r="S368" i="1"/>
  <c r="T364" i="1"/>
  <c r="T362" i="1"/>
  <c r="T365" i="1"/>
  <c r="T363" i="1"/>
  <c r="T352" i="1"/>
  <c r="T311" i="1"/>
  <c r="T325" i="1"/>
  <c r="T347" i="1"/>
  <c r="T152" i="1"/>
  <c r="T344" i="1"/>
  <c r="T274" i="1"/>
  <c r="T320" i="1"/>
  <c r="T309" i="1" l="1"/>
  <c r="T336" i="1"/>
  <c r="T337" i="1"/>
  <c r="T116" i="1"/>
  <c r="T346" i="1"/>
  <c r="T361" i="1"/>
  <c r="Z362" i="1"/>
  <c r="AI362" i="1" s="1"/>
  <c r="AD362" i="1" s="1"/>
  <c r="AC362" i="1" s="1"/>
  <c r="Y362" i="1"/>
  <c r="T147" i="1"/>
  <c r="T220" i="1"/>
  <c r="T266" i="1"/>
  <c r="T254" i="1"/>
  <c r="T297" i="1"/>
  <c r="T125" i="1"/>
  <c r="T246" i="1"/>
  <c r="T179" i="1"/>
  <c r="T182" i="1"/>
  <c r="T264" i="1"/>
  <c r="T275" i="1"/>
  <c r="T342" i="1"/>
  <c r="T256" i="1"/>
  <c r="T316" i="1"/>
  <c r="T292" i="1"/>
  <c r="S354" i="1"/>
  <c r="S114" i="1"/>
  <c r="S125" i="1"/>
  <c r="S197" i="1"/>
  <c r="S299" i="1"/>
  <c r="S182" i="1"/>
  <c r="S100" i="1"/>
  <c r="S144" i="1"/>
  <c r="S190" i="1"/>
  <c r="S254" i="1"/>
  <c r="S226" i="1"/>
  <c r="S214" i="1"/>
  <c r="S139" i="1"/>
  <c r="S285" i="1"/>
  <c r="S148" i="1"/>
  <c r="S342" i="1"/>
  <c r="S322" i="1"/>
  <c r="S273" i="1"/>
  <c r="S248" i="1"/>
  <c r="S199" i="1"/>
  <c r="S108" i="1"/>
  <c r="S275" i="1"/>
  <c r="S253" i="1"/>
  <c r="S366" i="1"/>
  <c r="S333" i="1"/>
  <c r="S134" i="1"/>
  <c r="S99" i="1"/>
  <c r="S228" i="1"/>
  <c r="S169" i="1"/>
  <c r="S278" i="1"/>
  <c r="S274" i="1"/>
  <c r="S245" i="1"/>
  <c r="S126" i="1"/>
  <c r="S276" i="1"/>
  <c r="S302" i="1"/>
  <c r="S360" i="1"/>
  <c r="S344" i="1"/>
  <c r="S168" i="1"/>
  <c r="S352" i="1"/>
  <c r="S239" i="1"/>
  <c r="S257" i="1"/>
  <c r="S315" i="1"/>
  <c r="S334" i="1"/>
  <c r="S256" i="1"/>
  <c r="S279" i="1"/>
  <c r="S180" i="1"/>
  <c r="S193" i="1"/>
  <c r="S269" i="1"/>
  <c r="S206" i="1"/>
  <c r="S95" i="1"/>
  <c r="S277" i="1"/>
  <c r="S271" i="1"/>
  <c r="S345" i="1"/>
  <c r="S298" i="1"/>
  <c r="T310" i="1"/>
  <c r="T273" i="1"/>
  <c r="T253" i="1"/>
  <c r="T165" i="1"/>
  <c r="T284" i="1"/>
  <c r="T134" i="1"/>
  <c r="T269" i="1"/>
  <c r="T298" i="1"/>
  <c r="T276" i="1"/>
  <c r="T194" i="1"/>
  <c r="T277" i="1"/>
  <c r="T285" i="1"/>
  <c r="T235" i="1"/>
  <c r="T302" i="1"/>
  <c r="T245" i="1"/>
  <c r="T186" i="1"/>
  <c r="T189" i="1"/>
  <c r="T295" i="1"/>
  <c r="T270" i="1"/>
  <c r="T114" i="1"/>
  <c r="T113" i="1"/>
  <c r="T354" i="1"/>
  <c r="Y155" i="1"/>
  <c r="Z155" i="1"/>
  <c r="AI155" i="1" s="1"/>
  <c r="AD155" i="1" s="1"/>
  <c r="T185" i="1"/>
  <c r="T108" i="1"/>
  <c r="T247" i="1"/>
  <c r="T263" i="1"/>
  <c r="T168" i="1"/>
  <c r="T206" i="1"/>
  <c r="T278" i="1"/>
  <c r="T248" i="1"/>
  <c r="T214" i="1"/>
  <c r="T221" i="1"/>
  <c r="T229" i="1"/>
  <c r="T195" i="1"/>
  <c r="T255" i="1"/>
  <c r="T315" i="1"/>
  <c r="T154" i="1"/>
  <c r="T95" i="1"/>
  <c r="T345" i="1"/>
  <c r="T293" i="1"/>
  <c r="T355" i="1"/>
  <c r="S113" i="1"/>
  <c r="S164" i="1"/>
  <c r="S283" i="1"/>
  <c r="S318" i="1"/>
  <c r="S247" i="1"/>
  <c r="S58" i="1"/>
  <c r="S23" i="29"/>
  <c r="S22" i="1" s="1"/>
  <c r="S332" i="1"/>
  <c r="S304" i="1"/>
  <c r="S284" i="1"/>
  <c r="S255" i="1"/>
  <c r="S321" i="1"/>
  <c r="S301" i="1"/>
  <c r="S287" i="1"/>
  <c r="S339" i="1"/>
  <c r="S270" i="1"/>
  <c r="S237" i="1"/>
  <c r="S280" i="1"/>
  <c r="S167" i="1"/>
  <c r="S263" i="1"/>
  <c r="S179" i="1"/>
  <c r="S186" i="1"/>
  <c r="S246" i="1"/>
  <c r="S281" i="1"/>
  <c r="S316" i="1"/>
  <c r="S305" i="1"/>
  <c r="S185" i="1"/>
  <c r="S259" i="1"/>
  <c r="S282" i="1"/>
  <c r="S116" i="1"/>
  <c r="S181" i="1"/>
  <c r="S266" i="1"/>
  <c r="S347" i="1"/>
  <c r="S295" i="1"/>
  <c r="S309" i="1"/>
  <c r="S117" i="1"/>
  <c r="S162" i="1"/>
  <c r="S145" i="1"/>
  <c r="S159" i="1"/>
  <c r="S308" i="1"/>
  <c r="S310" i="1"/>
  <c r="S235" i="1"/>
  <c r="S229" i="1"/>
  <c r="S183" i="1"/>
  <c r="S196" i="1"/>
  <c r="S103" i="1"/>
  <c r="S268" i="1"/>
  <c r="S349" i="1"/>
  <c r="S198" i="1"/>
  <c r="T257" i="1"/>
  <c r="T299" i="1"/>
  <c r="T198" i="1"/>
  <c r="T280" i="1"/>
  <c r="T197" i="1"/>
  <c r="T100" i="1"/>
  <c r="T279" i="1"/>
  <c r="T271" i="1"/>
  <c r="T213" i="1"/>
  <c r="T196" i="1"/>
  <c r="T200" i="1"/>
  <c r="T199" i="1"/>
  <c r="T228" i="1"/>
  <c r="T207" i="1"/>
  <c r="T223" i="1"/>
  <c r="T162" i="1"/>
  <c r="T237" i="1"/>
  <c r="T283" i="1"/>
  <c r="T349" i="1"/>
  <c r="E26" i="21"/>
  <c r="Y353" i="1"/>
  <c r="Z353" i="1"/>
  <c r="AI353" i="1" s="1"/>
  <c r="AD353" i="1" s="1"/>
  <c r="U370" i="1"/>
  <c r="U372" i="1"/>
  <c r="U369" i="1"/>
  <c r="U116" i="1"/>
  <c r="U325" i="1"/>
  <c r="U152" i="1"/>
  <c r="U322" i="1"/>
  <c r="U349" i="1"/>
  <c r="U320" i="1"/>
  <c r="U259" i="1"/>
  <c r="U266" i="1"/>
  <c r="U197" i="1"/>
  <c r="U199" i="1"/>
  <c r="U229" i="1"/>
  <c r="U277" i="1"/>
  <c r="U214" i="1"/>
  <c r="U295" i="1"/>
  <c r="U299" i="1"/>
  <c r="U228" i="1"/>
  <c r="U198" i="1"/>
  <c r="U302" i="1"/>
  <c r="U196" i="1"/>
  <c r="U274" i="1"/>
  <c r="T385" i="1" l="1"/>
  <c r="S401" i="1"/>
  <c r="M8" i="58" s="1"/>
  <c r="S400" i="1"/>
  <c r="M7" i="58" s="1"/>
  <c r="S385" i="1"/>
  <c r="S381" i="1"/>
  <c r="U363" i="1"/>
  <c r="U365" i="1"/>
  <c r="S384" i="1"/>
  <c r="U364" i="1"/>
  <c r="V365" i="1"/>
  <c r="T401" i="1"/>
  <c r="N8" i="58" s="1"/>
  <c r="AH362" i="1"/>
  <c r="AA362" i="1"/>
  <c r="AB362" i="1" s="1"/>
  <c r="U272" i="1"/>
  <c r="U187" i="1"/>
  <c r="U232" i="1"/>
  <c r="U291" i="1"/>
  <c r="U248" i="1"/>
  <c r="U252" i="1"/>
  <c r="U202" i="1"/>
  <c r="U269" i="1"/>
  <c r="U279" i="1"/>
  <c r="U265" i="1"/>
  <c r="U203" i="1"/>
  <c r="U206" i="1"/>
  <c r="U161" i="1"/>
  <c r="E34" i="21"/>
  <c r="T387" i="1"/>
  <c r="T403" i="1"/>
  <c r="N11" i="58" s="1"/>
  <c r="S403" i="1"/>
  <c r="M11" i="58" s="1"/>
  <c r="S387" i="1"/>
  <c r="M28" i="58" s="1"/>
  <c r="E76" i="21"/>
  <c r="S398" i="1"/>
  <c r="M6" i="58" s="1"/>
  <c r="S382" i="1"/>
  <c r="E77" i="21"/>
  <c r="S397" i="1"/>
  <c r="M5" i="58" s="1"/>
  <c r="U205" i="1"/>
  <c r="U184" i="1"/>
  <c r="U278" i="1"/>
  <c r="U204" i="1"/>
  <c r="U240" i="1"/>
  <c r="U298" i="1"/>
  <c r="U340" i="1"/>
  <c r="U315" i="1"/>
  <c r="U357" i="1"/>
  <c r="U368" i="1"/>
  <c r="U381" i="1" s="1"/>
  <c r="T382" i="1"/>
  <c r="T398" i="1"/>
  <c r="N6" i="58" s="1"/>
  <c r="S386" i="1"/>
  <c r="T372" i="1"/>
  <c r="Z354" i="1"/>
  <c r="AI354" i="1" s="1"/>
  <c r="AD354" i="1" s="1"/>
  <c r="Y354" i="1"/>
  <c r="U326" i="1"/>
  <c r="U276" i="1"/>
  <c r="U212" i="1"/>
  <c r="U245" i="1"/>
  <c r="U247" i="1"/>
  <c r="U211" i="1"/>
  <c r="U280" i="1"/>
  <c r="U348" i="1"/>
  <c r="AH353" i="1"/>
  <c r="AA353" i="1"/>
  <c r="E75" i="21"/>
  <c r="S402" i="1"/>
  <c r="M10" i="58" s="1"/>
  <c r="AA155" i="1"/>
  <c r="AH155" i="1"/>
  <c r="T405" i="1"/>
  <c r="N13" i="58" s="1"/>
  <c r="T389" i="1"/>
  <c r="S405" i="1"/>
  <c r="M13" i="58" s="1"/>
  <c r="S389" i="1"/>
  <c r="Y360" i="1"/>
  <c r="Z360" i="1"/>
  <c r="AI360" i="1" s="1"/>
  <c r="AD360" i="1" s="1"/>
  <c r="T371" i="1"/>
  <c r="T404" i="1" s="1"/>
  <c r="N12" i="58" s="1"/>
  <c r="U289" i="1"/>
  <c r="U125" i="1"/>
  <c r="U356" i="1"/>
  <c r="U371" i="1"/>
  <c r="T369" i="1"/>
  <c r="T232" i="1"/>
  <c r="S404" i="1"/>
  <c r="M12" i="58" s="1"/>
  <c r="S388" i="1"/>
  <c r="AY10" i="1"/>
  <c r="S23" i="1"/>
  <c r="BC10" i="1"/>
  <c r="AZ10" i="1"/>
  <c r="AS10" i="1"/>
  <c r="BB10" i="1"/>
  <c r="AX10" i="1"/>
  <c r="AR10" i="1"/>
  <c r="AV10" i="1"/>
  <c r="AL10" i="1"/>
  <c r="BE10" i="1"/>
  <c r="AO10" i="1"/>
  <c r="AQ10" i="1"/>
  <c r="AW10" i="1"/>
  <c r="AU10" i="1"/>
  <c r="AM10" i="1"/>
  <c r="BA10" i="1"/>
  <c r="AP10" i="1"/>
  <c r="AT10" i="1"/>
  <c r="AN10" i="1"/>
  <c r="BD10" i="1"/>
  <c r="T368" i="1"/>
  <c r="T381" i="1" s="1"/>
  <c r="T23" i="29"/>
  <c r="T22" i="1" s="1"/>
  <c r="T252" i="1"/>
  <c r="AC56" i="1"/>
  <c r="AB56" i="1" s="1"/>
  <c r="V368" i="1"/>
  <c r="AC353" i="1"/>
  <c r="V349" i="1"/>
  <c r="V161" i="1"/>
  <c r="V280" i="1"/>
  <c r="V325" i="1"/>
  <c r="V252" i="1"/>
  <c r="V255" i="1"/>
  <c r="V320" i="1"/>
  <c r="V284" i="1"/>
  <c r="V273" i="1"/>
  <c r="V254" i="1"/>
  <c r="V298" i="1"/>
  <c r="V274" i="1"/>
  <c r="V186" i="1"/>
  <c r="N30" i="58" l="1"/>
  <c r="M24" i="58"/>
  <c r="N28" i="58"/>
  <c r="M25" i="58"/>
  <c r="N23" i="58"/>
  <c r="M30" i="58"/>
  <c r="M23" i="58"/>
  <c r="M29" i="58"/>
  <c r="M27" i="58"/>
  <c r="N25" i="58"/>
  <c r="T397" i="1"/>
  <c r="N5" i="58" s="1"/>
  <c r="AC360" i="1"/>
  <c r="AB353" i="1"/>
  <c r="AC354" i="1"/>
  <c r="S390" i="1"/>
  <c r="W365" i="1"/>
  <c r="Z365" i="1" s="1"/>
  <c r="AI365" i="1" s="1"/>
  <c r="AD365" i="1" s="1"/>
  <c r="AC365" i="1" s="1"/>
  <c r="U23" i="29"/>
  <c r="U22" i="1" s="1"/>
  <c r="BC11" i="1"/>
  <c r="Y363" i="1"/>
  <c r="Z363" i="1"/>
  <c r="AI363" i="1" s="1"/>
  <c r="AD363" i="1" s="1"/>
  <c r="AC363" i="1" s="1"/>
  <c r="V370" i="1"/>
  <c r="Y364" i="1"/>
  <c r="Z364" i="1"/>
  <c r="AI364" i="1" s="1"/>
  <c r="AD364" i="1" s="1"/>
  <c r="AC364" i="1" s="1"/>
  <c r="V208" i="1"/>
  <c r="V207" i="1"/>
  <c r="V223" i="1"/>
  <c r="V165" i="1"/>
  <c r="V189" i="1"/>
  <c r="V246" i="1"/>
  <c r="V342" i="1"/>
  <c r="E31" i="8"/>
  <c r="E9" i="8"/>
  <c r="E11" i="8"/>
  <c r="E14" i="8"/>
  <c r="E22" i="8"/>
  <c r="AA360" i="1"/>
  <c r="AH360" i="1"/>
  <c r="U367" i="1"/>
  <c r="U402" i="1" s="1"/>
  <c r="O10" i="58" s="1"/>
  <c r="U221" i="1"/>
  <c r="U284" i="1"/>
  <c r="U273" i="1"/>
  <c r="U213" i="1"/>
  <c r="AH354" i="1"/>
  <c r="AA354" i="1"/>
  <c r="AP11" i="1"/>
  <c r="F12" i="8" s="1"/>
  <c r="BB11" i="1"/>
  <c r="F24" i="8" s="1"/>
  <c r="AV11" i="1"/>
  <c r="F18" i="8" s="1"/>
  <c r="AO11" i="1"/>
  <c r="F11" i="8" s="1"/>
  <c r="AT11" i="1"/>
  <c r="F16" i="8" s="1"/>
  <c r="AZ11" i="1"/>
  <c r="F22" i="8" s="1"/>
  <c r="V222" i="1"/>
  <c r="V253" i="1"/>
  <c r="V220" i="1"/>
  <c r="V182" i="1"/>
  <c r="V192" i="1"/>
  <c r="V221" i="1"/>
  <c r="V218" i="1"/>
  <c r="V270" i="1"/>
  <c r="V316" i="1"/>
  <c r="V358" i="1"/>
  <c r="T386" i="1"/>
  <c r="T402" i="1"/>
  <c r="N10" i="58" s="1"/>
  <c r="E16" i="8"/>
  <c r="E17" i="8"/>
  <c r="E32" i="8"/>
  <c r="E20" i="8"/>
  <c r="U316" i="1"/>
  <c r="U246" i="1"/>
  <c r="U270" i="1"/>
  <c r="U292" i="1"/>
  <c r="U154" i="1"/>
  <c r="AW11" i="1"/>
  <c r="F19" i="8" s="1"/>
  <c r="AU11" i="1"/>
  <c r="F17" i="8" s="1"/>
  <c r="AQ11" i="1"/>
  <c r="F13" i="8" s="1"/>
  <c r="BD11" i="1"/>
  <c r="F30" i="8" s="1"/>
  <c r="BA11" i="1"/>
  <c r="F23" i="8" s="1"/>
  <c r="U342" i="1"/>
  <c r="U297" i="1"/>
  <c r="U186" i="1"/>
  <c r="U285" i="1"/>
  <c r="U182" i="1"/>
  <c r="U397" i="1"/>
  <c r="O5" i="58" s="1"/>
  <c r="V231" i="1"/>
  <c r="V276" i="1"/>
  <c r="V241" i="1"/>
  <c r="V293" i="1"/>
  <c r="V209" i="1"/>
  <c r="V210" i="1"/>
  <c r="V292" i="1"/>
  <c r="V285" i="1"/>
  <c r="V382" i="1"/>
  <c r="V398" i="1"/>
  <c r="P6" i="58" s="1"/>
  <c r="V315" i="1"/>
  <c r="V359" i="1"/>
  <c r="V371" i="1"/>
  <c r="V367" i="1"/>
  <c r="E12" i="8"/>
  <c r="E19" i="8"/>
  <c r="S10" i="1"/>
  <c r="BF10" i="1"/>
  <c r="E8" i="8"/>
  <c r="E24" i="8"/>
  <c r="U355" i="1"/>
  <c r="U398" i="1"/>
  <c r="O6" i="58" s="1"/>
  <c r="U382" i="1"/>
  <c r="U293" i="1"/>
  <c r="U207" i="1"/>
  <c r="U254" i="1"/>
  <c r="T388" i="1"/>
  <c r="N29" i="58" s="1"/>
  <c r="U387" i="1"/>
  <c r="U403" i="1"/>
  <c r="O11" i="58" s="1"/>
  <c r="T23" i="1"/>
  <c r="BE11" i="1"/>
  <c r="F32" i="8" s="1"/>
  <c r="F97" i="8" s="1"/>
  <c r="AL11" i="1"/>
  <c r="AM11" i="1"/>
  <c r="F9" i="8" s="1"/>
  <c r="AX11" i="1"/>
  <c r="F20" i="8" s="1"/>
  <c r="T384" i="1"/>
  <c r="V278" i="1"/>
  <c r="V290" i="1"/>
  <c r="V247" i="1"/>
  <c r="V154" i="1"/>
  <c r="V275" i="1"/>
  <c r="V397" i="1"/>
  <c r="P5" i="58" s="1"/>
  <c r="V381" i="1"/>
  <c r="M22" i="58"/>
  <c r="M15" i="58"/>
  <c r="E30" i="8"/>
  <c r="E23" i="8"/>
  <c r="E13" i="8"/>
  <c r="E18" i="8"/>
  <c r="E15" i="8"/>
  <c r="E21" i="8"/>
  <c r="U253" i="1"/>
  <c r="U165" i="1"/>
  <c r="U189" i="1"/>
  <c r="S406" i="1"/>
  <c r="U275" i="1"/>
  <c r="U264" i="1"/>
  <c r="U255" i="1"/>
  <c r="AY11" i="1"/>
  <c r="F21" i="8" s="1"/>
  <c r="AS11" i="1"/>
  <c r="F15" i="8" s="1"/>
  <c r="AR11" i="1"/>
  <c r="F14" i="8" s="1"/>
  <c r="T400" i="1"/>
  <c r="N7" i="58" s="1"/>
  <c r="AN11" i="1"/>
  <c r="F31" i="8" s="1"/>
  <c r="U223" i="1"/>
  <c r="U220" i="1"/>
  <c r="AC37" i="1"/>
  <c r="AB37" i="1" s="1"/>
  <c r="W370" i="1"/>
  <c r="W369" i="1"/>
  <c r="W371" i="1"/>
  <c r="AC155" i="1"/>
  <c r="AB155" i="1" s="1"/>
  <c r="W315" i="1"/>
  <c r="W322" i="1"/>
  <c r="W325" i="1"/>
  <c r="W342" i="1"/>
  <c r="W276" i="1"/>
  <c r="W316" i="1"/>
  <c r="W270" i="1"/>
  <c r="W292" i="1"/>
  <c r="W275" i="1"/>
  <c r="W232" i="1"/>
  <c r="W259" i="1"/>
  <c r="W253" i="1"/>
  <c r="W290" i="1"/>
  <c r="W246" i="1"/>
  <c r="W211" i="1"/>
  <c r="W223" i="1"/>
  <c r="W245" i="1"/>
  <c r="W221" i="1"/>
  <c r="W218" i="1"/>
  <c r="W207" i="1"/>
  <c r="W269" i="1"/>
  <c r="W231" i="1"/>
  <c r="W206" i="1"/>
  <c r="W247" i="1"/>
  <c r="W222" i="1"/>
  <c r="W212" i="1"/>
  <c r="W182" i="1"/>
  <c r="W248" i="1"/>
  <c r="W274" i="1"/>
  <c r="M32" i="58" l="1"/>
  <c r="O28" i="58"/>
  <c r="P23" i="58"/>
  <c r="N24" i="58"/>
  <c r="O23" i="58"/>
  <c r="N27" i="58"/>
  <c r="U386" i="1"/>
  <c r="O27" i="58" s="1"/>
  <c r="AB360" i="1"/>
  <c r="E86" i="8"/>
  <c r="E97" i="8"/>
  <c r="AB354" i="1"/>
  <c r="T390" i="1"/>
  <c r="U405" i="1"/>
  <c r="O13" i="58" s="1"/>
  <c r="Y365" i="1"/>
  <c r="V23" i="29"/>
  <c r="V22" i="1" s="1"/>
  <c r="AZ12" i="1"/>
  <c r="G22" i="8" s="1"/>
  <c r="G87" i="8" s="1"/>
  <c r="AA364" i="1"/>
  <c r="AB364" i="1" s="1"/>
  <c r="AH364" i="1"/>
  <c r="BB12" i="1"/>
  <c r="G24" i="8" s="1"/>
  <c r="AA363" i="1"/>
  <c r="AB363" i="1" s="1"/>
  <c r="AH363" i="1"/>
  <c r="W154" i="1"/>
  <c r="W279" i="1"/>
  <c r="W278" i="1"/>
  <c r="W348" i="1"/>
  <c r="F96" i="8"/>
  <c r="F86" i="8"/>
  <c r="E83" i="8"/>
  <c r="F85" i="8"/>
  <c r="AY12" i="1"/>
  <c r="U384" i="1"/>
  <c r="AM12" i="1"/>
  <c r="G9" i="8" s="1"/>
  <c r="AL12" i="1"/>
  <c r="AO12" i="1"/>
  <c r="G11" i="8" s="1"/>
  <c r="U400" i="1"/>
  <c r="O7" i="58" s="1"/>
  <c r="V387" i="1"/>
  <c r="V403" i="1"/>
  <c r="P11" i="58" s="1"/>
  <c r="F82" i="8"/>
  <c r="U401" i="1"/>
  <c r="O8" i="58" s="1"/>
  <c r="U385" i="1"/>
  <c r="E81" i="8"/>
  <c r="F81" i="8"/>
  <c r="F77" i="8"/>
  <c r="E87" i="8"/>
  <c r="W215" i="1"/>
  <c r="W372" i="1"/>
  <c r="W367" i="1"/>
  <c r="V357" i="1"/>
  <c r="V322" i="1"/>
  <c r="V248" i="1"/>
  <c r="F74" i="8"/>
  <c r="AP12" i="1"/>
  <c r="AU12" i="1"/>
  <c r="G17" i="8" s="1"/>
  <c r="AT12" i="1"/>
  <c r="AS12" i="1"/>
  <c r="G15" i="8" s="1"/>
  <c r="E89" i="8"/>
  <c r="Y10" i="1"/>
  <c r="S15" i="1"/>
  <c r="E77" i="8"/>
  <c r="V269" i="1"/>
  <c r="V279" i="1"/>
  <c r="V184" i="1"/>
  <c r="F88" i="8"/>
  <c r="F84" i="8"/>
  <c r="V348" i="1"/>
  <c r="V206" i="1"/>
  <c r="F76" i="8"/>
  <c r="E76" i="8"/>
  <c r="E96" i="8"/>
  <c r="V372" i="1"/>
  <c r="V259" i="1"/>
  <c r="V245" i="1"/>
  <c r="W188" i="1"/>
  <c r="W242" i="1"/>
  <c r="W285" i="1"/>
  <c r="F79" i="8"/>
  <c r="E80" i="8"/>
  <c r="E78" i="8"/>
  <c r="E95" i="8"/>
  <c r="N22" i="58"/>
  <c r="N32" i="58" s="1"/>
  <c r="N15" i="58"/>
  <c r="U389" i="1"/>
  <c r="F8" i="8"/>
  <c r="BF11" i="1"/>
  <c r="T11" i="1"/>
  <c r="AX12" i="1"/>
  <c r="G20" i="8" s="1"/>
  <c r="AW12" i="1"/>
  <c r="G19" i="8" s="1"/>
  <c r="U23" i="1"/>
  <c r="BA12" i="1"/>
  <c r="BC12" i="1"/>
  <c r="F95" i="8"/>
  <c r="F83" i="8"/>
  <c r="E74" i="8"/>
  <c r="O22" i="58"/>
  <c r="W187" i="1"/>
  <c r="W272" i="1"/>
  <c r="W340" i="1"/>
  <c r="F80" i="8"/>
  <c r="Y274" i="1"/>
  <c r="E88" i="8"/>
  <c r="V340" i="1"/>
  <c r="V188" i="1"/>
  <c r="V212" i="1"/>
  <c r="V265" i="1"/>
  <c r="V405" i="1" s="1"/>
  <c r="P13" i="58" s="1"/>
  <c r="V211" i="1"/>
  <c r="Z355" i="1"/>
  <c r="AI355" i="1" s="1"/>
  <c r="AD355" i="1" s="1"/>
  <c r="AC355" i="1" s="1"/>
  <c r="Y355" i="1"/>
  <c r="BE12" i="1"/>
  <c r="G32" i="8" s="1"/>
  <c r="G97" i="8" s="1"/>
  <c r="BD12" i="1"/>
  <c r="AV12" i="1"/>
  <c r="AR12" i="1"/>
  <c r="G14" i="8" s="1"/>
  <c r="AQ12" i="1"/>
  <c r="AN12" i="1"/>
  <c r="G31" i="8" s="1"/>
  <c r="E73" i="8"/>
  <c r="E33" i="8"/>
  <c r="E84" i="8"/>
  <c r="V326" i="1"/>
  <c r="V187" i="1"/>
  <c r="F78" i="8"/>
  <c r="U388" i="1"/>
  <c r="U404" i="1"/>
  <c r="O12" i="58" s="1"/>
  <c r="E85" i="8"/>
  <c r="E82" i="8"/>
  <c r="T406" i="1"/>
  <c r="V369" i="1"/>
  <c r="V289" i="1"/>
  <c r="F87" i="8"/>
  <c r="F89" i="8"/>
  <c r="Z274" i="1"/>
  <c r="AI274" i="1" s="1"/>
  <c r="AD274" i="1" s="1"/>
  <c r="E79" i="8"/>
  <c r="V356" i="1"/>
  <c r="V232" i="1"/>
  <c r="V272" i="1"/>
  <c r="X223" i="1"/>
  <c r="X270" i="1"/>
  <c r="X247" i="1"/>
  <c r="X154" i="1"/>
  <c r="X248" i="1"/>
  <c r="X269" i="1"/>
  <c r="X161" i="1"/>
  <c r="X285" i="1"/>
  <c r="X222" i="1"/>
  <c r="X246" i="1"/>
  <c r="X191" i="1"/>
  <c r="X219" i="1"/>
  <c r="X221" i="1"/>
  <c r="X216" i="1"/>
  <c r="X188" i="1"/>
  <c r="X217" i="1"/>
  <c r="X215" i="1"/>
  <c r="X294" i="1"/>
  <c r="X267" i="1"/>
  <c r="X192" i="1"/>
  <c r="X218" i="1"/>
  <c r="P28" i="58" l="1"/>
  <c r="O29" i="58"/>
  <c r="O30" i="58"/>
  <c r="O25" i="58"/>
  <c r="O24" i="58"/>
  <c r="W402" i="1"/>
  <c r="Q10" i="58" s="1"/>
  <c r="U406" i="1"/>
  <c r="AZ13" i="1"/>
  <c r="H22" i="8" s="1"/>
  <c r="V400" i="1"/>
  <c r="P7" i="58" s="1"/>
  <c r="AH365" i="1"/>
  <c r="AA365" i="1"/>
  <c r="AB365" i="1" s="1"/>
  <c r="W23" i="29"/>
  <c r="W22" i="1" s="1"/>
  <c r="E98" i="8"/>
  <c r="Y356" i="1"/>
  <c r="Z356" i="1"/>
  <c r="AI356" i="1" s="1"/>
  <c r="AD356" i="1" s="1"/>
  <c r="G13" i="8"/>
  <c r="W192" i="1"/>
  <c r="G85" i="8"/>
  <c r="T15" i="1"/>
  <c r="Y11" i="1"/>
  <c r="AX13" i="1"/>
  <c r="H20" i="8" s="1"/>
  <c r="AW13" i="1"/>
  <c r="AY13" i="1"/>
  <c r="H21" i="8" s="1"/>
  <c r="AR13" i="1"/>
  <c r="AQ13" i="1"/>
  <c r="H13" i="8" s="1"/>
  <c r="W368" i="1"/>
  <c r="U390" i="1"/>
  <c r="V386" i="1"/>
  <c r="V402" i="1"/>
  <c r="P10" i="58" s="1"/>
  <c r="G82" i="8"/>
  <c r="P22" i="58"/>
  <c r="Z357" i="1"/>
  <c r="AI357" i="1" s="1"/>
  <c r="AD357" i="1" s="1"/>
  <c r="Y357" i="1"/>
  <c r="G74" i="8"/>
  <c r="W267" i="1"/>
  <c r="W294" i="1"/>
  <c r="G89" i="8"/>
  <c r="N8" i="8"/>
  <c r="N29" i="8"/>
  <c r="N23" i="8"/>
  <c r="N22" i="8"/>
  <c r="N15" i="8"/>
  <c r="N17" i="8"/>
  <c r="N28" i="8"/>
  <c r="N13" i="8"/>
  <c r="N20" i="8"/>
  <c r="N21" i="8"/>
  <c r="N18" i="8"/>
  <c r="N12" i="8"/>
  <c r="N31" i="8"/>
  <c r="N14" i="8"/>
  <c r="N27" i="8"/>
  <c r="N11" i="8"/>
  <c r="N30" i="8"/>
  <c r="N25" i="8"/>
  <c r="N26" i="8"/>
  <c r="N24" i="8"/>
  <c r="N16" i="8"/>
  <c r="N32" i="8"/>
  <c r="X32" i="8" s="1"/>
  <c r="N9" i="8"/>
  <c r="N19" i="8"/>
  <c r="G79" i="8"/>
  <c r="AA355" i="1"/>
  <c r="AB355" i="1" s="1"/>
  <c r="AH355" i="1"/>
  <c r="O15" i="58"/>
  <c r="V389" i="1"/>
  <c r="P30" i="58" s="1"/>
  <c r="G23" i="8"/>
  <c r="BE13" i="1"/>
  <c r="H32" i="8" s="1"/>
  <c r="H97" i="8" s="1"/>
  <c r="BD13" i="1"/>
  <c r="H30" i="8" s="1"/>
  <c r="AM13" i="1"/>
  <c r="V23" i="1"/>
  <c r="AO13" i="1"/>
  <c r="AN13" i="1"/>
  <c r="H31" i="8" s="1"/>
  <c r="W403" i="1"/>
  <c r="Q11" i="58" s="1"/>
  <c r="W387" i="1"/>
  <c r="V384" i="1"/>
  <c r="G12" i="8"/>
  <c r="X29" i="1"/>
  <c r="X178" i="1"/>
  <c r="V385" i="1"/>
  <c r="G18" i="8"/>
  <c r="W358" i="1"/>
  <c r="W386" i="1"/>
  <c r="Q27" i="58" s="1"/>
  <c r="W286" i="1"/>
  <c r="F73" i="8"/>
  <c r="F98" i="8" s="1"/>
  <c r="F33" i="8"/>
  <c r="BB13" i="1"/>
  <c r="V404" i="1"/>
  <c r="P12" i="58" s="1"/>
  <c r="AT13" i="1"/>
  <c r="H16" i="8" s="1"/>
  <c r="AV13" i="1"/>
  <c r="H18" i="8" s="1"/>
  <c r="AL13" i="1"/>
  <c r="V388" i="1"/>
  <c r="W359" i="1"/>
  <c r="W219" i="1"/>
  <c r="W217" i="1"/>
  <c r="Y372" i="1"/>
  <c r="Z372" i="1"/>
  <c r="AI372" i="1" s="1"/>
  <c r="AD372" i="1" s="1"/>
  <c r="S16" i="1"/>
  <c r="G80" i="8"/>
  <c r="G76" i="8"/>
  <c r="G21" i="8"/>
  <c r="W161" i="1"/>
  <c r="W191" i="1"/>
  <c r="W216" i="1"/>
  <c r="V401" i="1"/>
  <c r="P8" i="58" s="1"/>
  <c r="X286" i="1"/>
  <c r="G96" i="8"/>
  <c r="G30" i="8"/>
  <c r="AA274" i="1"/>
  <c r="AH274" i="1"/>
  <c r="G84" i="8"/>
  <c r="AP13" i="1"/>
  <c r="H12" i="8" s="1"/>
  <c r="AU13" i="1"/>
  <c r="BA13" i="1"/>
  <c r="H23" i="8" s="1"/>
  <c r="BC13" i="1"/>
  <c r="AS13" i="1"/>
  <c r="H15" i="8" s="1"/>
  <c r="G16" i="8"/>
  <c r="G8" i="8"/>
  <c r="U12" i="1"/>
  <c r="BF12" i="1"/>
  <c r="O32" i="58" l="1"/>
  <c r="P29" i="58"/>
  <c r="Q28" i="58"/>
  <c r="P25" i="58"/>
  <c r="P27" i="58"/>
  <c r="AC356" i="1"/>
  <c r="T16" i="1"/>
  <c r="V406" i="1"/>
  <c r="AC357" i="1"/>
  <c r="W388" i="1"/>
  <c r="H88" i="8"/>
  <c r="W400" i="1"/>
  <c r="Q7" i="58" s="1"/>
  <c r="W384" i="1"/>
  <c r="H83" i="8"/>
  <c r="G83" i="8"/>
  <c r="AP14" i="1"/>
  <c r="AV14" i="1"/>
  <c r="AR14" i="1"/>
  <c r="I14" i="8" s="1"/>
  <c r="AQ14" i="1"/>
  <c r="W23" i="1"/>
  <c r="Y23" i="1" s="1"/>
  <c r="G77" i="8"/>
  <c r="H11" i="8"/>
  <c r="X97" i="8"/>
  <c r="AI32" i="8"/>
  <c r="B32" i="11" s="1"/>
  <c r="N90" i="8"/>
  <c r="X25" i="8"/>
  <c r="N79" i="8"/>
  <c r="X14" i="8"/>
  <c r="X21" i="8"/>
  <c r="N86" i="8"/>
  <c r="N82" i="8"/>
  <c r="X17" i="8"/>
  <c r="X29" i="8"/>
  <c r="N94" i="8"/>
  <c r="H78" i="8"/>
  <c r="H85" i="8"/>
  <c r="H87" i="8"/>
  <c r="Y12" i="1"/>
  <c r="U15" i="1"/>
  <c r="G81" i="8"/>
  <c r="H17" i="8"/>
  <c r="AA372" i="1"/>
  <c r="AH372" i="1"/>
  <c r="Z359" i="1"/>
  <c r="AI359" i="1" s="1"/>
  <c r="AD359" i="1" s="1"/>
  <c r="Y359" i="1"/>
  <c r="H81" i="8"/>
  <c r="O23" i="8"/>
  <c r="O31" i="8"/>
  <c r="O9" i="8"/>
  <c r="O16" i="8"/>
  <c r="O30" i="8"/>
  <c r="O13" i="8"/>
  <c r="O15" i="8"/>
  <c r="O32" i="8"/>
  <c r="Y32" i="8" s="1"/>
  <c r="O28" i="8"/>
  <c r="O29" i="8"/>
  <c r="O20" i="8"/>
  <c r="O24" i="8"/>
  <c r="O22" i="8"/>
  <c r="O19" i="8"/>
  <c r="O8" i="8"/>
  <c r="O26" i="8"/>
  <c r="O14" i="8"/>
  <c r="O25" i="8"/>
  <c r="O21" i="8"/>
  <c r="O12" i="8"/>
  <c r="O18" i="8"/>
  <c r="O11" i="8"/>
  <c r="O27" i="8"/>
  <c r="O17" i="8"/>
  <c r="AX14" i="1"/>
  <c r="AW14" i="1"/>
  <c r="I19" i="8" s="1"/>
  <c r="AM14" i="1"/>
  <c r="I9" i="8" s="1"/>
  <c r="AL14" i="1"/>
  <c r="AZ14" i="1"/>
  <c r="N81" i="8"/>
  <c r="X16" i="8"/>
  <c r="N95" i="8"/>
  <c r="X30" i="8"/>
  <c r="N96" i="8"/>
  <c r="X31" i="8"/>
  <c r="N85" i="8"/>
  <c r="X20" i="8"/>
  <c r="N80" i="8"/>
  <c r="X15" i="8"/>
  <c r="W405" i="1"/>
  <c r="Q13" i="58" s="1"/>
  <c r="H14" i="8"/>
  <c r="G73" i="8"/>
  <c r="G33" i="8"/>
  <c r="H80" i="8"/>
  <c r="H77" i="8"/>
  <c r="G95" i="8"/>
  <c r="G86" i="8"/>
  <c r="BE14" i="1"/>
  <c r="BD14" i="1"/>
  <c r="AT14" i="1"/>
  <c r="AS14" i="1"/>
  <c r="I15" i="8" s="1"/>
  <c r="AO14" i="1"/>
  <c r="I11" i="8" s="1"/>
  <c r="AN14" i="1"/>
  <c r="V390" i="1"/>
  <c r="H9" i="8"/>
  <c r="G88" i="8"/>
  <c r="N84" i="8"/>
  <c r="X19" i="8"/>
  <c r="N89" i="8"/>
  <c r="X24" i="8"/>
  <c r="N76" i="8"/>
  <c r="X11" i="8"/>
  <c r="N77" i="8"/>
  <c r="X12" i="8"/>
  <c r="N78" i="8"/>
  <c r="X13" i="8"/>
  <c r="N87" i="8"/>
  <c r="X22" i="8"/>
  <c r="N73" i="8"/>
  <c r="N33" i="8"/>
  <c r="X8" i="8"/>
  <c r="AH357" i="1"/>
  <c r="AA357" i="1"/>
  <c r="H86" i="8"/>
  <c r="H8" i="8"/>
  <c r="BF13" i="1"/>
  <c r="V13" i="1"/>
  <c r="H24" i="8"/>
  <c r="W385" i="1"/>
  <c r="Y358" i="1"/>
  <c r="W401" i="1"/>
  <c r="Q8" i="58" s="1"/>
  <c r="Z358" i="1"/>
  <c r="AI358" i="1" s="1"/>
  <c r="AD358" i="1" s="1"/>
  <c r="AY14" i="1"/>
  <c r="AU14" i="1"/>
  <c r="I17" i="8" s="1"/>
  <c r="BA14" i="1"/>
  <c r="BC14" i="1"/>
  <c r="BB14" i="1"/>
  <c r="I24" i="8" s="1"/>
  <c r="W404" i="1"/>
  <c r="Q12" i="58" s="1"/>
  <c r="W389" i="1"/>
  <c r="Q30" i="58" s="1"/>
  <c r="H96" i="8"/>
  <c r="H95" i="8"/>
  <c r="N74" i="8"/>
  <c r="X9" i="8"/>
  <c r="X26" i="8"/>
  <c r="N91" i="8"/>
  <c r="N92" i="8"/>
  <c r="X27" i="8"/>
  <c r="N83" i="8"/>
  <c r="X18" i="8"/>
  <c r="N93" i="8"/>
  <c r="X28" i="8"/>
  <c r="N88" i="8"/>
  <c r="X23" i="8"/>
  <c r="W397" i="1"/>
  <c r="Q5" i="58" s="1"/>
  <c r="W381" i="1"/>
  <c r="H19" i="8"/>
  <c r="G78" i="8"/>
  <c r="AH356" i="1"/>
  <c r="AA356" i="1"/>
  <c r="AB356" i="1" s="1"/>
  <c r="AC372" i="1"/>
  <c r="Q24" i="58" l="1"/>
  <c r="Q29" i="58"/>
  <c r="Q25" i="58"/>
  <c r="I18" i="8"/>
  <c r="I83" i="8" s="1"/>
  <c r="I23" i="8"/>
  <c r="I88" i="8" s="1"/>
  <c r="I12" i="8"/>
  <c r="I13" i="8"/>
  <c r="I78" i="8" s="1"/>
  <c r="AB357" i="1"/>
  <c r="AB372" i="1"/>
  <c r="W406" i="1"/>
  <c r="I89" i="8"/>
  <c r="I21" i="8"/>
  <c r="AH358" i="1"/>
  <c r="AA358" i="1"/>
  <c r="H89" i="8"/>
  <c r="H33" i="8"/>
  <c r="H73" i="8"/>
  <c r="X78" i="8"/>
  <c r="AI13" i="8"/>
  <c r="B13" i="11" s="1"/>
  <c r="X76" i="8"/>
  <c r="AI11" i="8"/>
  <c r="B11" i="11" s="1"/>
  <c r="X84" i="8"/>
  <c r="AI19" i="8"/>
  <c r="B19" i="11" s="1"/>
  <c r="I80" i="8"/>
  <c r="AI20" i="8"/>
  <c r="B20" i="11" s="1"/>
  <c r="X85" i="8"/>
  <c r="X95" i="8"/>
  <c r="AI30" i="8"/>
  <c r="B30" i="11" s="1"/>
  <c r="I8" i="8"/>
  <c r="BF14" i="1"/>
  <c r="W14" i="1"/>
  <c r="O76" i="8"/>
  <c r="Y11" i="8"/>
  <c r="O90" i="8"/>
  <c r="Y25" i="8"/>
  <c r="O84" i="8"/>
  <c r="Y19" i="8"/>
  <c r="O94" i="8"/>
  <c r="Y29" i="8"/>
  <c r="O78" i="8"/>
  <c r="Y13" i="8"/>
  <c r="O96" i="8"/>
  <c r="Y31" i="8"/>
  <c r="AA359" i="1"/>
  <c r="AH359" i="1"/>
  <c r="U16" i="1"/>
  <c r="AI17" i="8"/>
  <c r="B17" i="11" s="1"/>
  <c r="X82" i="8"/>
  <c r="AI14" i="8"/>
  <c r="B14" i="11" s="1"/>
  <c r="X79" i="8"/>
  <c r="I32" i="11"/>
  <c r="H84" i="8"/>
  <c r="AI23" i="8"/>
  <c r="B23" i="11" s="1"/>
  <c r="X88" i="8"/>
  <c r="X83" i="8"/>
  <c r="AI18" i="8"/>
  <c r="B18" i="11" s="1"/>
  <c r="N98" i="8"/>
  <c r="I16" i="8"/>
  <c r="P32" i="8"/>
  <c r="Z32" i="8" s="1"/>
  <c r="P30" i="8"/>
  <c r="P22" i="8"/>
  <c r="P23" i="8"/>
  <c r="P14" i="8"/>
  <c r="P25" i="8"/>
  <c r="P24" i="8"/>
  <c r="P20" i="8"/>
  <c r="P16" i="8"/>
  <c r="P15" i="8"/>
  <c r="P12" i="8"/>
  <c r="P21" i="8"/>
  <c r="P8" i="8"/>
  <c r="P9" i="8"/>
  <c r="P26" i="8"/>
  <c r="P28" i="8"/>
  <c r="P17" i="8"/>
  <c r="P19" i="8"/>
  <c r="P27" i="8"/>
  <c r="P13" i="8"/>
  <c r="P31" i="8"/>
  <c r="P29" i="8"/>
  <c r="P18" i="8"/>
  <c r="P11" i="8"/>
  <c r="I74" i="8"/>
  <c r="O83" i="8"/>
  <c r="Y18" i="8"/>
  <c r="O79" i="8"/>
  <c r="Y14" i="8"/>
  <c r="O87" i="8"/>
  <c r="Y22" i="8"/>
  <c r="O93" i="8"/>
  <c r="Y28" i="8"/>
  <c r="O95" i="8"/>
  <c r="Y30" i="8"/>
  <c r="O88" i="8"/>
  <c r="Y23" i="8"/>
  <c r="H82" i="8"/>
  <c r="H76" i="8"/>
  <c r="I79" i="8"/>
  <c r="AI26" i="8"/>
  <c r="B26" i="11" s="1"/>
  <c r="X91" i="8"/>
  <c r="V15" i="1"/>
  <c r="Y13" i="1"/>
  <c r="X87" i="8"/>
  <c r="AI22" i="8"/>
  <c r="B22" i="11" s="1"/>
  <c r="X77" i="8"/>
  <c r="AI12" i="8"/>
  <c r="B12" i="11" s="1"/>
  <c r="AI24" i="8"/>
  <c r="B24" i="11" s="1"/>
  <c r="X89" i="8"/>
  <c r="I31" i="8"/>
  <c r="I30" i="8"/>
  <c r="G98" i="8"/>
  <c r="H79" i="8"/>
  <c r="X80" i="8"/>
  <c r="AI15" i="8"/>
  <c r="B15" i="11" s="1"/>
  <c r="AI31" i="8"/>
  <c r="B31" i="11" s="1"/>
  <c r="X96" i="8"/>
  <c r="X81" i="8"/>
  <c r="AI16" i="8"/>
  <c r="B16" i="11" s="1"/>
  <c r="I84" i="8"/>
  <c r="O82" i="8"/>
  <c r="Y17" i="8"/>
  <c r="O77" i="8"/>
  <c r="Y12" i="8"/>
  <c r="Y26" i="8"/>
  <c r="O91" i="8"/>
  <c r="O89" i="8"/>
  <c r="Y24" i="8"/>
  <c r="Y97" i="8"/>
  <c r="AJ32" i="8"/>
  <c r="C32" i="11" s="1"/>
  <c r="J32" i="11" s="1"/>
  <c r="Q32" i="11" s="1"/>
  <c r="O81" i="8"/>
  <c r="Y16" i="8"/>
  <c r="AI25" i="8"/>
  <c r="B25" i="11" s="1"/>
  <c r="X90" i="8"/>
  <c r="W390" i="1"/>
  <c r="X93" i="8"/>
  <c r="AI28" i="8"/>
  <c r="B28" i="11" s="1"/>
  <c r="AI27" i="8"/>
  <c r="B27" i="11" s="1"/>
  <c r="X92" i="8"/>
  <c r="X74" i="8"/>
  <c r="AI9" i="8"/>
  <c r="B9" i="11" s="1"/>
  <c r="I82" i="8"/>
  <c r="X73" i="8"/>
  <c r="AI8" i="8"/>
  <c r="X33" i="8"/>
  <c r="H74" i="8"/>
  <c r="P24" i="58"/>
  <c r="P32" i="58" s="1"/>
  <c r="P15" i="58"/>
  <c r="I76" i="8"/>
  <c r="I32" i="8"/>
  <c r="I22" i="8"/>
  <c r="I20" i="8"/>
  <c r="Y27" i="8"/>
  <c r="O92" i="8"/>
  <c r="O86" i="8"/>
  <c r="Y21" i="8"/>
  <c r="O73" i="8"/>
  <c r="O33" i="8"/>
  <c r="Y8" i="8"/>
  <c r="O85" i="8"/>
  <c r="Y20" i="8"/>
  <c r="O80" i="8"/>
  <c r="Y15" i="8"/>
  <c r="O74" i="8"/>
  <c r="Y9" i="8"/>
  <c r="AI29" i="8"/>
  <c r="B29" i="11" s="1"/>
  <c r="X94" i="8"/>
  <c r="AI21" i="8"/>
  <c r="B21" i="11" s="1"/>
  <c r="X86" i="8"/>
  <c r="I77" i="8"/>
  <c r="AC359" i="1"/>
  <c r="AC358" i="1"/>
  <c r="AB358" i="1" s="1"/>
  <c r="AC274" i="1"/>
  <c r="AB274" i="1" s="1"/>
  <c r="AB359" i="1" l="1"/>
  <c r="V16" i="1"/>
  <c r="I97" i="8"/>
  <c r="I29" i="11"/>
  <c r="I9" i="11"/>
  <c r="I28" i="11"/>
  <c r="AJ26" i="8"/>
  <c r="C26" i="11" s="1"/>
  <c r="J26" i="11" s="1"/>
  <c r="Q26" i="11" s="1"/>
  <c r="Y91" i="8"/>
  <c r="I96" i="8"/>
  <c r="Y88" i="8"/>
  <c r="AJ23" i="8"/>
  <c r="C23" i="11" s="1"/>
  <c r="J23" i="11" s="1"/>
  <c r="Q23" i="11" s="1"/>
  <c r="AJ28" i="8"/>
  <c r="C28" i="11" s="1"/>
  <c r="J28" i="11" s="1"/>
  <c r="Q28" i="11" s="1"/>
  <c r="Y93" i="8"/>
  <c r="Y79" i="8"/>
  <c r="AJ14" i="8"/>
  <c r="C14" i="11" s="1"/>
  <c r="J14" i="11" s="1"/>
  <c r="Q14" i="11" s="1"/>
  <c r="P83" i="8"/>
  <c r="Z18" i="8"/>
  <c r="Z27" i="8"/>
  <c r="P92" i="8"/>
  <c r="P91" i="8"/>
  <c r="Z26" i="8"/>
  <c r="P77" i="8"/>
  <c r="Z12" i="8"/>
  <c r="P89" i="8"/>
  <c r="Z24" i="8"/>
  <c r="P87" i="8"/>
  <c r="Z22" i="8"/>
  <c r="I81" i="8"/>
  <c r="I18" i="11"/>
  <c r="I86" i="8"/>
  <c r="Y74" i="8"/>
  <c r="AJ9" i="8"/>
  <c r="C9" i="11" s="1"/>
  <c r="J9" i="11" s="1"/>
  <c r="Q9" i="11" s="1"/>
  <c r="AJ20" i="8"/>
  <c r="C20" i="11" s="1"/>
  <c r="J20" i="11" s="1"/>
  <c r="Q20" i="11" s="1"/>
  <c r="Y85" i="8"/>
  <c r="O98" i="8"/>
  <c r="Y92" i="8"/>
  <c r="AJ27" i="8"/>
  <c r="C27" i="11" s="1"/>
  <c r="J27" i="11" s="1"/>
  <c r="Q27" i="11" s="1"/>
  <c r="I87" i="8"/>
  <c r="B8" i="11"/>
  <c r="AI33" i="8"/>
  <c r="AJ16" i="8"/>
  <c r="C16" i="11" s="1"/>
  <c r="J16" i="11" s="1"/>
  <c r="Q16" i="11" s="1"/>
  <c r="Y81" i="8"/>
  <c r="Y89" i="8"/>
  <c r="AJ24" i="8"/>
  <c r="C24" i="11" s="1"/>
  <c r="J24" i="11" s="1"/>
  <c r="Q24" i="11" s="1"/>
  <c r="AJ12" i="8"/>
  <c r="C12" i="11" s="1"/>
  <c r="J12" i="11" s="1"/>
  <c r="Q12" i="11" s="1"/>
  <c r="Y77" i="8"/>
  <c r="I22" i="11"/>
  <c r="Z29" i="8"/>
  <c r="P94" i="8"/>
  <c r="P84" i="8"/>
  <c r="Z19" i="8"/>
  <c r="P74" i="8"/>
  <c r="Z9" i="8"/>
  <c r="P80" i="8"/>
  <c r="Z15" i="8"/>
  <c r="P90" i="8"/>
  <c r="Z25" i="8"/>
  <c r="P95" i="8"/>
  <c r="Z30" i="8"/>
  <c r="P32" i="11"/>
  <c r="I17" i="11"/>
  <c r="Y78" i="8"/>
  <c r="AJ13" i="8"/>
  <c r="C13" i="11" s="1"/>
  <c r="J13" i="11" s="1"/>
  <c r="Q13" i="11" s="1"/>
  <c r="AJ19" i="8"/>
  <c r="C19" i="11" s="1"/>
  <c r="J19" i="11" s="1"/>
  <c r="Q19" i="11" s="1"/>
  <c r="Y84" i="8"/>
  <c r="AJ11" i="8"/>
  <c r="C11" i="11" s="1"/>
  <c r="J11" i="11" s="1"/>
  <c r="Q11" i="11" s="1"/>
  <c r="Y76" i="8"/>
  <c r="I73" i="8"/>
  <c r="I33" i="8"/>
  <c r="I19" i="11"/>
  <c r="I13" i="11"/>
  <c r="H98" i="8"/>
  <c r="I21" i="11"/>
  <c r="AJ21" i="8"/>
  <c r="C21" i="11" s="1"/>
  <c r="J21" i="11" s="1"/>
  <c r="Q21" i="11" s="1"/>
  <c r="Y86" i="8"/>
  <c r="X98" i="8"/>
  <c r="I25" i="11"/>
  <c r="I31" i="11"/>
  <c r="I95" i="8"/>
  <c r="I24" i="11"/>
  <c r="I26" i="11"/>
  <c r="AJ30" i="8"/>
  <c r="C30" i="11" s="1"/>
  <c r="J30" i="11" s="1"/>
  <c r="Q30" i="11" s="1"/>
  <c r="Y95" i="8"/>
  <c r="AJ22" i="8"/>
  <c r="C22" i="11" s="1"/>
  <c r="J22" i="11" s="1"/>
  <c r="Q22" i="11" s="1"/>
  <c r="Y87" i="8"/>
  <c r="Y83" i="8"/>
  <c r="AJ18" i="8"/>
  <c r="C18" i="11" s="1"/>
  <c r="J18" i="11" s="1"/>
  <c r="Q18" i="11" s="1"/>
  <c r="P96" i="8"/>
  <c r="Z31" i="8"/>
  <c r="P82" i="8"/>
  <c r="Z17" i="8"/>
  <c r="P33" i="8"/>
  <c r="P73" i="8"/>
  <c r="Z8" i="8"/>
  <c r="P81" i="8"/>
  <c r="Z16" i="8"/>
  <c r="P79" i="8"/>
  <c r="Z14" i="8"/>
  <c r="AK32" i="8"/>
  <c r="D32" i="11" s="1"/>
  <c r="K32" i="11" s="1"/>
  <c r="R32" i="11" s="1"/>
  <c r="Z97" i="8"/>
  <c r="I20" i="11"/>
  <c r="Q32" i="8"/>
  <c r="AA32" i="8" s="1"/>
  <c r="Q24" i="8"/>
  <c r="Q16" i="8"/>
  <c r="Q28" i="8"/>
  <c r="Q26" i="8"/>
  <c r="Q31" i="8"/>
  <c r="Q29" i="8"/>
  <c r="Q15" i="8"/>
  <c r="Q19" i="8"/>
  <c r="Q13" i="8"/>
  <c r="Q21" i="8"/>
  <c r="Q12" i="8"/>
  <c r="Q25" i="8"/>
  <c r="Q22" i="8"/>
  <c r="Q27" i="8"/>
  <c r="Q14" i="8"/>
  <c r="Q8" i="8"/>
  <c r="Q20" i="8"/>
  <c r="Q30" i="8"/>
  <c r="Q9" i="8"/>
  <c r="Q23" i="8"/>
  <c r="Q18" i="8"/>
  <c r="Q17" i="8"/>
  <c r="Q11" i="8"/>
  <c r="Y80" i="8"/>
  <c r="AJ15" i="8"/>
  <c r="C15" i="11" s="1"/>
  <c r="J15" i="11" s="1"/>
  <c r="Q15" i="11" s="1"/>
  <c r="AJ8" i="8"/>
  <c r="Y33" i="8"/>
  <c r="Y73" i="8"/>
  <c r="I85" i="8"/>
  <c r="I27" i="11"/>
  <c r="Q22" i="58"/>
  <c r="Q32" i="58" s="1"/>
  <c r="Q15" i="58"/>
  <c r="AJ17" i="8"/>
  <c r="C17" i="11" s="1"/>
  <c r="J17" i="11" s="1"/>
  <c r="Q17" i="11" s="1"/>
  <c r="Y82" i="8"/>
  <c r="I16" i="11"/>
  <c r="I15" i="11"/>
  <c r="I12" i="11"/>
  <c r="P76" i="8"/>
  <c r="Z11" i="8"/>
  <c r="P78" i="8"/>
  <c r="Z13" i="8"/>
  <c r="P93" i="8"/>
  <c r="Z28" i="8"/>
  <c r="P86" i="8"/>
  <c r="Z21" i="8"/>
  <c r="P85" i="8"/>
  <c r="Z20" i="8"/>
  <c r="P88" i="8"/>
  <c r="Z23" i="8"/>
  <c r="I23" i="11"/>
  <c r="I14" i="11"/>
  <c r="AJ31" i="8"/>
  <c r="C31" i="11" s="1"/>
  <c r="J31" i="11" s="1"/>
  <c r="Q31" i="11" s="1"/>
  <c r="Y96" i="8"/>
  <c r="AJ29" i="8"/>
  <c r="C29" i="11" s="1"/>
  <c r="J29" i="11" s="1"/>
  <c r="Q29" i="11" s="1"/>
  <c r="Y94" i="8"/>
  <c r="Y90" i="8"/>
  <c r="AJ25" i="8"/>
  <c r="C25" i="11" s="1"/>
  <c r="J25" i="11" s="1"/>
  <c r="Q25" i="11" s="1"/>
  <c r="W15" i="1"/>
  <c r="Y14" i="1"/>
  <c r="I30" i="11"/>
  <c r="I11" i="11"/>
  <c r="W16" i="1" l="1"/>
  <c r="P11" i="11"/>
  <c r="P14" i="11"/>
  <c r="AK23" i="8"/>
  <c r="D23" i="11" s="1"/>
  <c r="Z88" i="8"/>
  <c r="Z86" i="8"/>
  <c r="AK21" i="8"/>
  <c r="D21" i="11" s="1"/>
  <c r="AK13" i="8"/>
  <c r="D13" i="11" s="1"/>
  <c r="Z78" i="8"/>
  <c r="P15" i="11"/>
  <c r="Y98" i="8"/>
  <c r="Q88" i="8"/>
  <c r="AA23" i="8"/>
  <c r="Q73" i="8"/>
  <c r="Q33" i="8"/>
  <c r="AA8" i="8"/>
  <c r="Q90" i="8"/>
  <c r="AA25" i="8"/>
  <c r="Q84" i="8"/>
  <c r="AA19" i="8"/>
  <c r="Q91" i="8"/>
  <c r="AA26" i="8"/>
  <c r="AL32" i="8"/>
  <c r="E32" i="11" s="1"/>
  <c r="L32" i="11" s="1"/>
  <c r="S32" i="11" s="1"/>
  <c r="AA97" i="8"/>
  <c r="AK16" i="8"/>
  <c r="D16" i="11" s="1"/>
  <c r="Z81" i="8"/>
  <c r="P26" i="11"/>
  <c r="P13" i="11"/>
  <c r="AK29" i="8"/>
  <c r="D29" i="11" s="1"/>
  <c r="K29" i="11" s="1"/>
  <c r="R29" i="11" s="1"/>
  <c r="Z94" i="8"/>
  <c r="AK27" i="8"/>
  <c r="D27" i="11" s="1"/>
  <c r="Z92" i="8"/>
  <c r="P28" i="11"/>
  <c r="P12" i="11"/>
  <c r="P27" i="11"/>
  <c r="Q76" i="8"/>
  <c r="AA11" i="8"/>
  <c r="Q74" i="8"/>
  <c r="AA9" i="8"/>
  <c r="Q79" i="8"/>
  <c r="AA14" i="8"/>
  <c r="Q77" i="8"/>
  <c r="AA12" i="8"/>
  <c r="Q80" i="8"/>
  <c r="AA15" i="8"/>
  <c r="AA28" i="8"/>
  <c r="Q93" i="8"/>
  <c r="P20" i="11"/>
  <c r="Z82" i="8"/>
  <c r="AK17" i="8"/>
  <c r="D17" i="11" s="1"/>
  <c r="K17" i="11" s="1"/>
  <c r="R17" i="11" s="1"/>
  <c r="P24" i="11"/>
  <c r="P25" i="11"/>
  <c r="P21" i="11"/>
  <c r="R32" i="8"/>
  <c r="AB32" i="8" s="1"/>
  <c r="R30" i="8"/>
  <c r="R18" i="8"/>
  <c r="R26" i="8"/>
  <c r="R21" i="8"/>
  <c r="R12" i="8"/>
  <c r="R22" i="8"/>
  <c r="R15" i="8"/>
  <c r="R25" i="8"/>
  <c r="R23" i="8"/>
  <c r="R16" i="8"/>
  <c r="R20" i="8"/>
  <c r="R9" i="8"/>
  <c r="R24" i="8"/>
  <c r="R14" i="8"/>
  <c r="R17" i="8"/>
  <c r="R27" i="8"/>
  <c r="R13" i="8"/>
  <c r="R8" i="8"/>
  <c r="R28" i="8"/>
  <c r="R11" i="8"/>
  <c r="R19" i="8"/>
  <c r="R31" i="8"/>
  <c r="R29" i="8"/>
  <c r="I34" i="8"/>
  <c r="P17" i="11"/>
  <c r="Z95" i="8"/>
  <c r="AK30" i="8"/>
  <c r="D30" i="11" s="1"/>
  <c r="AK15" i="8"/>
  <c r="D15" i="11" s="1"/>
  <c r="Z80" i="8"/>
  <c r="Z84" i="8"/>
  <c r="AK19" i="8"/>
  <c r="D19" i="11" s="1"/>
  <c r="K19" i="11" s="1"/>
  <c r="R19" i="11" s="1"/>
  <c r="AK24" i="8"/>
  <c r="D24" i="11" s="1"/>
  <c r="Z89" i="8"/>
  <c r="Z91" i="8"/>
  <c r="AK26" i="8"/>
  <c r="D26" i="11" s="1"/>
  <c r="Z83" i="8"/>
  <c r="AK18" i="8"/>
  <c r="D18" i="11" s="1"/>
  <c r="K18" i="11" s="1"/>
  <c r="R18" i="11" s="1"/>
  <c r="P30" i="11"/>
  <c r="P23" i="11"/>
  <c r="Z85" i="8"/>
  <c r="AK20" i="8"/>
  <c r="D20" i="11" s="1"/>
  <c r="AK28" i="8"/>
  <c r="D28" i="11" s="1"/>
  <c r="K28" i="11" s="1"/>
  <c r="R28" i="11" s="1"/>
  <c r="Z93" i="8"/>
  <c r="AK11" i="8"/>
  <c r="D11" i="11" s="1"/>
  <c r="Z76" i="8"/>
  <c r="AJ33" i="8"/>
  <c r="C8" i="11"/>
  <c r="Q82" i="8"/>
  <c r="AA17" i="8"/>
  <c r="Q95" i="8"/>
  <c r="AA30" i="8"/>
  <c r="AA27" i="8"/>
  <c r="Q92" i="8"/>
  <c r="Q86" i="8"/>
  <c r="AA21" i="8"/>
  <c r="AA29" i="8"/>
  <c r="Q94" i="8"/>
  <c r="Q81" i="8"/>
  <c r="AA16" i="8"/>
  <c r="Z79" i="8"/>
  <c r="AK14" i="8"/>
  <c r="D14" i="11" s="1"/>
  <c r="Z33" i="8"/>
  <c r="Z73" i="8"/>
  <c r="AK8" i="8"/>
  <c r="P31" i="11"/>
  <c r="P19" i="11"/>
  <c r="I98" i="8"/>
  <c r="P22" i="11"/>
  <c r="I8" i="11"/>
  <c r="B33" i="11"/>
  <c r="P9" i="11"/>
  <c r="P29" i="11"/>
  <c r="P16" i="11"/>
  <c r="Q83" i="8"/>
  <c r="AA18" i="8"/>
  <c r="Q85" i="8"/>
  <c r="AA20" i="8"/>
  <c r="Q87" i="8"/>
  <c r="AA22" i="8"/>
  <c r="Q78" i="8"/>
  <c r="AA13" i="8"/>
  <c r="Q96" i="8"/>
  <c r="AA31" i="8"/>
  <c r="Q89" i="8"/>
  <c r="AA24" i="8"/>
  <c r="I35" i="8"/>
  <c r="P98" i="8"/>
  <c r="Z96" i="8"/>
  <c r="AK31" i="8"/>
  <c r="D31" i="11" s="1"/>
  <c r="K31" i="11" s="1"/>
  <c r="R31" i="11" s="1"/>
  <c r="AK25" i="8"/>
  <c r="D25" i="11" s="1"/>
  <c r="K25" i="11" s="1"/>
  <c r="R25" i="11" s="1"/>
  <c r="Z90" i="8"/>
  <c r="Z74" i="8"/>
  <c r="AK9" i="8"/>
  <c r="D9" i="11" s="1"/>
  <c r="K9" i="11" s="1"/>
  <c r="R9" i="11" s="1"/>
  <c r="P18" i="11"/>
  <c r="AK22" i="8"/>
  <c r="D22" i="11" s="1"/>
  <c r="K22" i="11" s="1"/>
  <c r="R22" i="11" s="1"/>
  <c r="Z87" i="8"/>
  <c r="Z77" i="8"/>
  <c r="AK12" i="8"/>
  <c r="D12" i="11" s="1"/>
  <c r="Z98" i="8" l="1"/>
  <c r="AA81" i="8"/>
  <c r="AL16" i="8"/>
  <c r="E16" i="11" s="1"/>
  <c r="L16" i="11" s="1"/>
  <c r="S16" i="11" s="1"/>
  <c r="AA86" i="8"/>
  <c r="AL21" i="8"/>
  <c r="E21" i="11" s="1"/>
  <c r="L21" i="11" s="1"/>
  <c r="S21" i="11" s="1"/>
  <c r="AL30" i="8"/>
  <c r="E30" i="11" s="1"/>
  <c r="L30" i="11" s="1"/>
  <c r="S30" i="11" s="1"/>
  <c r="AA95" i="8"/>
  <c r="J8" i="11"/>
  <c r="C33" i="11"/>
  <c r="K20" i="11"/>
  <c r="K30" i="11"/>
  <c r="R76" i="8"/>
  <c r="AB11" i="8"/>
  <c r="AB27" i="8"/>
  <c r="R92" i="8"/>
  <c r="R74" i="8"/>
  <c r="AB9" i="8"/>
  <c r="AB25" i="8"/>
  <c r="R90" i="8"/>
  <c r="R86" i="8"/>
  <c r="AB21" i="8"/>
  <c r="AB97" i="8"/>
  <c r="AM32" i="8"/>
  <c r="F32" i="11" s="1"/>
  <c r="AA93" i="8"/>
  <c r="AL28" i="8"/>
  <c r="E28" i="11" s="1"/>
  <c r="AL19" i="8"/>
  <c r="E19" i="11" s="1"/>
  <c r="AA84" i="8"/>
  <c r="AL8" i="8"/>
  <c r="AA33" i="8"/>
  <c r="AA73" i="8"/>
  <c r="K12" i="11"/>
  <c r="AL31" i="8"/>
  <c r="E31" i="11" s="1"/>
  <c r="AA96" i="8"/>
  <c r="AA87" i="8"/>
  <c r="AL22" i="8"/>
  <c r="E22" i="11" s="1"/>
  <c r="L22" i="11" s="1"/>
  <c r="S22" i="11" s="1"/>
  <c r="AA83" i="8"/>
  <c r="AL18" i="8"/>
  <c r="E18" i="11" s="1"/>
  <c r="L18" i="11" s="1"/>
  <c r="I33" i="11"/>
  <c r="P8" i="11"/>
  <c r="K11" i="11"/>
  <c r="K24" i="11"/>
  <c r="R94" i="8"/>
  <c r="AB29" i="8"/>
  <c r="R93" i="8"/>
  <c r="AB28" i="8"/>
  <c r="R82" i="8"/>
  <c r="AB17" i="8"/>
  <c r="R85" i="8"/>
  <c r="AB20" i="8"/>
  <c r="R80" i="8"/>
  <c r="AB15" i="8"/>
  <c r="AB26" i="8"/>
  <c r="R91" i="8"/>
  <c r="AA80" i="8"/>
  <c r="AL15" i="8"/>
  <c r="E15" i="11" s="1"/>
  <c r="L15" i="11" s="1"/>
  <c r="S15" i="11" s="1"/>
  <c r="AA79" i="8"/>
  <c r="AL14" i="8"/>
  <c r="E14" i="11" s="1"/>
  <c r="L14" i="11" s="1"/>
  <c r="S14" i="11" s="1"/>
  <c r="AA76" i="8"/>
  <c r="AL11" i="8"/>
  <c r="E11" i="11" s="1"/>
  <c r="L11" i="11" s="1"/>
  <c r="S11" i="11" s="1"/>
  <c r="K13" i="11"/>
  <c r="K23" i="11"/>
  <c r="K14" i="11"/>
  <c r="AA82" i="8"/>
  <c r="AL17" i="8"/>
  <c r="E17" i="11" s="1"/>
  <c r="K26" i="11"/>
  <c r="R96" i="8"/>
  <c r="AB31" i="8"/>
  <c r="R73" i="8"/>
  <c r="R33" i="8"/>
  <c r="AB8" i="8"/>
  <c r="R79" i="8"/>
  <c r="AB14" i="8"/>
  <c r="R81" i="8"/>
  <c r="AB16" i="8"/>
  <c r="R87" i="8"/>
  <c r="AB22" i="8"/>
  <c r="R83" i="8"/>
  <c r="AB18" i="8"/>
  <c r="AA91" i="8"/>
  <c r="AL26" i="8"/>
  <c r="E26" i="11" s="1"/>
  <c r="L26" i="11" s="1"/>
  <c r="S26" i="11" s="1"/>
  <c r="AL25" i="8"/>
  <c r="E25" i="11" s="1"/>
  <c r="L25" i="11" s="1"/>
  <c r="S25" i="11" s="1"/>
  <c r="AA90" i="8"/>
  <c r="Q98" i="8"/>
  <c r="K21" i="11"/>
  <c r="AA89" i="8"/>
  <c r="AL24" i="8"/>
  <c r="E24" i="11" s="1"/>
  <c r="L24" i="11" s="1"/>
  <c r="S24" i="11" s="1"/>
  <c r="AL13" i="8"/>
  <c r="E13" i="11" s="1"/>
  <c r="L13" i="11" s="1"/>
  <c r="S13" i="11" s="1"/>
  <c r="AA78" i="8"/>
  <c r="AA85" i="8"/>
  <c r="AL20" i="8"/>
  <c r="E20" i="11" s="1"/>
  <c r="L20" i="11" s="1"/>
  <c r="S20" i="11" s="1"/>
  <c r="AK33" i="8"/>
  <c r="D8" i="11"/>
  <c r="AA94" i="8"/>
  <c r="AL29" i="8"/>
  <c r="E29" i="11" s="1"/>
  <c r="AL27" i="8"/>
  <c r="E27" i="11" s="1"/>
  <c r="L27" i="11" s="1"/>
  <c r="S27" i="11" s="1"/>
  <c r="AA92" i="8"/>
  <c r="K15" i="11"/>
  <c r="R84" i="8"/>
  <c r="AB19" i="8"/>
  <c r="R78" i="8"/>
  <c r="AB13" i="8"/>
  <c r="R89" i="8"/>
  <c r="AB24" i="8"/>
  <c r="R88" i="8"/>
  <c r="AB23" i="8"/>
  <c r="R77" i="8"/>
  <c r="AB12" i="8"/>
  <c r="R95" i="8"/>
  <c r="AB30" i="8"/>
  <c r="AA77" i="8"/>
  <c r="AL12" i="8"/>
  <c r="E12" i="11" s="1"/>
  <c r="L12" i="11" s="1"/>
  <c r="S12" i="11" s="1"/>
  <c r="AA74" i="8"/>
  <c r="AL9" i="8"/>
  <c r="E9" i="11" s="1"/>
  <c r="L9" i="11" s="1"/>
  <c r="S9" i="11" s="1"/>
  <c r="K27" i="11"/>
  <c r="K16" i="11"/>
  <c r="AL23" i="8"/>
  <c r="E23" i="11" s="1"/>
  <c r="L23" i="11" s="1"/>
  <c r="S23" i="11" s="1"/>
  <c r="AA88" i="8"/>
  <c r="R27" i="11" l="1"/>
  <c r="AB95" i="8"/>
  <c r="AM30" i="8"/>
  <c r="F30" i="11" s="1"/>
  <c r="AB88" i="8"/>
  <c r="AM23" i="8"/>
  <c r="F23" i="11" s="1"/>
  <c r="M23" i="11" s="1"/>
  <c r="T23" i="11" s="1"/>
  <c r="AB78" i="8"/>
  <c r="AM13" i="8"/>
  <c r="F13" i="11" s="1"/>
  <c r="M13" i="11" s="1"/>
  <c r="T13" i="11" s="1"/>
  <c r="K8" i="11"/>
  <c r="D33" i="11"/>
  <c r="R23" i="11"/>
  <c r="AB91" i="8"/>
  <c r="AM26" i="8"/>
  <c r="F26" i="11" s="1"/>
  <c r="R24" i="11"/>
  <c r="AB86" i="8"/>
  <c r="AM21" i="8"/>
  <c r="F21" i="11" s="1"/>
  <c r="AB74" i="8"/>
  <c r="AM9" i="8"/>
  <c r="F9" i="11" s="1"/>
  <c r="AB76" i="8"/>
  <c r="AM11" i="8"/>
  <c r="F11" i="11" s="1"/>
  <c r="M11" i="11" s="1"/>
  <c r="T11" i="11" s="1"/>
  <c r="AM22" i="8"/>
  <c r="F22" i="11" s="1"/>
  <c r="AB87" i="8"/>
  <c r="AM14" i="8"/>
  <c r="F14" i="11" s="1"/>
  <c r="AB79" i="8"/>
  <c r="R98" i="8"/>
  <c r="R14" i="11"/>
  <c r="AB80" i="8"/>
  <c r="AM15" i="8"/>
  <c r="F15" i="11" s="1"/>
  <c r="AM17" i="8"/>
  <c r="F17" i="11" s="1"/>
  <c r="M17" i="11" s="1"/>
  <c r="T17" i="11" s="1"/>
  <c r="AB82" i="8"/>
  <c r="AB94" i="8"/>
  <c r="AM29" i="8"/>
  <c r="F29" i="11" s="1"/>
  <c r="M29" i="11" s="1"/>
  <c r="T29" i="11" s="1"/>
  <c r="R11" i="11"/>
  <c r="P33" i="11"/>
  <c r="S18" i="11"/>
  <c r="E8" i="11"/>
  <c r="AL33" i="8"/>
  <c r="R20" i="11"/>
  <c r="R16" i="11"/>
  <c r="AM12" i="8"/>
  <c r="F12" i="11" s="1"/>
  <c r="M12" i="11" s="1"/>
  <c r="T12" i="11" s="1"/>
  <c r="AB77" i="8"/>
  <c r="AM24" i="8"/>
  <c r="F24" i="11" s="1"/>
  <c r="M24" i="11" s="1"/>
  <c r="T24" i="11" s="1"/>
  <c r="AB89" i="8"/>
  <c r="AB84" i="8"/>
  <c r="AM19" i="8"/>
  <c r="F19" i="11" s="1"/>
  <c r="M19" i="11" s="1"/>
  <c r="T19" i="11" s="1"/>
  <c r="R15" i="11"/>
  <c r="L29" i="11"/>
  <c r="AB96" i="8"/>
  <c r="AM31" i="8"/>
  <c r="F31" i="11" s="1"/>
  <c r="M31" i="11" s="1"/>
  <c r="T31" i="11" s="1"/>
  <c r="L17" i="11"/>
  <c r="R13" i="11"/>
  <c r="L31" i="11"/>
  <c r="R12" i="11"/>
  <c r="M32" i="11"/>
  <c r="G32" i="11"/>
  <c r="R21" i="11"/>
  <c r="AB83" i="8"/>
  <c r="AM18" i="8"/>
  <c r="F18" i="11" s="1"/>
  <c r="M18" i="11" s="1"/>
  <c r="T18" i="11" s="1"/>
  <c r="AM16" i="8"/>
  <c r="F16" i="11" s="1"/>
  <c r="AB81" i="8"/>
  <c r="AB33" i="8"/>
  <c r="AB34" i="8" s="1"/>
  <c r="AB73" i="8"/>
  <c r="AM8" i="8"/>
  <c r="R26" i="11"/>
  <c r="G23" i="11"/>
  <c r="AB85" i="8"/>
  <c r="AM20" i="8"/>
  <c r="F20" i="11" s="1"/>
  <c r="M20" i="11" s="1"/>
  <c r="T20" i="11" s="1"/>
  <c r="AM28" i="8"/>
  <c r="F28" i="11" s="1"/>
  <c r="M28" i="11" s="1"/>
  <c r="T28" i="11" s="1"/>
  <c r="AB93" i="8"/>
  <c r="AA98" i="8"/>
  <c r="L19" i="11"/>
  <c r="L28" i="11"/>
  <c r="AB90" i="8"/>
  <c r="AM25" i="8"/>
  <c r="F25" i="11" s="1"/>
  <c r="M25" i="11" s="1"/>
  <c r="AB92" i="8"/>
  <c r="AM27" i="8"/>
  <c r="F27" i="11" s="1"/>
  <c r="R30" i="11"/>
  <c r="J33" i="11"/>
  <c r="Q8" i="11"/>
  <c r="Q33" i="11" s="1"/>
  <c r="G29" i="11" l="1"/>
  <c r="G24" i="11"/>
  <c r="G17" i="11"/>
  <c r="G19" i="11"/>
  <c r="U12" i="11"/>
  <c r="U13" i="11"/>
  <c r="N13" i="11"/>
  <c r="N12" i="11"/>
  <c r="G28" i="11"/>
  <c r="N11" i="11"/>
  <c r="G13" i="11"/>
  <c r="U23" i="11"/>
  <c r="U11" i="11"/>
  <c r="S28" i="11"/>
  <c r="U28" i="11" s="1"/>
  <c r="N28" i="11"/>
  <c r="T32" i="11"/>
  <c r="U32" i="11" s="1"/>
  <c r="N32" i="11"/>
  <c r="S31" i="11"/>
  <c r="U31" i="11" s="1"/>
  <c r="N31" i="11"/>
  <c r="S17" i="11"/>
  <c r="U17" i="11" s="1"/>
  <c r="N17" i="11"/>
  <c r="U20" i="11"/>
  <c r="N18" i="11"/>
  <c r="G25" i="11"/>
  <c r="G11" i="11"/>
  <c r="M30" i="11"/>
  <c r="G30" i="11"/>
  <c r="T25" i="11"/>
  <c r="U25" i="11" s="1"/>
  <c r="N25" i="11"/>
  <c r="U18" i="11"/>
  <c r="M14" i="11"/>
  <c r="G14" i="11"/>
  <c r="M9" i="11"/>
  <c r="G9" i="11"/>
  <c r="G18" i="11"/>
  <c r="N24" i="11"/>
  <c r="S19" i="11"/>
  <c r="U19" i="11" s="1"/>
  <c r="N19" i="11"/>
  <c r="AM33" i="8"/>
  <c r="F8" i="11"/>
  <c r="M16" i="11"/>
  <c r="G16" i="11"/>
  <c r="S29" i="11"/>
  <c r="U29" i="11" s="1"/>
  <c r="N29" i="11"/>
  <c r="E33" i="11"/>
  <c r="L8" i="11"/>
  <c r="M15" i="11"/>
  <c r="G15" i="11"/>
  <c r="G20" i="11"/>
  <c r="U24" i="11"/>
  <c r="M27" i="11"/>
  <c r="G27" i="11"/>
  <c r="AB98" i="8"/>
  <c r="G31" i="11"/>
  <c r="N20" i="11"/>
  <c r="G12" i="11"/>
  <c r="M22" i="11"/>
  <c r="G22" i="11"/>
  <c r="M21" i="11"/>
  <c r="G21" i="11"/>
  <c r="M26" i="11"/>
  <c r="G26" i="11"/>
  <c r="N23" i="11"/>
  <c r="R8" i="11"/>
  <c r="R33" i="11" s="1"/>
  <c r="K33" i="11"/>
  <c r="T26" i="11" l="1"/>
  <c r="U26" i="11" s="1"/>
  <c r="N26" i="11"/>
  <c r="T22" i="11"/>
  <c r="U22" i="11" s="1"/>
  <c r="N22" i="11"/>
  <c r="T16" i="11"/>
  <c r="U16" i="11" s="1"/>
  <c r="N16" i="11"/>
  <c r="T9" i="11"/>
  <c r="U9" i="11" s="1"/>
  <c r="N9" i="11"/>
  <c r="T30" i="11"/>
  <c r="U30" i="11" s="1"/>
  <c r="N30" i="11"/>
  <c r="L33" i="11"/>
  <c r="S8" i="11"/>
  <c r="S33" i="11" s="1"/>
  <c r="M8" i="11"/>
  <c r="F33" i="11"/>
  <c r="T21" i="11"/>
  <c r="U21" i="11" s="1"/>
  <c r="N21" i="11"/>
  <c r="T27" i="11"/>
  <c r="U27" i="11" s="1"/>
  <c r="N27" i="11"/>
  <c r="T14" i="11"/>
  <c r="U14" i="11" s="1"/>
  <c r="N14" i="11"/>
  <c r="T15" i="11"/>
  <c r="U15" i="11" s="1"/>
  <c r="N15" i="11"/>
  <c r="G8" i="11"/>
  <c r="G33" i="11" s="1"/>
  <c r="M33" i="11" l="1"/>
  <c r="T8" i="11"/>
  <c r="T33" i="11" s="1"/>
  <c r="N8" i="11"/>
  <c r="N33" i="11" s="1"/>
  <c r="U8" i="11" l="1"/>
  <c r="U33" i="11" s="1"/>
  <c r="R271" i="1" l="1"/>
  <c r="R144" i="1"/>
  <c r="R63" i="1" l="1"/>
  <c r="R265" i="1"/>
  <c r="R121" i="1"/>
  <c r="R297" i="1"/>
  <c r="R191" i="1"/>
  <c r="R268" i="1"/>
  <c r="R263" i="1"/>
  <c r="R334" i="1"/>
  <c r="R70" i="1"/>
  <c r="R220" i="1"/>
  <c r="R234" i="1"/>
  <c r="R43" i="1"/>
  <c r="R117" i="1"/>
  <c r="R294" i="1"/>
  <c r="R131" i="1"/>
  <c r="R76" i="1"/>
  <c r="R219" i="1"/>
  <c r="R320" i="1"/>
  <c r="R173" i="1"/>
  <c r="R342" i="1"/>
  <c r="R264" i="1"/>
  <c r="R205" i="1"/>
  <c r="R119" i="1"/>
  <c r="R214" i="1"/>
  <c r="R79" i="1"/>
  <c r="R286" i="1"/>
  <c r="R217" i="1"/>
  <c r="R179" i="1"/>
  <c r="R139" i="1"/>
  <c r="R82" i="1"/>
  <c r="R216" i="1"/>
  <c r="R95" i="1"/>
  <c r="R213" i="1"/>
  <c r="R295" i="1"/>
  <c r="R44" i="1"/>
  <c r="R307" i="1"/>
  <c r="R242" i="1"/>
  <c r="R196" i="1"/>
  <c r="R248" i="1"/>
  <c r="R244" i="1"/>
  <c r="R77" i="1"/>
  <c r="R288" i="1"/>
  <c r="R218" i="1"/>
  <c r="R180" i="1"/>
  <c r="R35" i="1"/>
  <c r="R47" i="1"/>
  <c r="R300" i="1"/>
  <c r="R240" i="1"/>
  <c r="R194" i="1"/>
  <c r="R256" i="1"/>
  <c r="R331" i="1"/>
  <c r="R86" i="1"/>
  <c r="R272" i="1"/>
  <c r="R211" i="1"/>
  <c r="R146" i="1"/>
  <c r="R239" i="1"/>
  <c r="R45" i="1"/>
  <c r="R302" i="1"/>
  <c r="R156" i="1"/>
  <c r="R231" i="1"/>
  <c r="R59" i="1"/>
  <c r="R188" i="1"/>
  <c r="R367" i="1"/>
  <c r="R270" i="1"/>
  <c r="R210" i="1"/>
  <c r="R140" i="1"/>
  <c r="R162" i="1"/>
  <c r="R241" i="1"/>
  <c r="R348" i="1"/>
  <c r="R344" i="1"/>
  <c r="R207" i="1"/>
  <c r="R345" i="1"/>
  <c r="R206" i="1"/>
  <c r="R134" i="1"/>
  <c r="R52" i="1"/>
  <c r="R232" i="1"/>
  <c r="R125" i="1"/>
  <c r="R340" i="1"/>
  <c r="R204" i="1"/>
  <c r="R108" i="1"/>
  <c r="R290" i="1"/>
  <c r="R182" i="1"/>
  <c r="R246" i="1"/>
  <c r="R176" i="1"/>
  <c r="R133" i="1"/>
  <c r="R289" i="1"/>
  <c r="R181" i="1"/>
  <c r="Y144" i="1"/>
  <c r="Z144" i="1"/>
  <c r="AI144" i="1" s="1"/>
  <c r="AD144" i="1" s="1"/>
  <c r="Y271" i="1"/>
  <c r="Z271" i="1"/>
  <c r="AI271" i="1" s="1"/>
  <c r="AD271" i="1" s="1"/>
  <c r="R293" i="1"/>
  <c r="R187" i="1"/>
  <c r="R349" i="1"/>
  <c r="R209" i="1"/>
  <c r="R42" i="1"/>
  <c r="R69" i="1"/>
  <c r="R221" i="1"/>
  <c r="R183" i="1"/>
  <c r="R327" i="1"/>
  <c r="R203" i="1"/>
  <c r="R254" i="1"/>
  <c r="R165" i="1"/>
  <c r="R267" i="1"/>
  <c r="R201" i="1"/>
  <c r="R229" i="1"/>
  <c r="R303" i="1"/>
  <c r="R326" i="1"/>
  <c r="R253" i="1"/>
  <c r="R202" i="1"/>
  <c r="R104" i="1"/>
  <c r="R61" i="1"/>
  <c r="R65" i="1"/>
  <c r="R292" i="1"/>
  <c r="R222" i="1"/>
  <c r="R184" i="1"/>
  <c r="R122" i="1"/>
  <c r="R159" i="1"/>
  <c r="R318" i="1"/>
  <c r="R247" i="1"/>
  <c r="R199" i="1"/>
  <c r="R97" i="1"/>
  <c r="R170" i="1"/>
  <c r="R280" i="1"/>
  <c r="R198" i="1"/>
  <c r="R172" i="1"/>
  <c r="R149" i="1"/>
  <c r="R189" i="1"/>
  <c r="R83" i="1"/>
  <c r="R276" i="1"/>
  <c r="R215" i="1"/>
  <c r="R161" i="1"/>
  <c r="R107" i="1"/>
  <c r="R38" i="1"/>
  <c r="R322" i="1"/>
  <c r="R252" i="1"/>
  <c r="R200" i="1"/>
  <c r="R102" i="1"/>
  <c r="R284" i="1"/>
  <c r="R85" i="1"/>
  <c r="R273" i="1"/>
  <c r="R212" i="1"/>
  <c r="R154" i="1"/>
  <c r="R164" i="1"/>
  <c r="R50" i="1"/>
  <c r="R299" i="1"/>
  <c r="R237" i="1"/>
  <c r="R193" i="1"/>
  <c r="R185" i="1"/>
  <c r="R257" i="1"/>
  <c r="R84" i="1"/>
  <c r="R195" i="1"/>
  <c r="R57" i="1"/>
  <c r="R335" i="1"/>
  <c r="R266" i="1"/>
  <c r="R126" i="1"/>
  <c r="R51" i="1"/>
  <c r="R298" i="1"/>
  <c r="R235" i="1"/>
  <c r="R192" i="1"/>
  <c r="R228" i="1"/>
  <c r="R226" i="1"/>
  <c r="R186" i="1"/>
  <c r="R208" i="1"/>
  <c r="R347" i="1"/>
  <c r="R287" i="1"/>
  <c r="R62" i="1"/>
  <c r="R223" i="1"/>
  <c r="R197" i="1"/>
  <c r="R40" i="1"/>
  <c r="R269" i="1"/>
  <c r="R135" i="1"/>
  <c r="R291" i="1"/>
  <c r="R259" i="1"/>
  <c r="R350" i="1"/>
  <c r="R262" i="1"/>
  <c r="R105" i="1"/>
  <c r="R317" i="1"/>
  <c r="R275" i="1"/>
  <c r="R281" i="1"/>
  <c r="AC271" i="1" l="1"/>
  <c r="AC144" i="1"/>
  <c r="D76" i="21"/>
  <c r="F76" i="21" s="1"/>
  <c r="G76" i="21" s="1"/>
  <c r="Z281" i="1"/>
  <c r="AI281" i="1" s="1"/>
  <c r="AD281" i="1" s="1"/>
  <c r="AC281" i="1" s="1"/>
  <c r="Y281" i="1"/>
  <c r="Z317" i="1"/>
  <c r="AI317" i="1" s="1"/>
  <c r="AD317" i="1" s="1"/>
  <c r="Y317" i="1"/>
  <c r="Y262" i="1"/>
  <c r="Z262" i="1"/>
  <c r="AI262" i="1" s="1"/>
  <c r="AD262" i="1" s="1"/>
  <c r="Y259" i="1"/>
  <c r="Z259" i="1"/>
  <c r="AI259" i="1" s="1"/>
  <c r="AD259" i="1" s="1"/>
  <c r="D58" i="21"/>
  <c r="F58" i="21" s="1"/>
  <c r="G58" i="21" s="1"/>
  <c r="Y135" i="1"/>
  <c r="Z135" i="1"/>
  <c r="AI135" i="1" s="1"/>
  <c r="AD135" i="1" s="1"/>
  <c r="AC135" i="1" s="1"/>
  <c r="Y40" i="1"/>
  <c r="Z40" i="1"/>
  <c r="AI40" i="1" s="1"/>
  <c r="AD40" i="1" s="1"/>
  <c r="Y223" i="1"/>
  <c r="Z223" i="1"/>
  <c r="AI223" i="1" s="1"/>
  <c r="AD223" i="1" s="1"/>
  <c r="D77" i="21"/>
  <c r="F77" i="21" s="1"/>
  <c r="G77" i="21" s="1"/>
  <c r="Y287" i="1"/>
  <c r="Z287" i="1"/>
  <c r="AI287" i="1" s="1"/>
  <c r="AD287" i="1" s="1"/>
  <c r="AC287" i="1" s="1"/>
  <c r="Y208" i="1"/>
  <c r="Z208" i="1"/>
  <c r="AI208" i="1" s="1"/>
  <c r="AD208" i="1" s="1"/>
  <c r="Y226" i="1"/>
  <c r="Z226" i="1"/>
  <c r="AI226" i="1" s="1"/>
  <c r="AD226" i="1" s="1"/>
  <c r="Z192" i="1"/>
  <c r="AI192" i="1" s="1"/>
  <c r="AD192" i="1" s="1"/>
  <c r="Y192" i="1"/>
  <c r="Y298" i="1"/>
  <c r="Z298" i="1"/>
  <c r="AI298" i="1" s="1"/>
  <c r="AD298" i="1" s="1"/>
  <c r="Y126" i="1"/>
  <c r="Z126" i="1"/>
  <c r="AI126" i="1" s="1"/>
  <c r="AD126" i="1" s="1"/>
  <c r="Y335" i="1"/>
  <c r="Z335" i="1"/>
  <c r="AI335" i="1" s="1"/>
  <c r="AD335" i="1" s="1"/>
  <c r="Y195" i="1"/>
  <c r="Z195" i="1"/>
  <c r="AI195" i="1" s="1"/>
  <c r="AD195" i="1" s="1"/>
  <c r="Y257" i="1"/>
  <c r="Z257" i="1"/>
  <c r="AI257" i="1" s="1"/>
  <c r="AD257" i="1" s="1"/>
  <c r="Y193" i="1"/>
  <c r="Z193" i="1"/>
  <c r="AI193" i="1" s="1"/>
  <c r="AD193" i="1" s="1"/>
  <c r="Z299" i="1"/>
  <c r="AI299" i="1" s="1"/>
  <c r="AD299" i="1" s="1"/>
  <c r="Y299" i="1"/>
  <c r="Y164" i="1"/>
  <c r="Z164" i="1"/>
  <c r="AI164" i="1" s="1"/>
  <c r="AD164" i="1" s="1"/>
  <c r="Z212" i="1"/>
  <c r="AI212" i="1" s="1"/>
  <c r="AD212" i="1" s="1"/>
  <c r="Y212" i="1"/>
  <c r="D42" i="21"/>
  <c r="F42" i="21" s="1"/>
  <c r="G42" i="21" s="1"/>
  <c r="Y85" i="1"/>
  <c r="Z85" i="1"/>
  <c r="AI85" i="1" s="1"/>
  <c r="AD85" i="1" s="1"/>
  <c r="AC85" i="1" s="1"/>
  <c r="D48" i="21"/>
  <c r="F48" i="21" s="1"/>
  <c r="G48" i="21" s="1"/>
  <c r="Z102" i="1"/>
  <c r="AI102" i="1" s="1"/>
  <c r="AD102" i="1" s="1"/>
  <c r="AC102" i="1" s="1"/>
  <c r="Y102" i="1"/>
  <c r="Y252" i="1"/>
  <c r="Z252" i="1"/>
  <c r="AI252" i="1" s="1"/>
  <c r="AD252" i="1" s="1"/>
  <c r="Y38" i="1"/>
  <c r="Z38" i="1"/>
  <c r="AI38" i="1" s="1"/>
  <c r="AD38" i="1" s="1"/>
  <c r="Z161" i="1"/>
  <c r="AI161" i="1" s="1"/>
  <c r="AD161" i="1" s="1"/>
  <c r="Y161" i="1"/>
  <c r="Y276" i="1"/>
  <c r="Z276" i="1"/>
  <c r="AI276" i="1" s="1"/>
  <c r="AD276" i="1" s="1"/>
  <c r="Z189" i="1"/>
  <c r="AI189" i="1" s="1"/>
  <c r="AD189" i="1" s="1"/>
  <c r="Y189" i="1"/>
  <c r="Y172" i="1"/>
  <c r="Z172" i="1"/>
  <c r="AI172" i="1" s="1"/>
  <c r="AD172" i="1" s="1"/>
  <c r="Y280" i="1"/>
  <c r="Z280" i="1"/>
  <c r="AI280" i="1" s="1"/>
  <c r="AD280" i="1" s="1"/>
  <c r="Y97" i="1"/>
  <c r="Z97" i="1"/>
  <c r="AI97" i="1" s="1"/>
  <c r="AD97" i="1" s="1"/>
  <c r="Y247" i="1"/>
  <c r="Z247" i="1"/>
  <c r="AI247" i="1" s="1"/>
  <c r="AD247" i="1" s="1"/>
  <c r="Z159" i="1"/>
  <c r="AI159" i="1" s="1"/>
  <c r="AD159" i="1" s="1"/>
  <c r="Y159" i="1"/>
  <c r="Z184" i="1"/>
  <c r="AI184" i="1" s="1"/>
  <c r="AD184" i="1" s="1"/>
  <c r="Y184" i="1"/>
  <c r="Y292" i="1"/>
  <c r="Z292" i="1"/>
  <c r="AI292" i="1" s="1"/>
  <c r="AD292" i="1" s="1"/>
  <c r="Z61" i="1"/>
  <c r="AI61" i="1" s="1"/>
  <c r="AD61" i="1" s="1"/>
  <c r="Y61" i="1"/>
  <c r="Z202" i="1"/>
  <c r="AI202" i="1" s="1"/>
  <c r="AD202" i="1" s="1"/>
  <c r="Y202" i="1"/>
  <c r="Z326" i="1"/>
  <c r="AI326" i="1" s="1"/>
  <c r="AD326" i="1" s="1"/>
  <c r="Y326" i="1"/>
  <c r="Y229" i="1"/>
  <c r="Z229" i="1"/>
  <c r="AI229" i="1" s="1"/>
  <c r="AD229" i="1" s="1"/>
  <c r="Y267" i="1"/>
  <c r="Z267" i="1"/>
  <c r="AI267" i="1" s="1"/>
  <c r="AD267" i="1" s="1"/>
  <c r="Z254" i="1"/>
  <c r="AI254" i="1" s="1"/>
  <c r="AD254" i="1" s="1"/>
  <c r="Y254" i="1"/>
  <c r="Z327" i="1"/>
  <c r="AI327" i="1" s="1"/>
  <c r="AD327" i="1" s="1"/>
  <c r="Y327" i="1"/>
  <c r="Y221" i="1"/>
  <c r="Z221" i="1"/>
  <c r="AI221" i="1" s="1"/>
  <c r="AD221" i="1" s="1"/>
  <c r="Y42" i="1"/>
  <c r="Z42" i="1"/>
  <c r="AI42" i="1" s="1"/>
  <c r="AD42" i="1" s="1"/>
  <c r="Y349" i="1"/>
  <c r="Z349" i="1"/>
  <c r="AI349" i="1" s="1"/>
  <c r="AD349" i="1" s="1"/>
  <c r="Y293" i="1"/>
  <c r="Z293" i="1"/>
  <c r="AI293" i="1" s="1"/>
  <c r="AD293" i="1" s="1"/>
  <c r="AA144" i="1"/>
  <c r="AH144" i="1"/>
  <c r="Y289" i="1"/>
  <c r="Z289" i="1"/>
  <c r="AI289" i="1" s="1"/>
  <c r="AD289" i="1" s="1"/>
  <c r="Z176" i="1"/>
  <c r="AI176" i="1" s="1"/>
  <c r="AD176" i="1" s="1"/>
  <c r="Y176" i="1"/>
  <c r="Y182" i="1"/>
  <c r="Z182" i="1"/>
  <c r="AI182" i="1" s="1"/>
  <c r="AD182" i="1" s="1"/>
  <c r="Z108" i="1"/>
  <c r="AI108" i="1" s="1"/>
  <c r="AD108" i="1" s="1"/>
  <c r="Y108" i="1"/>
  <c r="Z340" i="1"/>
  <c r="AI340" i="1" s="1"/>
  <c r="AD340" i="1" s="1"/>
  <c r="Y340" i="1"/>
  <c r="Y232" i="1"/>
  <c r="Z232" i="1"/>
  <c r="AI232" i="1" s="1"/>
  <c r="AD232" i="1" s="1"/>
  <c r="Z134" i="1"/>
  <c r="AI134" i="1" s="1"/>
  <c r="AD134" i="1" s="1"/>
  <c r="Y134" i="1"/>
  <c r="Y345" i="1"/>
  <c r="Z345" i="1"/>
  <c r="AI345" i="1" s="1"/>
  <c r="AD345" i="1" s="1"/>
  <c r="Z344" i="1"/>
  <c r="AI344" i="1" s="1"/>
  <c r="AD344" i="1" s="1"/>
  <c r="Y344" i="1"/>
  <c r="Z241" i="1"/>
  <c r="AI241" i="1" s="1"/>
  <c r="AD241" i="1" s="1"/>
  <c r="Y241" i="1"/>
  <c r="Z140" i="1"/>
  <c r="AI140" i="1" s="1"/>
  <c r="AD140" i="1" s="1"/>
  <c r="Y140" i="1"/>
  <c r="Z270" i="1"/>
  <c r="AI270" i="1" s="1"/>
  <c r="AD270" i="1" s="1"/>
  <c r="Y270" i="1"/>
  <c r="Y188" i="1"/>
  <c r="Z188" i="1"/>
  <c r="AI188" i="1" s="1"/>
  <c r="AD188" i="1" s="1"/>
  <c r="Y231" i="1"/>
  <c r="Z231" i="1"/>
  <c r="AI231" i="1" s="1"/>
  <c r="AD231" i="1" s="1"/>
  <c r="Y302" i="1"/>
  <c r="Z302" i="1"/>
  <c r="AI302" i="1" s="1"/>
  <c r="AD302" i="1" s="1"/>
  <c r="Y239" i="1"/>
  <c r="Z239" i="1"/>
  <c r="AI239" i="1" s="1"/>
  <c r="AD239" i="1" s="1"/>
  <c r="Z211" i="1"/>
  <c r="AI211" i="1" s="1"/>
  <c r="AD211" i="1" s="1"/>
  <c r="Y211" i="1"/>
  <c r="Z86" i="1"/>
  <c r="AI86" i="1" s="1"/>
  <c r="AD86" i="1" s="1"/>
  <c r="Y86" i="1"/>
  <c r="Y256" i="1"/>
  <c r="Z256" i="1"/>
  <c r="AI256" i="1" s="1"/>
  <c r="AD256" i="1" s="1"/>
  <c r="Z240" i="1"/>
  <c r="AI240" i="1" s="1"/>
  <c r="AD240" i="1" s="1"/>
  <c r="Y240" i="1"/>
  <c r="D30" i="21"/>
  <c r="F30" i="21" s="1"/>
  <c r="G30" i="21" s="1"/>
  <c r="Z47" i="1"/>
  <c r="AI47" i="1" s="1"/>
  <c r="AD47" i="1" s="1"/>
  <c r="AC47" i="1" s="1"/>
  <c r="Y47" i="1"/>
  <c r="Z180" i="1"/>
  <c r="AI180" i="1" s="1"/>
  <c r="AD180" i="1" s="1"/>
  <c r="Y180" i="1"/>
  <c r="D74" i="21"/>
  <c r="F74" i="21" s="1"/>
  <c r="G74" i="21" s="1"/>
  <c r="Y288" i="1"/>
  <c r="Z288" i="1"/>
  <c r="AI288" i="1" s="1"/>
  <c r="AD288" i="1" s="1"/>
  <c r="AC288" i="1" s="1"/>
  <c r="Y244" i="1"/>
  <c r="Z244" i="1"/>
  <c r="AI244" i="1" s="1"/>
  <c r="AD244" i="1" s="1"/>
  <c r="Y196" i="1"/>
  <c r="Z196" i="1"/>
  <c r="AI196" i="1" s="1"/>
  <c r="AD196" i="1" s="1"/>
  <c r="Y307" i="1"/>
  <c r="Z307" i="1"/>
  <c r="AI307" i="1" s="1"/>
  <c r="AD307" i="1" s="1"/>
  <c r="Z295" i="1"/>
  <c r="AI295" i="1" s="1"/>
  <c r="AD295" i="1" s="1"/>
  <c r="Y295" i="1"/>
  <c r="Y95" i="1"/>
  <c r="Z95" i="1"/>
  <c r="AI95" i="1" s="1"/>
  <c r="AD95" i="1" s="1"/>
  <c r="Z82" i="1"/>
  <c r="AI82" i="1" s="1"/>
  <c r="AD82" i="1" s="1"/>
  <c r="Y82" i="1"/>
  <c r="Y179" i="1"/>
  <c r="Z179" i="1"/>
  <c r="AI179" i="1" s="1"/>
  <c r="AD179" i="1" s="1"/>
  <c r="Z286" i="1"/>
  <c r="AI286" i="1" s="1"/>
  <c r="AD286" i="1" s="1"/>
  <c r="Y286" i="1"/>
  <c r="Z214" i="1"/>
  <c r="AI214" i="1" s="1"/>
  <c r="AD214" i="1" s="1"/>
  <c r="Y214" i="1"/>
  <c r="Y205" i="1"/>
  <c r="Z205" i="1"/>
  <c r="AI205" i="1" s="1"/>
  <c r="AD205" i="1" s="1"/>
  <c r="Y342" i="1"/>
  <c r="Z342" i="1"/>
  <c r="AI342" i="1" s="1"/>
  <c r="AD342" i="1" s="1"/>
  <c r="Y320" i="1"/>
  <c r="Z320" i="1"/>
  <c r="AI320" i="1" s="1"/>
  <c r="AD320" i="1" s="1"/>
  <c r="Y76" i="1"/>
  <c r="Z76" i="1"/>
  <c r="AI76" i="1" s="1"/>
  <c r="AD76" i="1" s="1"/>
  <c r="Z294" i="1"/>
  <c r="AI294" i="1" s="1"/>
  <c r="AD294" i="1" s="1"/>
  <c r="Y294" i="1"/>
  <c r="Z43" i="1"/>
  <c r="AI43" i="1" s="1"/>
  <c r="AD43" i="1" s="1"/>
  <c r="Y43" i="1"/>
  <c r="Y220" i="1"/>
  <c r="Z220" i="1"/>
  <c r="AI220" i="1" s="1"/>
  <c r="AD220" i="1" s="1"/>
  <c r="Y334" i="1"/>
  <c r="Z334" i="1"/>
  <c r="AI334" i="1" s="1"/>
  <c r="AD334" i="1" s="1"/>
  <c r="Z268" i="1"/>
  <c r="AI268" i="1" s="1"/>
  <c r="AD268" i="1" s="1"/>
  <c r="Y268" i="1"/>
  <c r="Z297" i="1"/>
  <c r="AI297" i="1" s="1"/>
  <c r="AD297" i="1" s="1"/>
  <c r="Y297" i="1"/>
  <c r="Z265" i="1"/>
  <c r="AI265" i="1" s="1"/>
  <c r="AD265" i="1" s="1"/>
  <c r="Y265" i="1"/>
  <c r="Y63" i="1"/>
  <c r="Z63" i="1"/>
  <c r="AI63" i="1" s="1"/>
  <c r="AD63" i="1" s="1"/>
  <c r="Y275" i="1"/>
  <c r="Z275" i="1"/>
  <c r="AI275" i="1" s="1"/>
  <c r="AD275" i="1" s="1"/>
  <c r="Z105" i="1"/>
  <c r="AI105" i="1" s="1"/>
  <c r="AD105" i="1" s="1"/>
  <c r="Y105" i="1"/>
  <c r="Z350" i="1"/>
  <c r="AI350" i="1" s="1"/>
  <c r="AD350" i="1" s="1"/>
  <c r="Y350" i="1"/>
  <c r="Y291" i="1"/>
  <c r="Z291" i="1"/>
  <c r="AI291" i="1" s="1"/>
  <c r="AD291" i="1" s="1"/>
  <c r="Y269" i="1"/>
  <c r="Z269" i="1"/>
  <c r="AI269" i="1" s="1"/>
  <c r="AD269" i="1" s="1"/>
  <c r="Z197" i="1"/>
  <c r="AI197" i="1" s="1"/>
  <c r="AD197" i="1" s="1"/>
  <c r="Y197" i="1"/>
  <c r="Y62" i="1"/>
  <c r="Z62" i="1"/>
  <c r="AI62" i="1" s="1"/>
  <c r="AD62" i="1" s="1"/>
  <c r="Y347" i="1"/>
  <c r="Z347" i="1"/>
  <c r="AI347" i="1" s="1"/>
  <c r="AD347" i="1" s="1"/>
  <c r="Y186" i="1"/>
  <c r="Z186" i="1"/>
  <c r="AI186" i="1" s="1"/>
  <c r="AD186" i="1" s="1"/>
  <c r="Z228" i="1"/>
  <c r="AI228" i="1" s="1"/>
  <c r="AD228" i="1" s="1"/>
  <c r="Y228" i="1"/>
  <c r="Y235" i="1"/>
  <c r="Z235" i="1"/>
  <c r="AI235" i="1" s="1"/>
  <c r="AD235" i="1" s="1"/>
  <c r="Z51" i="1"/>
  <c r="AI51" i="1" s="1"/>
  <c r="AD51" i="1" s="1"/>
  <c r="Y51" i="1"/>
  <c r="Y266" i="1"/>
  <c r="Z266" i="1"/>
  <c r="AI266" i="1" s="1"/>
  <c r="AD266" i="1" s="1"/>
  <c r="Y57" i="1"/>
  <c r="Z57" i="1"/>
  <c r="AI57" i="1" s="1"/>
  <c r="AD57" i="1" s="1"/>
  <c r="D41" i="21"/>
  <c r="F41" i="21" s="1"/>
  <c r="G41" i="21" s="1"/>
  <c r="Z84" i="1"/>
  <c r="AI84" i="1" s="1"/>
  <c r="AD84" i="1" s="1"/>
  <c r="AC84" i="1" s="1"/>
  <c r="Y84" i="1"/>
  <c r="Z185" i="1"/>
  <c r="AI185" i="1" s="1"/>
  <c r="AD185" i="1" s="1"/>
  <c r="Y185" i="1"/>
  <c r="Z237" i="1"/>
  <c r="AI237" i="1" s="1"/>
  <c r="AD237" i="1" s="1"/>
  <c r="Y237" i="1"/>
  <c r="Y50" i="1"/>
  <c r="Z50" i="1"/>
  <c r="AI50" i="1" s="1"/>
  <c r="AD50" i="1" s="1"/>
  <c r="Y154" i="1"/>
  <c r="Z154" i="1"/>
  <c r="AI154" i="1" s="1"/>
  <c r="AD154" i="1" s="1"/>
  <c r="Z273" i="1"/>
  <c r="AI273" i="1" s="1"/>
  <c r="AD273" i="1" s="1"/>
  <c r="Y273" i="1"/>
  <c r="Y284" i="1"/>
  <c r="Z284" i="1"/>
  <c r="AI284" i="1" s="1"/>
  <c r="AD284" i="1" s="1"/>
  <c r="Y200" i="1"/>
  <c r="Z200" i="1"/>
  <c r="AI200" i="1" s="1"/>
  <c r="AD200" i="1" s="1"/>
  <c r="Y322" i="1"/>
  <c r="Z322" i="1"/>
  <c r="AI322" i="1" s="1"/>
  <c r="AD322" i="1" s="1"/>
  <c r="Z107" i="1"/>
  <c r="AI107" i="1" s="1"/>
  <c r="AD107" i="1" s="1"/>
  <c r="Y107" i="1"/>
  <c r="Z215" i="1"/>
  <c r="AI215" i="1" s="1"/>
  <c r="AD215" i="1" s="1"/>
  <c r="Y215" i="1"/>
  <c r="Y83" i="1"/>
  <c r="Z83" i="1"/>
  <c r="AI83" i="1" s="1"/>
  <c r="AD83" i="1" s="1"/>
  <c r="Z149" i="1"/>
  <c r="AI149" i="1" s="1"/>
  <c r="AD149" i="1" s="1"/>
  <c r="Y149" i="1"/>
  <c r="Y198" i="1"/>
  <c r="Z198" i="1"/>
  <c r="AI198" i="1" s="1"/>
  <c r="AD198" i="1" s="1"/>
  <c r="Z170" i="1"/>
  <c r="AI170" i="1" s="1"/>
  <c r="AD170" i="1" s="1"/>
  <c r="Y170" i="1"/>
  <c r="Y199" i="1"/>
  <c r="Z199" i="1"/>
  <c r="AI199" i="1" s="1"/>
  <c r="AD199" i="1" s="1"/>
  <c r="Z318" i="1"/>
  <c r="AI318" i="1" s="1"/>
  <c r="AD318" i="1" s="1"/>
  <c r="Y318" i="1"/>
  <c r="Y122" i="1"/>
  <c r="Z122" i="1"/>
  <c r="AI122" i="1" s="1"/>
  <c r="AD122" i="1" s="1"/>
  <c r="Y222" i="1"/>
  <c r="Z222" i="1"/>
  <c r="AI222" i="1" s="1"/>
  <c r="AD222" i="1" s="1"/>
  <c r="D36" i="21"/>
  <c r="F36" i="21" s="1"/>
  <c r="G36" i="21" s="1"/>
  <c r="Y65" i="1"/>
  <c r="Z65" i="1"/>
  <c r="AI65" i="1" s="1"/>
  <c r="AD65" i="1" s="1"/>
  <c r="AC65" i="1" s="1"/>
  <c r="Y104" i="1"/>
  <c r="Z104" i="1"/>
  <c r="AI104" i="1" s="1"/>
  <c r="AD104" i="1" s="1"/>
  <c r="Z253" i="1"/>
  <c r="AI253" i="1" s="1"/>
  <c r="AD253" i="1" s="1"/>
  <c r="Y253" i="1"/>
  <c r="Z303" i="1"/>
  <c r="AI303" i="1" s="1"/>
  <c r="AD303" i="1" s="1"/>
  <c r="Y303" i="1"/>
  <c r="Z201" i="1"/>
  <c r="AI201" i="1" s="1"/>
  <c r="AD201" i="1" s="1"/>
  <c r="Y201" i="1"/>
  <c r="Y165" i="1"/>
  <c r="Z165" i="1"/>
  <c r="AI165" i="1" s="1"/>
  <c r="AD165" i="1" s="1"/>
  <c r="Y203" i="1"/>
  <c r="Z203" i="1"/>
  <c r="AI203" i="1" s="1"/>
  <c r="AD203" i="1" s="1"/>
  <c r="Z183" i="1"/>
  <c r="AI183" i="1" s="1"/>
  <c r="AD183" i="1" s="1"/>
  <c r="Y183" i="1"/>
  <c r="Z69" i="1"/>
  <c r="AI69" i="1" s="1"/>
  <c r="AD69" i="1" s="1"/>
  <c r="Y69" i="1"/>
  <c r="Z209" i="1"/>
  <c r="AI209" i="1" s="1"/>
  <c r="AD209" i="1" s="1"/>
  <c r="Y209" i="1"/>
  <c r="Y187" i="1"/>
  <c r="Z187" i="1"/>
  <c r="AI187" i="1" s="1"/>
  <c r="AD187" i="1" s="1"/>
  <c r="AH271" i="1"/>
  <c r="AA271" i="1"/>
  <c r="Z181" i="1"/>
  <c r="AI181" i="1" s="1"/>
  <c r="AD181" i="1" s="1"/>
  <c r="Y181" i="1"/>
  <c r="Z133" i="1"/>
  <c r="AI133" i="1" s="1"/>
  <c r="AD133" i="1" s="1"/>
  <c r="Y133" i="1"/>
  <c r="Z246" i="1"/>
  <c r="AI246" i="1" s="1"/>
  <c r="AD246" i="1" s="1"/>
  <c r="Y246" i="1"/>
  <c r="Z290" i="1"/>
  <c r="AI290" i="1" s="1"/>
  <c r="AD290" i="1" s="1"/>
  <c r="Y290" i="1"/>
  <c r="Z204" i="1"/>
  <c r="AI204" i="1" s="1"/>
  <c r="AD204" i="1" s="1"/>
  <c r="Y204" i="1"/>
  <c r="Z125" i="1"/>
  <c r="AI125" i="1" s="1"/>
  <c r="AD125" i="1" s="1"/>
  <c r="Y125" i="1"/>
  <c r="Y52" i="1"/>
  <c r="Z52" i="1"/>
  <c r="AI52" i="1" s="1"/>
  <c r="AD52" i="1" s="1"/>
  <c r="Y206" i="1"/>
  <c r="Z206" i="1"/>
  <c r="AI206" i="1" s="1"/>
  <c r="AD206" i="1" s="1"/>
  <c r="Z207" i="1"/>
  <c r="AI207" i="1" s="1"/>
  <c r="AD207" i="1" s="1"/>
  <c r="Y207" i="1"/>
  <c r="Z348" i="1"/>
  <c r="AI348" i="1" s="1"/>
  <c r="AD348" i="1" s="1"/>
  <c r="Y348" i="1"/>
  <c r="Z162" i="1"/>
  <c r="AI162" i="1" s="1"/>
  <c r="AD162" i="1" s="1"/>
  <c r="Y162" i="1"/>
  <c r="Z210" i="1"/>
  <c r="AI210" i="1" s="1"/>
  <c r="AD210" i="1" s="1"/>
  <c r="Y210" i="1"/>
  <c r="Y367" i="1"/>
  <c r="Z367" i="1"/>
  <c r="AI367" i="1" s="1"/>
  <c r="AD367" i="1" s="1"/>
  <c r="Y59" i="1"/>
  <c r="Z59" i="1"/>
  <c r="AI59" i="1" s="1"/>
  <c r="AD59" i="1" s="1"/>
  <c r="D66" i="21"/>
  <c r="F66" i="21" s="1"/>
  <c r="G66" i="21" s="1"/>
  <c r="Y156" i="1"/>
  <c r="Z156" i="1"/>
  <c r="AI156" i="1" s="1"/>
  <c r="AD156" i="1" s="1"/>
  <c r="AC156" i="1" s="1"/>
  <c r="Y45" i="1"/>
  <c r="Z45" i="1"/>
  <c r="AI45" i="1" s="1"/>
  <c r="AD45" i="1" s="1"/>
  <c r="D62" i="21"/>
  <c r="F62" i="21" s="1"/>
  <c r="G62" i="21" s="1"/>
  <c r="Z146" i="1"/>
  <c r="AI146" i="1" s="1"/>
  <c r="AD146" i="1" s="1"/>
  <c r="AC146" i="1" s="1"/>
  <c r="Y146" i="1"/>
  <c r="Z272" i="1"/>
  <c r="AI272" i="1" s="1"/>
  <c r="AD272" i="1" s="1"/>
  <c r="Y272" i="1"/>
  <c r="Z331" i="1"/>
  <c r="AI331" i="1" s="1"/>
  <c r="AD331" i="1" s="1"/>
  <c r="Y331" i="1"/>
  <c r="Y194" i="1"/>
  <c r="Z194" i="1"/>
  <c r="AI194" i="1" s="1"/>
  <c r="AD194" i="1" s="1"/>
  <c r="Z300" i="1"/>
  <c r="AI300" i="1" s="1"/>
  <c r="AD300" i="1" s="1"/>
  <c r="Y300" i="1"/>
  <c r="D27" i="21"/>
  <c r="F27" i="21" s="1"/>
  <c r="G27" i="21" s="1"/>
  <c r="Z35" i="1"/>
  <c r="AI35" i="1" s="1"/>
  <c r="AD35" i="1" s="1"/>
  <c r="AC35" i="1" s="1"/>
  <c r="Y35" i="1"/>
  <c r="Y218" i="1"/>
  <c r="Z218" i="1"/>
  <c r="AI218" i="1" s="1"/>
  <c r="AD218" i="1" s="1"/>
  <c r="Z77" i="1"/>
  <c r="AI77" i="1" s="1"/>
  <c r="AD77" i="1" s="1"/>
  <c r="Y77" i="1"/>
  <c r="Z248" i="1"/>
  <c r="AI248" i="1" s="1"/>
  <c r="AD248" i="1" s="1"/>
  <c r="Y248" i="1"/>
  <c r="Y242" i="1"/>
  <c r="Z242" i="1"/>
  <c r="AI242" i="1" s="1"/>
  <c r="AD242" i="1" s="1"/>
  <c r="Y44" i="1"/>
  <c r="Z44" i="1"/>
  <c r="AI44" i="1" s="1"/>
  <c r="AD44" i="1" s="1"/>
  <c r="Y213" i="1"/>
  <c r="Z213" i="1"/>
  <c r="AI213" i="1" s="1"/>
  <c r="AD213" i="1" s="1"/>
  <c r="Y216" i="1"/>
  <c r="Z216" i="1"/>
  <c r="AI216" i="1" s="1"/>
  <c r="AD216" i="1" s="1"/>
  <c r="Y139" i="1"/>
  <c r="Z139" i="1"/>
  <c r="AI139" i="1" s="1"/>
  <c r="AD139" i="1" s="1"/>
  <c r="Z217" i="1"/>
  <c r="AI217" i="1" s="1"/>
  <c r="AD217" i="1" s="1"/>
  <c r="Y217" i="1"/>
  <c r="Y79" i="1"/>
  <c r="Z79" i="1"/>
  <c r="AI79" i="1" s="1"/>
  <c r="AD79" i="1" s="1"/>
  <c r="D51" i="21"/>
  <c r="F51" i="21" s="1"/>
  <c r="G51" i="21" s="1"/>
  <c r="Z119" i="1"/>
  <c r="AI119" i="1" s="1"/>
  <c r="AD119" i="1" s="1"/>
  <c r="AC119" i="1" s="1"/>
  <c r="Y119" i="1"/>
  <c r="Z264" i="1"/>
  <c r="AI264" i="1" s="1"/>
  <c r="AD264" i="1" s="1"/>
  <c r="Y264" i="1"/>
  <c r="Z173" i="1"/>
  <c r="AI173" i="1" s="1"/>
  <c r="AD173" i="1" s="1"/>
  <c r="Y173" i="1"/>
  <c r="Y219" i="1"/>
  <c r="Z219" i="1"/>
  <c r="AI219" i="1" s="1"/>
  <c r="AD219" i="1" s="1"/>
  <c r="D57" i="21"/>
  <c r="F57" i="21" s="1"/>
  <c r="G57" i="21" s="1"/>
  <c r="Y131" i="1"/>
  <c r="Z131" i="1"/>
  <c r="AI131" i="1" s="1"/>
  <c r="AD131" i="1" s="1"/>
  <c r="AC131" i="1" s="1"/>
  <c r="Z117" i="1"/>
  <c r="AI117" i="1" s="1"/>
  <c r="AD117" i="1" s="1"/>
  <c r="Y117" i="1"/>
  <c r="Y234" i="1"/>
  <c r="Z234" i="1"/>
  <c r="AI234" i="1" s="1"/>
  <c r="AD234" i="1" s="1"/>
  <c r="Y70" i="1"/>
  <c r="Z70" i="1"/>
  <c r="AI70" i="1" s="1"/>
  <c r="AD70" i="1" s="1"/>
  <c r="Y263" i="1"/>
  <c r="Z263" i="1"/>
  <c r="AI263" i="1" s="1"/>
  <c r="AD263" i="1" s="1"/>
  <c r="Y191" i="1"/>
  <c r="Z191" i="1"/>
  <c r="AI191" i="1" s="1"/>
  <c r="AD191" i="1" s="1"/>
  <c r="D52" i="21"/>
  <c r="F52" i="21" s="1"/>
  <c r="G52" i="21" s="1"/>
  <c r="Y121" i="1"/>
  <c r="Z121" i="1"/>
  <c r="AI121" i="1" s="1"/>
  <c r="AD121" i="1" s="1"/>
  <c r="AC121" i="1" s="1"/>
  <c r="AC247" i="1"/>
  <c r="AC294" i="1"/>
  <c r="AC43" i="1"/>
  <c r="AB43" i="1" s="1"/>
  <c r="AB271" i="1" l="1"/>
  <c r="AC320" i="1"/>
  <c r="AC59" i="1"/>
  <c r="AC86" i="1"/>
  <c r="AB86" i="1" s="1"/>
  <c r="AC184" i="1"/>
  <c r="AC194" i="1"/>
  <c r="AC50" i="1"/>
  <c r="AC45" i="1"/>
  <c r="AC62" i="1"/>
  <c r="AC97" i="1"/>
  <c r="AC253" i="1"/>
  <c r="AB144" i="1"/>
  <c r="AC77" i="1"/>
  <c r="AC162" i="1"/>
  <c r="AC82" i="1"/>
  <c r="AC173" i="1"/>
  <c r="AC69" i="1"/>
  <c r="AC350" i="1"/>
  <c r="AC83" i="1"/>
  <c r="AC44" i="1"/>
  <c r="AC61" i="1"/>
  <c r="AC284" i="1"/>
  <c r="AC322" i="1"/>
  <c r="AC40" i="1"/>
  <c r="AC140" i="1"/>
  <c r="AC326" i="1"/>
  <c r="AC270" i="1"/>
  <c r="AC266" i="1"/>
  <c r="AC108" i="1"/>
  <c r="AC367" i="1"/>
  <c r="AC212" i="1"/>
  <c r="AC318" i="1"/>
  <c r="AC214" i="1"/>
  <c r="AC232" i="1"/>
  <c r="AC344" i="1"/>
  <c r="AC299" i="1"/>
  <c r="AC240" i="1"/>
  <c r="AC262" i="1"/>
  <c r="AC217" i="1"/>
  <c r="AC104" i="1"/>
  <c r="AC226" i="1"/>
  <c r="AC57" i="1"/>
  <c r="AC347" i="1"/>
  <c r="AC280" i="1"/>
  <c r="AC334" i="1"/>
  <c r="AC206" i="1"/>
  <c r="AC302" i="1"/>
  <c r="R316" i="1"/>
  <c r="AA77" i="1"/>
  <c r="AB77" i="1" s="1"/>
  <c r="AH77" i="1"/>
  <c r="AA206" i="1"/>
  <c r="AH206" i="1"/>
  <c r="AH170" i="1"/>
  <c r="AA170" i="1"/>
  <c r="AA149" i="1"/>
  <c r="AH149" i="1"/>
  <c r="AA215" i="1"/>
  <c r="AH215" i="1"/>
  <c r="AA237" i="1"/>
  <c r="AH237" i="1"/>
  <c r="AA84" i="1"/>
  <c r="AB84" i="1" s="1"/>
  <c r="AH84" i="1"/>
  <c r="AA57" i="1"/>
  <c r="AH57" i="1"/>
  <c r="AH291" i="1"/>
  <c r="AA291" i="1"/>
  <c r="AH63" i="1"/>
  <c r="AA63" i="1"/>
  <c r="AH214" i="1"/>
  <c r="AA214" i="1"/>
  <c r="AH140" i="1"/>
  <c r="AA140" i="1"/>
  <c r="AH344" i="1"/>
  <c r="AA344" i="1"/>
  <c r="AH134" i="1"/>
  <c r="AA134" i="1"/>
  <c r="AA340" i="1"/>
  <c r="AH340" i="1"/>
  <c r="AA159" i="1"/>
  <c r="AH159" i="1"/>
  <c r="R26" i="1"/>
  <c r="AC195" i="1"/>
  <c r="AA191" i="1"/>
  <c r="AH191" i="1"/>
  <c r="AA70" i="1"/>
  <c r="AH70" i="1"/>
  <c r="AA234" i="1"/>
  <c r="AH234" i="1"/>
  <c r="AH131" i="1"/>
  <c r="AA131" i="1"/>
  <c r="AB131" i="1" s="1"/>
  <c r="AA173" i="1"/>
  <c r="AH173" i="1"/>
  <c r="AA119" i="1"/>
  <c r="AB119" i="1" s="1"/>
  <c r="AH119" i="1"/>
  <c r="AH79" i="1"/>
  <c r="AA79" i="1"/>
  <c r="AH139" i="1"/>
  <c r="AA139" i="1"/>
  <c r="AA213" i="1"/>
  <c r="AH213" i="1"/>
  <c r="AH242" i="1"/>
  <c r="AA242" i="1"/>
  <c r="AA272" i="1"/>
  <c r="AH272" i="1"/>
  <c r="AA156" i="1"/>
  <c r="AB156" i="1" s="1"/>
  <c r="AH156" i="1"/>
  <c r="AA162" i="1"/>
  <c r="AH162" i="1"/>
  <c r="AH207" i="1"/>
  <c r="AA207" i="1"/>
  <c r="AA204" i="1"/>
  <c r="AH204" i="1"/>
  <c r="AA246" i="1"/>
  <c r="AH246" i="1"/>
  <c r="AH181" i="1"/>
  <c r="AA181" i="1"/>
  <c r="AA69" i="1"/>
  <c r="AH69" i="1"/>
  <c r="AH201" i="1"/>
  <c r="AA201" i="1"/>
  <c r="AA253" i="1"/>
  <c r="AH253" i="1"/>
  <c r="AH222" i="1"/>
  <c r="AA222" i="1"/>
  <c r="AA322" i="1"/>
  <c r="AH322" i="1"/>
  <c r="AA284" i="1"/>
  <c r="AH284" i="1"/>
  <c r="AH154" i="1"/>
  <c r="AA154" i="1"/>
  <c r="AA350" i="1"/>
  <c r="AH350" i="1"/>
  <c r="R190" i="1"/>
  <c r="R277" i="1"/>
  <c r="R366" i="1"/>
  <c r="R93" i="1"/>
  <c r="R238" i="1"/>
  <c r="R41" i="1"/>
  <c r="AH334" i="1"/>
  <c r="AA334" i="1"/>
  <c r="AH76" i="1"/>
  <c r="AA76" i="1"/>
  <c r="AH342" i="1"/>
  <c r="AA342" i="1"/>
  <c r="AA179" i="1"/>
  <c r="AH179" i="1"/>
  <c r="AH95" i="1"/>
  <c r="AA95" i="1"/>
  <c r="AA307" i="1"/>
  <c r="AH307" i="1"/>
  <c r="AH244" i="1"/>
  <c r="AA244" i="1"/>
  <c r="AA180" i="1"/>
  <c r="AH180" i="1"/>
  <c r="AA256" i="1"/>
  <c r="AH256" i="1"/>
  <c r="AH302" i="1"/>
  <c r="AA302" i="1"/>
  <c r="AH188" i="1"/>
  <c r="AA188" i="1"/>
  <c r="AA182" i="1"/>
  <c r="AH182" i="1"/>
  <c r="AH289" i="1"/>
  <c r="AA289" i="1"/>
  <c r="AA293" i="1"/>
  <c r="AH293" i="1"/>
  <c r="AA42" i="1"/>
  <c r="AH42" i="1"/>
  <c r="AH221" i="1"/>
  <c r="AA221" i="1"/>
  <c r="AH229" i="1"/>
  <c r="AA229" i="1"/>
  <c r="AH292" i="1"/>
  <c r="AA292" i="1"/>
  <c r="AH97" i="1"/>
  <c r="AA97" i="1"/>
  <c r="AH172" i="1"/>
  <c r="AA172" i="1"/>
  <c r="AA276" i="1"/>
  <c r="AH276" i="1"/>
  <c r="AA38" i="1"/>
  <c r="AH38" i="1"/>
  <c r="AH164" i="1"/>
  <c r="AA164" i="1"/>
  <c r="AH193" i="1"/>
  <c r="AA193" i="1"/>
  <c r="AH195" i="1"/>
  <c r="AA195" i="1"/>
  <c r="AA126" i="1"/>
  <c r="AH126" i="1"/>
  <c r="AA208" i="1"/>
  <c r="AH208" i="1"/>
  <c r="AH259" i="1"/>
  <c r="AA259" i="1"/>
  <c r="R308" i="1"/>
  <c r="AH35" i="1"/>
  <c r="AA35" i="1"/>
  <c r="AB35" i="1" s="1"/>
  <c r="AH104" i="1"/>
  <c r="AA104" i="1"/>
  <c r="AH318" i="1"/>
  <c r="AA318" i="1"/>
  <c r="AH347" i="1"/>
  <c r="AA347" i="1"/>
  <c r="AH43" i="1"/>
  <c r="AA43" i="1"/>
  <c r="AA211" i="1"/>
  <c r="AH211" i="1"/>
  <c r="AA202" i="1"/>
  <c r="AH202" i="1"/>
  <c r="AA192" i="1"/>
  <c r="AH192" i="1"/>
  <c r="R368" i="1"/>
  <c r="AC276" i="1"/>
  <c r="AC79" i="1"/>
  <c r="AC222" i="1"/>
  <c r="AC76" i="1"/>
  <c r="AC38" i="1"/>
  <c r="AH121" i="1"/>
  <c r="AA121" i="1"/>
  <c r="AB121" i="1" s="1"/>
  <c r="AA117" i="1"/>
  <c r="AH117" i="1"/>
  <c r="AH217" i="1"/>
  <c r="AA217" i="1"/>
  <c r="AH248" i="1"/>
  <c r="AA248" i="1"/>
  <c r="AA194" i="1"/>
  <c r="AB194" i="1" s="1"/>
  <c r="AH194" i="1"/>
  <c r="AA367" i="1"/>
  <c r="AH367" i="1"/>
  <c r="AH52" i="1"/>
  <c r="AA52" i="1"/>
  <c r="AA187" i="1"/>
  <c r="AH187" i="1"/>
  <c r="AH203" i="1"/>
  <c r="AA203" i="1"/>
  <c r="AA65" i="1"/>
  <c r="AB65" i="1" s="1"/>
  <c r="AH65" i="1"/>
  <c r="AA107" i="1"/>
  <c r="AH107" i="1"/>
  <c r="AA273" i="1"/>
  <c r="AH273" i="1"/>
  <c r="AH185" i="1"/>
  <c r="AA185" i="1"/>
  <c r="AH266" i="1"/>
  <c r="AA266" i="1"/>
  <c r="AH235" i="1"/>
  <c r="AA235" i="1"/>
  <c r="AH186" i="1"/>
  <c r="AA186" i="1"/>
  <c r="AA62" i="1"/>
  <c r="AH62" i="1"/>
  <c r="AH269" i="1"/>
  <c r="AA269" i="1"/>
  <c r="AH275" i="1"/>
  <c r="AA275" i="1"/>
  <c r="AA265" i="1"/>
  <c r="AH265" i="1"/>
  <c r="AA268" i="1"/>
  <c r="AH268" i="1"/>
  <c r="AH294" i="1"/>
  <c r="AA294" i="1"/>
  <c r="AB294" i="1" s="1"/>
  <c r="AH286" i="1"/>
  <c r="AA286" i="1"/>
  <c r="AH82" i="1"/>
  <c r="AA82" i="1"/>
  <c r="AA295" i="1"/>
  <c r="AH295" i="1"/>
  <c r="AH240" i="1"/>
  <c r="AA240" i="1"/>
  <c r="AA86" i="1"/>
  <c r="AH86" i="1"/>
  <c r="AA270" i="1"/>
  <c r="AH270" i="1"/>
  <c r="AH241" i="1"/>
  <c r="AA241" i="1"/>
  <c r="AA108" i="1"/>
  <c r="AH108" i="1"/>
  <c r="AA176" i="1"/>
  <c r="AH176" i="1"/>
  <c r="AH327" i="1"/>
  <c r="AA327" i="1"/>
  <c r="AH326" i="1"/>
  <c r="AA326" i="1"/>
  <c r="AH61" i="1"/>
  <c r="AA61" i="1"/>
  <c r="AH184" i="1"/>
  <c r="AA184" i="1"/>
  <c r="AA189" i="1"/>
  <c r="AH189" i="1"/>
  <c r="AA161" i="1"/>
  <c r="AH161" i="1"/>
  <c r="AH212" i="1"/>
  <c r="AA212" i="1"/>
  <c r="AH299" i="1"/>
  <c r="AA299" i="1"/>
  <c r="AA223" i="1"/>
  <c r="AH223" i="1"/>
  <c r="AA135" i="1"/>
  <c r="AB135" i="1" s="1"/>
  <c r="AH135" i="1"/>
  <c r="AH281" i="1"/>
  <c r="AA281" i="1"/>
  <c r="AB281" i="1" s="1"/>
  <c r="R87" i="1"/>
  <c r="R100" i="1"/>
  <c r="R278" i="1"/>
  <c r="R167" i="1"/>
  <c r="AH219" i="1"/>
  <c r="AA219" i="1"/>
  <c r="AA59" i="1"/>
  <c r="AH59" i="1"/>
  <c r="AA165" i="1"/>
  <c r="AH165" i="1"/>
  <c r="AH297" i="1"/>
  <c r="AA297" i="1"/>
  <c r="AA254" i="1"/>
  <c r="AH254" i="1"/>
  <c r="AH102" i="1"/>
  <c r="AA102" i="1"/>
  <c r="AB102" i="1" s="1"/>
  <c r="AA85" i="1"/>
  <c r="AB85" i="1" s="1"/>
  <c r="AH85" i="1"/>
  <c r="AA40" i="1"/>
  <c r="AH40" i="1"/>
  <c r="AA317" i="1"/>
  <c r="AH317" i="1"/>
  <c r="R91" i="1"/>
  <c r="AC193" i="1"/>
  <c r="AC70" i="1"/>
  <c r="AC51" i="1"/>
  <c r="AC42" i="1"/>
  <c r="AC105" i="1"/>
  <c r="AC95" i="1"/>
  <c r="AC300" i="1"/>
  <c r="AC267" i="1"/>
  <c r="AC154" i="1"/>
  <c r="AB154" i="1" s="1"/>
  <c r="AC289" i="1"/>
  <c r="AC133" i="1"/>
  <c r="AA263" i="1"/>
  <c r="AH263" i="1"/>
  <c r="AH264" i="1"/>
  <c r="AA264" i="1"/>
  <c r="AA216" i="1"/>
  <c r="AH216" i="1"/>
  <c r="AA44" i="1"/>
  <c r="AH44" i="1"/>
  <c r="AA218" i="1"/>
  <c r="AH218" i="1"/>
  <c r="AH300" i="1"/>
  <c r="AA300" i="1"/>
  <c r="AA331" i="1"/>
  <c r="AH331" i="1"/>
  <c r="AA146" i="1"/>
  <c r="AB146" i="1" s="1"/>
  <c r="AH146" i="1"/>
  <c r="AH45" i="1"/>
  <c r="AA45" i="1"/>
  <c r="AA210" i="1"/>
  <c r="AH210" i="1"/>
  <c r="AA348" i="1"/>
  <c r="AH348" i="1"/>
  <c r="AA125" i="1"/>
  <c r="AH125" i="1"/>
  <c r="AA290" i="1"/>
  <c r="AH290" i="1"/>
  <c r="AA133" i="1"/>
  <c r="AH133" i="1"/>
  <c r="AA209" i="1"/>
  <c r="AH209" i="1"/>
  <c r="AH183" i="1"/>
  <c r="AA183" i="1"/>
  <c r="AH303" i="1"/>
  <c r="AA303" i="1"/>
  <c r="AH122" i="1"/>
  <c r="AA122" i="1"/>
  <c r="AA199" i="1"/>
  <c r="AH199" i="1"/>
  <c r="AA198" i="1"/>
  <c r="AH198" i="1"/>
  <c r="AA83" i="1"/>
  <c r="AH83" i="1"/>
  <c r="AA200" i="1"/>
  <c r="AH200" i="1"/>
  <c r="AH50" i="1"/>
  <c r="AA50" i="1"/>
  <c r="AH51" i="1"/>
  <c r="AA51" i="1"/>
  <c r="AH228" i="1"/>
  <c r="AA228" i="1"/>
  <c r="AA197" i="1"/>
  <c r="AH197" i="1"/>
  <c r="AA105" i="1"/>
  <c r="AH105" i="1"/>
  <c r="R283" i="1"/>
  <c r="R113" i="1"/>
  <c r="R330" i="1"/>
  <c r="R94" i="1"/>
  <c r="R279" i="1"/>
  <c r="R315" i="1"/>
  <c r="AA220" i="1"/>
  <c r="AH220" i="1"/>
  <c r="AA320" i="1"/>
  <c r="AH320" i="1"/>
  <c r="AA205" i="1"/>
  <c r="AH205" i="1"/>
  <c r="AA196" i="1"/>
  <c r="AH196" i="1"/>
  <c r="AH288" i="1"/>
  <c r="AA288" i="1"/>
  <c r="AB288" i="1" s="1"/>
  <c r="AH47" i="1"/>
  <c r="AA47" i="1"/>
  <c r="AB47" i="1" s="1"/>
  <c r="AA239" i="1"/>
  <c r="AH239" i="1"/>
  <c r="AA231" i="1"/>
  <c r="AH231" i="1"/>
  <c r="AH345" i="1"/>
  <c r="AA345" i="1"/>
  <c r="AA232" i="1"/>
  <c r="AH232" i="1"/>
  <c r="AH349" i="1"/>
  <c r="AA349" i="1"/>
  <c r="AH267" i="1"/>
  <c r="AA267" i="1"/>
  <c r="AA247" i="1"/>
  <c r="AB247" i="1" s="1"/>
  <c r="AH247" i="1"/>
  <c r="AH280" i="1"/>
  <c r="AA280" i="1"/>
  <c r="AA252" i="1"/>
  <c r="AH252" i="1"/>
  <c r="AH257" i="1"/>
  <c r="AA257" i="1"/>
  <c r="AH335" i="1"/>
  <c r="AA335" i="1"/>
  <c r="AA298" i="1"/>
  <c r="AH298" i="1"/>
  <c r="AH226" i="1"/>
  <c r="AA226" i="1"/>
  <c r="AA287" i="1"/>
  <c r="AB287" i="1" s="1"/>
  <c r="AH287" i="1"/>
  <c r="AA262" i="1"/>
  <c r="AH262" i="1"/>
  <c r="AC298" i="1"/>
  <c r="AC259" i="1"/>
  <c r="AC268" i="1"/>
  <c r="AC185" i="1"/>
  <c r="AC172" i="1"/>
  <c r="AC164" i="1"/>
  <c r="AC297" i="1"/>
  <c r="AC200" i="1"/>
  <c r="AC203" i="1"/>
  <c r="AC327" i="1"/>
  <c r="AC235" i="1"/>
  <c r="AC159" i="1"/>
  <c r="AC182" i="1"/>
  <c r="AC242" i="1"/>
  <c r="AC218" i="1"/>
  <c r="AC192" i="1"/>
  <c r="AC307" i="1"/>
  <c r="AC179" i="1"/>
  <c r="AC254" i="1"/>
  <c r="AC207" i="1"/>
  <c r="AC342" i="1"/>
  <c r="AC170" i="1"/>
  <c r="AC176" i="1"/>
  <c r="AC187" i="1"/>
  <c r="AC183" i="1"/>
  <c r="AC213" i="1"/>
  <c r="AC216" i="1"/>
  <c r="AC244" i="1"/>
  <c r="AC165" i="1"/>
  <c r="AC252" i="1"/>
  <c r="AC231" i="1"/>
  <c r="AC264" i="1"/>
  <c r="AC219" i="1"/>
  <c r="AC126" i="1"/>
  <c r="AC199" i="1"/>
  <c r="AC275" i="1"/>
  <c r="AC181" i="1"/>
  <c r="AC229" i="1"/>
  <c r="AC215" i="1"/>
  <c r="AC345" i="1"/>
  <c r="AC149" i="1"/>
  <c r="AC335" i="1"/>
  <c r="AC269" i="1"/>
  <c r="AC209" i="1"/>
  <c r="AC201" i="1"/>
  <c r="AC52" i="1"/>
  <c r="AB52" i="1" s="1"/>
  <c r="AC286" i="1"/>
  <c r="AC197" i="1"/>
  <c r="AC125" i="1"/>
  <c r="AC241" i="1"/>
  <c r="AC221" i="1"/>
  <c r="AC134" i="1"/>
  <c r="AC198" i="1"/>
  <c r="AC202" i="1"/>
  <c r="AC295" i="1"/>
  <c r="AC139" i="1"/>
  <c r="AC272" i="1"/>
  <c r="AC248" i="1"/>
  <c r="AC117" i="1"/>
  <c r="AC291" i="1"/>
  <c r="AC220" i="1"/>
  <c r="AC257" i="1"/>
  <c r="AC223" i="1"/>
  <c r="AC290" i="1"/>
  <c r="AC265" i="1"/>
  <c r="AC210" i="1"/>
  <c r="AC303" i="1"/>
  <c r="AC234" i="1"/>
  <c r="AC205" i="1"/>
  <c r="AC180" i="1"/>
  <c r="AC191" i="1"/>
  <c r="AC239" i="1"/>
  <c r="AC188" i="1"/>
  <c r="AC348" i="1"/>
  <c r="AC107" i="1"/>
  <c r="AC208" i="1"/>
  <c r="AC246" i="1"/>
  <c r="AC204" i="1"/>
  <c r="AC161" i="1"/>
  <c r="AC317" i="1"/>
  <c r="AC122" i="1"/>
  <c r="AC237" i="1"/>
  <c r="AC263" i="1"/>
  <c r="AC196" i="1"/>
  <c r="AC293" i="1"/>
  <c r="AC292" i="1"/>
  <c r="AC189" i="1"/>
  <c r="AC331" i="1"/>
  <c r="AC349" i="1"/>
  <c r="AC340" i="1"/>
  <c r="AC186" i="1"/>
  <c r="AC63" i="1"/>
  <c r="AB63" i="1" s="1"/>
  <c r="AC256" i="1"/>
  <c r="AC228" i="1"/>
  <c r="AC273" i="1"/>
  <c r="AC211" i="1"/>
  <c r="AC41" i="1"/>
  <c r="AB41" i="1" s="1"/>
  <c r="AB229" i="1" l="1"/>
  <c r="AB164" i="1"/>
  <c r="AB280" i="1"/>
  <c r="AB104" i="1"/>
  <c r="AB344" i="1"/>
  <c r="AB173" i="1"/>
  <c r="AB320" i="1"/>
  <c r="AB59" i="1"/>
  <c r="AB45" i="1"/>
  <c r="AB184" i="1"/>
  <c r="AB50" i="1"/>
  <c r="AB97" i="1"/>
  <c r="AB248" i="1"/>
  <c r="AB327" i="1"/>
  <c r="AB62" i="1"/>
  <c r="AB331" i="1"/>
  <c r="AB196" i="1"/>
  <c r="AB290" i="1"/>
  <c r="AB209" i="1"/>
  <c r="AB186" i="1"/>
  <c r="AB269" i="1"/>
  <c r="AB162" i="1"/>
  <c r="AB188" i="1"/>
  <c r="AB342" i="1"/>
  <c r="AB82" i="1"/>
  <c r="AB253" i="1"/>
  <c r="AB139" i="1"/>
  <c r="AB244" i="1"/>
  <c r="AB207" i="1"/>
  <c r="AB159" i="1"/>
  <c r="AB367" i="1"/>
  <c r="AB318" i="1"/>
  <c r="AB228" i="1"/>
  <c r="AB289" i="1"/>
  <c r="AB95" i="1"/>
  <c r="AB299" i="1"/>
  <c r="AB210" i="1"/>
  <c r="AB252" i="1"/>
  <c r="AB240" i="1"/>
  <c r="AB204" i="1"/>
  <c r="AB180" i="1"/>
  <c r="AB202" i="1"/>
  <c r="AB126" i="1"/>
  <c r="AB213" i="1"/>
  <c r="AB179" i="1"/>
  <c r="AB108" i="1"/>
  <c r="AB322" i="1"/>
  <c r="AB83" i="1"/>
  <c r="AB326" i="1"/>
  <c r="AB317" i="1"/>
  <c r="AB208" i="1"/>
  <c r="AB291" i="1"/>
  <c r="AB192" i="1"/>
  <c r="AB42" i="1"/>
  <c r="AB303" i="1"/>
  <c r="AB256" i="1"/>
  <c r="AB257" i="1"/>
  <c r="AB211" i="1"/>
  <c r="AB273" i="1"/>
  <c r="AB217" i="1"/>
  <c r="AB302" i="1"/>
  <c r="AB170" i="1"/>
  <c r="AB70" i="1"/>
  <c r="AB350" i="1"/>
  <c r="AB140" i="1"/>
  <c r="AB246" i="1"/>
  <c r="AB61" i="1"/>
  <c r="AB266" i="1"/>
  <c r="AB347" i="1"/>
  <c r="AB340" i="1"/>
  <c r="AB335" i="1"/>
  <c r="AB262" i="1"/>
  <c r="AB44" i="1"/>
  <c r="AB349" i="1"/>
  <c r="AB122" i="1"/>
  <c r="AB183" i="1"/>
  <c r="AB345" i="1"/>
  <c r="AB275" i="1"/>
  <c r="AB264" i="1"/>
  <c r="AB185" i="1"/>
  <c r="AB284" i="1"/>
  <c r="AB212" i="1"/>
  <c r="AB232" i="1"/>
  <c r="AB270" i="1"/>
  <c r="AB76" i="1"/>
  <c r="AB40" i="1"/>
  <c r="AB69" i="1"/>
  <c r="AB276" i="1"/>
  <c r="AB57" i="1"/>
  <c r="AB206" i="1"/>
  <c r="AB293" i="1"/>
  <c r="AB205" i="1"/>
  <c r="AB265" i="1"/>
  <c r="AB220" i="1"/>
  <c r="AB272" i="1"/>
  <c r="AB198" i="1"/>
  <c r="AB125" i="1"/>
  <c r="AB307" i="1"/>
  <c r="AB182" i="1"/>
  <c r="AB239" i="1"/>
  <c r="AB234" i="1"/>
  <c r="AB134" i="1"/>
  <c r="AB197" i="1"/>
  <c r="AB187" i="1"/>
  <c r="AB200" i="1"/>
  <c r="AB214" i="1"/>
  <c r="AB189" i="1"/>
  <c r="AB191" i="1"/>
  <c r="AB223" i="1"/>
  <c r="AB117" i="1"/>
  <c r="AB38" i="1"/>
  <c r="AB195" i="1"/>
  <c r="AB286" i="1"/>
  <c r="AB254" i="1"/>
  <c r="AB235" i="1"/>
  <c r="AB226" i="1"/>
  <c r="AB222" i="1"/>
  <c r="AB237" i="1"/>
  <c r="AB241" i="1"/>
  <c r="AB259" i="1"/>
  <c r="AB79" i="1"/>
  <c r="AB334" i="1"/>
  <c r="AB201" i="1"/>
  <c r="AB149" i="1"/>
  <c r="AB181" i="1"/>
  <c r="AB219" i="1"/>
  <c r="AB165" i="1"/>
  <c r="AB203" i="1"/>
  <c r="Y113" i="1"/>
  <c r="Z113" i="1"/>
  <c r="AI113" i="1" s="1"/>
  <c r="AD113" i="1" s="1"/>
  <c r="AB263" i="1"/>
  <c r="AB161" i="1"/>
  <c r="AB107" i="1"/>
  <c r="AB295" i="1"/>
  <c r="AB221" i="1"/>
  <c r="AB215" i="1"/>
  <c r="AB199" i="1"/>
  <c r="AB231" i="1"/>
  <c r="AB216" i="1"/>
  <c r="AB176" i="1"/>
  <c r="AB218" i="1"/>
  <c r="AB297" i="1"/>
  <c r="AB268" i="1"/>
  <c r="AB267" i="1"/>
  <c r="AB51" i="1"/>
  <c r="Y91" i="1"/>
  <c r="Z91" i="1"/>
  <c r="AI91" i="1" s="1"/>
  <c r="AD91" i="1" s="1"/>
  <c r="D26" i="21"/>
  <c r="F26" i="21" s="1"/>
  <c r="G26" i="21" s="1"/>
  <c r="Z368" i="1"/>
  <c r="AI368" i="1" s="1"/>
  <c r="AD368" i="1" s="1"/>
  <c r="AC368" i="1" s="1"/>
  <c r="Y368" i="1"/>
  <c r="Y41" i="1"/>
  <c r="Z41" i="1"/>
  <c r="AI41" i="1" s="1"/>
  <c r="AD41" i="1" s="1"/>
  <c r="D44" i="21"/>
  <c r="F44" i="21" s="1"/>
  <c r="G44" i="21" s="1"/>
  <c r="Y93" i="1"/>
  <c r="Z93" i="1"/>
  <c r="AI93" i="1" s="1"/>
  <c r="AD93" i="1" s="1"/>
  <c r="AC93" i="1" s="1"/>
  <c r="Y277" i="1"/>
  <c r="Z277" i="1"/>
  <c r="AI277" i="1" s="1"/>
  <c r="AD277" i="1" s="1"/>
  <c r="Z315" i="1"/>
  <c r="AI315" i="1" s="1"/>
  <c r="AD315" i="1" s="1"/>
  <c r="Y315" i="1"/>
  <c r="Y94" i="1"/>
  <c r="Z94" i="1"/>
  <c r="AI94" i="1" s="1"/>
  <c r="AD94" i="1" s="1"/>
  <c r="Z278" i="1"/>
  <c r="AI278" i="1" s="1"/>
  <c r="AD278" i="1" s="1"/>
  <c r="Y278" i="1"/>
  <c r="AB292" i="1"/>
  <c r="AB348" i="1"/>
  <c r="AB242" i="1"/>
  <c r="Z279" i="1"/>
  <c r="AI279" i="1" s="1"/>
  <c r="AD279" i="1" s="1"/>
  <c r="Y279" i="1"/>
  <c r="Y330" i="1"/>
  <c r="Z330" i="1"/>
  <c r="AI330" i="1" s="1"/>
  <c r="AD330" i="1" s="1"/>
  <c r="Z283" i="1"/>
  <c r="AI283" i="1" s="1"/>
  <c r="AD283" i="1" s="1"/>
  <c r="Y283" i="1"/>
  <c r="AB133" i="1"/>
  <c r="AB105" i="1"/>
  <c r="D75" i="21"/>
  <c r="F75" i="21" s="1"/>
  <c r="G75" i="21" s="1"/>
  <c r="Z167" i="1"/>
  <c r="AI167" i="1" s="1"/>
  <c r="AD167" i="1" s="1"/>
  <c r="AC167" i="1" s="1"/>
  <c r="Y167" i="1"/>
  <c r="Z100" i="1"/>
  <c r="AI100" i="1" s="1"/>
  <c r="AD100" i="1" s="1"/>
  <c r="Y100" i="1"/>
  <c r="Z308" i="1"/>
  <c r="AI308" i="1" s="1"/>
  <c r="AD308" i="1" s="1"/>
  <c r="Y308" i="1"/>
  <c r="D43" i="21"/>
  <c r="F43" i="21" s="1"/>
  <c r="G43" i="21" s="1"/>
  <c r="Y87" i="1"/>
  <c r="Z87" i="1"/>
  <c r="AI87" i="1" s="1"/>
  <c r="AD87" i="1" s="1"/>
  <c r="AC87" i="1" s="1"/>
  <c r="AB172" i="1"/>
  <c r="AB298" i="1"/>
  <c r="AB300" i="1"/>
  <c r="AB193" i="1"/>
  <c r="D71" i="21"/>
  <c r="F71" i="21" s="1"/>
  <c r="G71" i="21" s="1"/>
  <c r="Z238" i="1"/>
  <c r="AI238" i="1" s="1"/>
  <c r="AD238" i="1" s="1"/>
  <c r="AC238" i="1" s="1"/>
  <c r="Y238" i="1"/>
  <c r="Z366" i="1"/>
  <c r="AI366" i="1" s="1"/>
  <c r="AD366" i="1" s="1"/>
  <c r="Y366" i="1"/>
  <c r="Z190" i="1"/>
  <c r="AI190" i="1" s="1"/>
  <c r="AD190" i="1" s="1"/>
  <c r="Y190" i="1"/>
  <c r="D19" i="21"/>
  <c r="Z26" i="1"/>
  <c r="AI26" i="1" s="1"/>
  <c r="AD26" i="1" s="1"/>
  <c r="AC26" i="1" s="1"/>
  <c r="Y26" i="1"/>
  <c r="Y316" i="1"/>
  <c r="Z316" i="1"/>
  <c r="AI316" i="1" s="1"/>
  <c r="AD316" i="1" s="1"/>
  <c r="AC308" i="1" l="1"/>
  <c r="AC279" i="1"/>
  <c r="AC283" i="1"/>
  <c r="AC278" i="1"/>
  <c r="AC91" i="1"/>
  <c r="AC190" i="1"/>
  <c r="AA26" i="1"/>
  <c r="AB26" i="1" s="1"/>
  <c r="AH26" i="1"/>
  <c r="AH308" i="1"/>
  <c r="AA308" i="1"/>
  <c r="AH167" i="1"/>
  <c r="AA167" i="1"/>
  <c r="AB167" i="1" s="1"/>
  <c r="AA330" i="1"/>
  <c r="AH330" i="1"/>
  <c r="R114" i="1"/>
  <c r="F19" i="21"/>
  <c r="AH283" i="1"/>
  <c r="AA283" i="1"/>
  <c r="AA279" i="1"/>
  <c r="AH279" i="1"/>
  <c r="AH94" i="1"/>
  <c r="AA94" i="1"/>
  <c r="AA277" i="1"/>
  <c r="AH277" i="1"/>
  <c r="AC94" i="1"/>
  <c r="AH190" i="1"/>
  <c r="AA190" i="1"/>
  <c r="AH238" i="1"/>
  <c r="AA238" i="1"/>
  <c r="AB238" i="1" s="1"/>
  <c r="AA87" i="1"/>
  <c r="AB87" i="1" s="1"/>
  <c r="AH87" i="1"/>
  <c r="AH100" i="1"/>
  <c r="AA100" i="1"/>
  <c r="AA278" i="1"/>
  <c r="AH278" i="1"/>
  <c r="AA315" i="1"/>
  <c r="AH315" i="1"/>
  <c r="AH41" i="1"/>
  <c r="AA41" i="1"/>
  <c r="AH366" i="1"/>
  <c r="AA366" i="1"/>
  <c r="AH316" i="1"/>
  <c r="AA316" i="1"/>
  <c r="AA93" i="1"/>
  <c r="AB93" i="1" s="1"/>
  <c r="AH93" i="1"/>
  <c r="AA368" i="1"/>
  <c r="AB368" i="1" s="1"/>
  <c r="AH368" i="1"/>
  <c r="AH91" i="1"/>
  <c r="AA91" i="1"/>
  <c r="AA113" i="1"/>
  <c r="AH113" i="1"/>
  <c r="AC316" i="1"/>
  <c r="AC277" i="1"/>
  <c r="AC315" i="1"/>
  <c r="AC366" i="1"/>
  <c r="AC100" i="1"/>
  <c r="AC113" i="1"/>
  <c r="AC330" i="1"/>
  <c r="AB283" i="1" l="1"/>
  <c r="AB277" i="1"/>
  <c r="AB330" i="1"/>
  <c r="AB315" i="1"/>
  <c r="AB308" i="1"/>
  <c r="AB190" i="1"/>
  <c r="AB279" i="1"/>
  <c r="AB278" i="1"/>
  <c r="AB91" i="1"/>
  <c r="AB100" i="1"/>
  <c r="AB366" i="1"/>
  <c r="AB113" i="1"/>
  <c r="AB316" i="1"/>
  <c r="R314" i="1"/>
  <c r="R370" i="1"/>
  <c r="R371" i="1"/>
  <c r="AB94" i="1"/>
  <c r="G19" i="21"/>
  <c r="Y114" i="1"/>
  <c r="Z114" i="1"/>
  <c r="AI114" i="1" s="1"/>
  <c r="AD114" i="1" s="1"/>
  <c r="R361" i="1"/>
  <c r="Z371" i="1" l="1"/>
  <c r="AI371" i="1" s="1"/>
  <c r="AD371" i="1" s="1"/>
  <c r="Y371" i="1"/>
  <c r="Y314" i="1"/>
  <c r="Z314" i="1"/>
  <c r="AI314" i="1" s="1"/>
  <c r="AD314" i="1" s="1"/>
  <c r="R145" i="1"/>
  <c r="R319" i="1"/>
  <c r="R313" i="1"/>
  <c r="R80" i="1"/>
  <c r="R39" i="1"/>
  <c r="R71" i="1"/>
  <c r="R66" i="1"/>
  <c r="R49" i="1"/>
  <c r="R67" i="1"/>
  <c r="R177" i="1"/>
  <c r="R138" i="1"/>
  <c r="R33" i="1"/>
  <c r="R169" i="1"/>
  <c r="R30" i="1"/>
  <c r="R261" i="1"/>
  <c r="R321" i="1"/>
  <c r="R337" i="1"/>
  <c r="R332" i="1"/>
  <c r="R72" i="1"/>
  <c r="R92" i="1"/>
  <c r="R329" i="1"/>
  <c r="R75" i="1"/>
  <c r="R346" i="1"/>
  <c r="R312" i="1"/>
  <c r="R143" i="1"/>
  <c r="R90" i="1"/>
  <c r="R151" i="1"/>
  <c r="R48" i="1"/>
  <c r="R160" i="1"/>
  <c r="R142" i="1"/>
  <c r="R236" i="1"/>
  <c r="R68" i="1"/>
  <c r="R369" i="1"/>
  <c r="Y361" i="1"/>
  <c r="Z361" i="1"/>
  <c r="AI361" i="1" s="1"/>
  <c r="AD361" i="1" s="1"/>
  <c r="Z370" i="1"/>
  <c r="AI370" i="1" s="1"/>
  <c r="AD370" i="1" s="1"/>
  <c r="Y370" i="1"/>
  <c r="R333" i="1"/>
  <c r="R27" i="1"/>
  <c r="R32" i="1"/>
  <c r="R324" i="1"/>
  <c r="R124" i="1"/>
  <c r="R31" i="1"/>
  <c r="R129" i="1"/>
  <c r="R174" i="1"/>
  <c r="R343" i="1"/>
  <c r="R233" i="1"/>
  <c r="R34" i="1"/>
  <c r="R304" i="1"/>
  <c r="R103" i="1"/>
  <c r="R81" i="1"/>
  <c r="R260" i="1"/>
  <c r="R109" i="1"/>
  <c r="R106" i="1"/>
  <c r="AH114" i="1"/>
  <c r="AA114" i="1"/>
  <c r="R123" i="1"/>
  <c r="R101" i="1"/>
  <c r="R285" i="1"/>
  <c r="R153" i="1"/>
  <c r="R339" i="1"/>
  <c r="R328" i="1"/>
  <c r="R166" i="1"/>
  <c r="R28" i="1"/>
  <c r="R245" i="1"/>
  <c r="R29" i="1"/>
  <c r="R163" i="1"/>
  <c r="R141" i="1"/>
  <c r="R171" i="1"/>
  <c r="R249" i="1"/>
  <c r="R150" i="1"/>
  <c r="R115" i="1"/>
  <c r="R96" i="1"/>
  <c r="R168" i="1"/>
  <c r="AC114" i="1"/>
  <c r="AB114" i="1" l="1"/>
  <c r="R116" i="1"/>
  <c r="Y109" i="1"/>
  <c r="Z109" i="1"/>
  <c r="AI109" i="1" s="1"/>
  <c r="AD109" i="1" s="1"/>
  <c r="Y31" i="1"/>
  <c r="Z31" i="1"/>
  <c r="AI31" i="1" s="1"/>
  <c r="AD31" i="1" s="1"/>
  <c r="R111" i="1"/>
  <c r="R128" i="1"/>
  <c r="R88" i="1"/>
  <c r="R152" i="1"/>
  <c r="Z236" i="1"/>
  <c r="AI236" i="1" s="1"/>
  <c r="AD236" i="1" s="1"/>
  <c r="Y236" i="1"/>
  <c r="Z143" i="1"/>
  <c r="AI143" i="1" s="1"/>
  <c r="AD143" i="1" s="1"/>
  <c r="Y143" i="1"/>
  <c r="R282" i="1"/>
  <c r="R137" i="1"/>
  <c r="D45" i="21"/>
  <c r="F45" i="21" s="1"/>
  <c r="G45" i="21" s="1"/>
  <c r="Y96" i="1"/>
  <c r="Z96" i="1"/>
  <c r="AI96" i="1" s="1"/>
  <c r="AD96" i="1" s="1"/>
  <c r="AC96" i="1" s="1"/>
  <c r="D64" i="21"/>
  <c r="F64" i="21" s="1"/>
  <c r="G64" i="21" s="1"/>
  <c r="Z150" i="1"/>
  <c r="AI150" i="1" s="1"/>
  <c r="AD150" i="1" s="1"/>
  <c r="AC150" i="1" s="1"/>
  <c r="Y150" i="1"/>
  <c r="Z171" i="1"/>
  <c r="AI171" i="1" s="1"/>
  <c r="AD171" i="1" s="1"/>
  <c r="Y171" i="1"/>
  <c r="Y163" i="1"/>
  <c r="Z163" i="1"/>
  <c r="AI163" i="1" s="1"/>
  <c r="AD163" i="1" s="1"/>
  <c r="Z245" i="1"/>
  <c r="AI245" i="1" s="1"/>
  <c r="AD245" i="1" s="1"/>
  <c r="Y245" i="1"/>
  <c r="Z166" i="1"/>
  <c r="AI166" i="1" s="1"/>
  <c r="AD166" i="1" s="1"/>
  <c r="Y166" i="1"/>
  <c r="Y339" i="1"/>
  <c r="Z339" i="1"/>
  <c r="AI339" i="1" s="1"/>
  <c r="AD339" i="1" s="1"/>
  <c r="Y285" i="1"/>
  <c r="Z285" i="1"/>
  <c r="AI285" i="1" s="1"/>
  <c r="AD285" i="1" s="1"/>
  <c r="Y123" i="1"/>
  <c r="Z123" i="1"/>
  <c r="AI123" i="1" s="1"/>
  <c r="AD123" i="1" s="1"/>
  <c r="Y106" i="1"/>
  <c r="Z106" i="1"/>
  <c r="AI106" i="1" s="1"/>
  <c r="AD106" i="1" s="1"/>
  <c r="AC106" i="1" s="1"/>
  <c r="R305" i="1"/>
  <c r="R336" i="1"/>
  <c r="R130" i="1"/>
  <c r="D20" i="21"/>
  <c r="Z27" i="1"/>
  <c r="AI27" i="1" s="1"/>
  <c r="AD27" i="1" s="1"/>
  <c r="AC27" i="1" s="1"/>
  <c r="Y27" i="1"/>
  <c r="R301" i="1"/>
  <c r="R310" i="1"/>
  <c r="R148" i="1"/>
  <c r="R178" i="1"/>
  <c r="R64" i="1"/>
  <c r="R132" i="1"/>
  <c r="R147" i="1"/>
  <c r="R74" i="1"/>
  <c r="Y80" i="1"/>
  <c r="Z80" i="1"/>
  <c r="AI80" i="1" s="1"/>
  <c r="AD80" i="1" s="1"/>
  <c r="Y319" i="1"/>
  <c r="Z319" i="1"/>
  <c r="AI319" i="1" s="1"/>
  <c r="AD319" i="1" s="1"/>
  <c r="AA314" i="1"/>
  <c r="AH314" i="1"/>
  <c r="R99" i="1"/>
  <c r="Z304" i="1"/>
  <c r="AI304" i="1" s="1"/>
  <c r="AD304" i="1" s="1"/>
  <c r="Y304" i="1"/>
  <c r="Z174" i="1"/>
  <c r="AI174" i="1" s="1"/>
  <c r="AD174" i="1" s="1"/>
  <c r="Y174" i="1"/>
  <c r="R323" i="1"/>
  <c r="Z92" i="1"/>
  <c r="AI92" i="1" s="1"/>
  <c r="AD92" i="1" s="1"/>
  <c r="Y92" i="1"/>
  <c r="AC314" i="1"/>
  <c r="R127" i="1"/>
  <c r="R224" i="1"/>
  <c r="R230" i="1"/>
  <c r="R36" i="1"/>
  <c r="R73" i="1"/>
  <c r="D72" i="21"/>
  <c r="F72" i="21" s="1"/>
  <c r="G72" i="21" s="1"/>
  <c r="Y260" i="1"/>
  <c r="Z260" i="1"/>
  <c r="AI260" i="1" s="1"/>
  <c r="AD260" i="1" s="1"/>
  <c r="AC260" i="1" s="1"/>
  <c r="Y103" i="1"/>
  <c r="Z103" i="1"/>
  <c r="AI103" i="1" s="1"/>
  <c r="AD103" i="1" s="1"/>
  <c r="D25" i="21"/>
  <c r="F25" i="21" s="1"/>
  <c r="G25" i="21" s="1"/>
  <c r="Z34" i="1"/>
  <c r="AI34" i="1" s="1"/>
  <c r="AD34" i="1" s="1"/>
  <c r="AC34" i="1" s="1"/>
  <c r="Y34" i="1"/>
  <c r="Z343" i="1"/>
  <c r="AI343" i="1" s="1"/>
  <c r="AD343" i="1" s="1"/>
  <c r="Y343" i="1"/>
  <c r="D55" i="21"/>
  <c r="F55" i="21" s="1"/>
  <c r="G55" i="21" s="1"/>
  <c r="Y129" i="1"/>
  <c r="Z129" i="1"/>
  <c r="AI129" i="1" s="1"/>
  <c r="AD129" i="1" s="1"/>
  <c r="AC129" i="1" s="1"/>
  <c r="Z124" i="1"/>
  <c r="AI124" i="1" s="1"/>
  <c r="AD124" i="1" s="1"/>
  <c r="Y124" i="1"/>
  <c r="D23" i="21"/>
  <c r="F23" i="21" s="1"/>
  <c r="G23" i="21" s="1"/>
  <c r="Z32" i="1"/>
  <c r="AI32" i="1" s="1"/>
  <c r="AD32" i="1" s="1"/>
  <c r="AC32" i="1" s="1"/>
  <c r="Y32" i="1"/>
  <c r="R296" i="1"/>
  <c r="R98" i="1"/>
  <c r="R112" i="1"/>
  <c r="R118" i="1"/>
  <c r="R255" i="1"/>
  <c r="R110" i="1"/>
  <c r="Y68" i="1"/>
  <c r="Z68" i="1"/>
  <c r="AI68" i="1" s="1"/>
  <c r="AD68" i="1" s="1"/>
  <c r="D61" i="21"/>
  <c r="F61" i="21" s="1"/>
  <c r="G61" i="21" s="1"/>
  <c r="Z142" i="1"/>
  <c r="AI142" i="1" s="1"/>
  <c r="AD142" i="1" s="1"/>
  <c r="AC142" i="1" s="1"/>
  <c r="Y142" i="1"/>
  <c r="D31" i="21"/>
  <c r="F31" i="21" s="1"/>
  <c r="G31" i="21" s="1"/>
  <c r="Y48" i="1"/>
  <c r="Z48" i="1"/>
  <c r="AI48" i="1" s="1"/>
  <c r="AD48" i="1" s="1"/>
  <c r="AC48" i="1" s="1"/>
  <c r="Y90" i="1"/>
  <c r="Z90" i="1"/>
  <c r="AI90" i="1" s="1"/>
  <c r="AD90" i="1" s="1"/>
  <c r="Z312" i="1"/>
  <c r="AI312" i="1" s="1"/>
  <c r="AD312" i="1" s="1"/>
  <c r="Y312" i="1"/>
  <c r="Z346" i="1"/>
  <c r="AI346" i="1" s="1"/>
  <c r="AD346" i="1" s="1"/>
  <c r="Y346" i="1"/>
  <c r="Z329" i="1"/>
  <c r="AI329" i="1" s="1"/>
  <c r="AD329" i="1" s="1"/>
  <c r="Y329" i="1"/>
  <c r="D37" i="21"/>
  <c r="F37" i="21" s="1"/>
  <c r="G37" i="21" s="1"/>
  <c r="Z72" i="1"/>
  <c r="AI72" i="1" s="1"/>
  <c r="AD72" i="1" s="1"/>
  <c r="AC72" i="1" s="1"/>
  <c r="Y72" i="1"/>
  <c r="Z337" i="1"/>
  <c r="AI337" i="1" s="1"/>
  <c r="AD337" i="1" s="1"/>
  <c r="Y337" i="1"/>
  <c r="D73" i="21"/>
  <c r="F73" i="21" s="1"/>
  <c r="G73" i="21" s="1"/>
  <c r="Z261" i="1"/>
  <c r="AI261" i="1" s="1"/>
  <c r="AD261" i="1" s="1"/>
  <c r="AC261" i="1" s="1"/>
  <c r="Y261" i="1"/>
  <c r="Z169" i="1"/>
  <c r="AI169" i="1" s="1"/>
  <c r="AD169" i="1" s="1"/>
  <c r="Y169" i="1"/>
  <c r="Z138" i="1"/>
  <c r="AI138" i="1" s="1"/>
  <c r="AD138" i="1" s="1"/>
  <c r="Y138" i="1"/>
  <c r="Y67" i="1"/>
  <c r="Z67" i="1"/>
  <c r="AI67" i="1" s="1"/>
  <c r="AD67" i="1" s="1"/>
  <c r="Z66" i="1"/>
  <c r="AI66" i="1" s="1"/>
  <c r="AD66" i="1" s="1"/>
  <c r="Y66" i="1"/>
  <c r="R157" i="1"/>
  <c r="AA371" i="1"/>
  <c r="AH371" i="1"/>
  <c r="R53" i="1"/>
  <c r="R136" i="1"/>
  <c r="R225" i="1"/>
  <c r="R55" i="1"/>
  <c r="Z81" i="1"/>
  <c r="AI81" i="1" s="1"/>
  <c r="AD81" i="1" s="1"/>
  <c r="Y81" i="1"/>
  <c r="Z233" i="1"/>
  <c r="AI233" i="1" s="1"/>
  <c r="AD233" i="1" s="1"/>
  <c r="Y233" i="1"/>
  <c r="Z324" i="1"/>
  <c r="AI324" i="1" s="1"/>
  <c r="AD324" i="1" s="1"/>
  <c r="Y324" i="1"/>
  <c r="AH370" i="1"/>
  <c r="AA370" i="1"/>
  <c r="R243" i="1"/>
  <c r="R158" i="1"/>
  <c r="Y369" i="1"/>
  <c r="Z369" i="1"/>
  <c r="AI369" i="1" s="1"/>
  <c r="AD369" i="1" s="1"/>
  <c r="D69" i="21"/>
  <c r="F69" i="21" s="1"/>
  <c r="G69" i="21" s="1"/>
  <c r="Y160" i="1"/>
  <c r="Z160" i="1"/>
  <c r="AI160" i="1" s="1"/>
  <c r="AD160" i="1" s="1"/>
  <c r="AC160" i="1" s="1"/>
  <c r="D65" i="21"/>
  <c r="F65" i="21" s="1"/>
  <c r="G65" i="21" s="1"/>
  <c r="Y151" i="1"/>
  <c r="Z151" i="1"/>
  <c r="AI151" i="1" s="1"/>
  <c r="AD151" i="1" s="1"/>
  <c r="AC151" i="1" s="1"/>
  <c r="D39" i="21"/>
  <c r="F39" i="21" s="1"/>
  <c r="G39" i="21" s="1"/>
  <c r="Y75" i="1"/>
  <c r="Z75" i="1"/>
  <c r="AI75" i="1" s="1"/>
  <c r="AD75" i="1" s="1"/>
  <c r="AC75" i="1" s="1"/>
  <c r="Y332" i="1"/>
  <c r="Z332" i="1"/>
  <c r="AI332" i="1" s="1"/>
  <c r="AD332" i="1" s="1"/>
  <c r="Y321" i="1"/>
  <c r="Z321" i="1"/>
  <c r="AI321" i="1" s="1"/>
  <c r="AD321" i="1" s="1"/>
  <c r="D22" i="21"/>
  <c r="F22" i="21" s="1"/>
  <c r="G22" i="21" s="1"/>
  <c r="Y30" i="1"/>
  <c r="Z30" i="1"/>
  <c r="AI30" i="1" s="1"/>
  <c r="AD30" i="1" s="1"/>
  <c r="AC30" i="1" s="1"/>
  <c r="D24" i="21"/>
  <c r="F24" i="21" s="1"/>
  <c r="G24" i="21" s="1"/>
  <c r="Y33" i="1"/>
  <c r="Z33" i="1"/>
  <c r="AI33" i="1" s="1"/>
  <c r="AD33" i="1" s="1"/>
  <c r="AC33" i="1" s="1"/>
  <c r="Y177" i="1"/>
  <c r="Z177" i="1"/>
  <c r="AI177" i="1" s="1"/>
  <c r="AD177" i="1" s="1"/>
  <c r="D32" i="21"/>
  <c r="F32" i="21" s="1"/>
  <c r="G32" i="21" s="1"/>
  <c r="Y49" i="1"/>
  <c r="Z49" i="1"/>
  <c r="AI49" i="1" s="1"/>
  <c r="AD49" i="1" s="1"/>
  <c r="AC49" i="1" s="1"/>
  <c r="Y71" i="1"/>
  <c r="Z71" i="1"/>
  <c r="AI71" i="1" s="1"/>
  <c r="AD71" i="1" s="1"/>
  <c r="R46" i="1"/>
  <c r="Y168" i="1"/>
  <c r="Z168" i="1"/>
  <c r="AI168" i="1" s="1"/>
  <c r="AD168" i="1" s="1"/>
  <c r="Y115" i="1"/>
  <c r="Z115" i="1"/>
  <c r="AI115" i="1" s="1"/>
  <c r="AD115" i="1" s="1"/>
  <c r="Z249" i="1"/>
  <c r="AI249" i="1" s="1"/>
  <c r="AD249" i="1" s="1"/>
  <c r="Y249" i="1"/>
  <c r="D60" i="21"/>
  <c r="F60" i="21" s="1"/>
  <c r="G60" i="21" s="1"/>
  <c r="Y141" i="1"/>
  <c r="Z141" i="1"/>
  <c r="AI141" i="1" s="1"/>
  <c r="AD141" i="1" s="1"/>
  <c r="AC141" i="1" s="1"/>
  <c r="Z29" i="1"/>
  <c r="AI29" i="1" s="1"/>
  <c r="AD29" i="1" s="1"/>
  <c r="Y29" i="1"/>
  <c r="D21" i="21"/>
  <c r="F21" i="21" s="1"/>
  <c r="G21" i="21" s="1"/>
  <c r="Z28" i="1"/>
  <c r="AI28" i="1" s="1"/>
  <c r="AD28" i="1" s="1"/>
  <c r="AC28" i="1" s="1"/>
  <c r="Y28" i="1"/>
  <c r="D78" i="21"/>
  <c r="F78" i="21" s="1"/>
  <c r="G78" i="21" s="1"/>
  <c r="Y328" i="1"/>
  <c r="Z328" i="1"/>
  <c r="AI328" i="1" s="1"/>
  <c r="AD328" i="1" s="1"/>
  <c r="AC328" i="1" s="1"/>
  <c r="Z153" i="1"/>
  <c r="AI153" i="1" s="1"/>
  <c r="AD153" i="1" s="1"/>
  <c r="Y153" i="1"/>
  <c r="D47" i="21"/>
  <c r="F47" i="21" s="1"/>
  <c r="G47" i="21" s="1"/>
  <c r="Y101" i="1"/>
  <c r="Z101" i="1"/>
  <c r="AI101" i="1" s="1"/>
  <c r="AD101" i="1" s="1"/>
  <c r="AC101" i="1" s="1"/>
  <c r="R175" i="1"/>
  <c r="R338" i="1"/>
  <c r="Y333" i="1"/>
  <c r="Z333" i="1"/>
  <c r="AI333" i="1" s="1"/>
  <c r="AD333" i="1" s="1"/>
  <c r="AA361" i="1"/>
  <c r="AH361" i="1"/>
  <c r="R306" i="1"/>
  <c r="R54" i="1"/>
  <c r="R60" i="1"/>
  <c r="R78" i="1"/>
  <c r="R120" i="1"/>
  <c r="R89" i="1"/>
  <c r="R250" i="1"/>
  <c r="R58" i="1"/>
  <c r="R341" i="1"/>
  <c r="Y39" i="1"/>
  <c r="Z39" i="1"/>
  <c r="AI39" i="1" s="1"/>
  <c r="AD39" i="1" s="1"/>
  <c r="Y313" i="1"/>
  <c r="Z313" i="1"/>
  <c r="AI313" i="1" s="1"/>
  <c r="AD313" i="1" s="1"/>
  <c r="Y145" i="1"/>
  <c r="Z145" i="1"/>
  <c r="AI145" i="1" s="1"/>
  <c r="AD145" i="1" s="1"/>
  <c r="AC370" i="1"/>
  <c r="AC371" i="1"/>
  <c r="AB370" i="1" l="1"/>
  <c r="R401" i="1"/>
  <c r="L8" i="58" s="1"/>
  <c r="L25" i="58" s="1"/>
  <c r="AC67" i="1"/>
  <c r="AC169" i="1"/>
  <c r="AC92" i="1"/>
  <c r="AC66" i="1"/>
  <c r="AC312" i="1"/>
  <c r="AC143" i="1"/>
  <c r="AC337" i="1"/>
  <c r="AC163" i="1"/>
  <c r="AB371" i="1"/>
  <c r="AC80" i="1"/>
  <c r="AB314" i="1"/>
  <c r="AC68" i="1"/>
  <c r="AC166" i="1"/>
  <c r="AA304" i="1"/>
  <c r="AH304" i="1"/>
  <c r="R227" i="1"/>
  <c r="AH245" i="1"/>
  <c r="AA245" i="1"/>
  <c r="AH171" i="1"/>
  <c r="AA171" i="1"/>
  <c r="R251" i="1"/>
  <c r="AH236" i="1"/>
  <c r="AA236" i="1"/>
  <c r="AH145" i="1"/>
  <c r="AA145" i="1"/>
  <c r="Y58" i="1"/>
  <c r="Z58" i="1"/>
  <c r="AI58" i="1" s="1"/>
  <c r="AD58" i="1" s="1"/>
  <c r="D40" i="21"/>
  <c r="F40" i="21" s="1"/>
  <c r="G40" i="21" s="1"/>
  <c r="Y78" i="1"/>
  <c r="Z78" i="1"/>
  <c r="AI78" i="1" s="1"/>
  <c r="AD78" i="1" s="1"/>
  <c r="AC78" i="1" s="1"/>
  <c r="Y54" i="1"/>
  <c r="Z54" i="1"/>
  <c r="AI54" i="1" s="1"/>
  <c r="AD54" i="1" s="1"/>
  <c r="AA28" i="1"/>
  <c r="AB28" i="1" s="1"/>
  <c r="AH28" i="1"/>
  <c r="AA30" i="1"/>
  <c r="AB30" i="1" s="1"/>
  <c r="AH30" i="1"/>
  <c r="AH321" i="1"/>
  <c r="AA321" i="1"/>
  <c r="AA75" i="1"/>
  <c r="AB75" i="1" s="1"/>
  <c r="AH75" i="1"/>
  <c r="AA324" i="1"/>
  <c r="AH324" i="1"/>
  <c r="AH169" i="1"/>
  <c r="AA169" i="1"/>
  <c r="AC333" i="1"/>
  <c r="AC153" i="1"/>
  <c r="AC145" i="1"/>
  <c r="Y338" i="1"/>
  <c r="Z338" i="1"/>
  <c r="AI338" i="1" s="1"/>
  <c r="AD338" i="1" s="1"/>
  <c r="AA101" i="1"/>
  <c r="AB101" i="1" s="1"/>
  <c r="AH101" i="1"/>
  <c r="AA29" i="1"/>
  <c r="AB29" i="1" s="1"/>
  <c r="AH29" i="1"/>
  <c r="AH141" i="1"/>
  <c r="AA141" i="1"/>
  <c r="AB141" i="1" s="1"/>
  <c r="R258" i="1"/>
  <c r="R388" i="1" s="1"/>
  <c r="AA177" i="1"/>
  <c r="AH177" i="1"/>
  <c r="AH369" i="1"/>
  <c r="AA369" i="1"/>
  <c r="Y243" i="1"/>
  <c r="Z243" i="1"/>
  <c r="AI243" i="1" s="1"/>
  <c r="AD243" i="1" s="1"/>
  <c r="Z225" i="1"/>
  <c r="AI225" i="1" s="1"/>
  <c r="AD225" i="1" s="1"/>
  <c r="Y225" i="1"/>
  <c r="Y53" i="1"/>
  <c r="Z53" i="1"/>
  <c r="AI53" i="1" s="1"/>
  <c r="AD53" i="1" s="1"/>
  <c r="D67" i="21"/>
  <c r="F67" i="21" s="1"/>
  <c r="G67" i="21" s="1"/>
  <c r="Z157" i="1"/>
  <c r="AI157" i="1" s="1"/>
  <c r="AD157" i="1" s="1"/>
  <c r="AC157" i="1" s="1"/>
  <c r="Y157" i="1"/>
  <c r="AA67" i="1"/>
  <c r="AH67" i="1"/>
  <c r="AH337" i="1"/>
  <c r="AA337" i="1"/>
  <c r="AH90" i="1"/>
  <c r="AA90" i="1"/>
  <c r="AH48" i="1"/>
  <c r="AA48" i="1"/>
  <c r="AB48" i="1" s="1"/>
  <c r="Y110" i="1"/>
  <c r="Z110" i="1"/>
  <c r="AI110" i="1" s="1"/>
  <c r="AD110" i="1" s="1"/>
  <c r="D50" i="21"/>
  <c r="F50" i="21" s="1"/>
  <c r="G50" i="21" s="1"/>
  <c r="Y118" i="1"/>
  <c r="Z118" i="1"/>
  <c r="AI118" i="1" s="1"/>
  <c r="AD118" i="1" s="1"/>
  <c r="AC118" i="1" s="1"/>
  <c r="D46" i="21"/>
  <c r="F46" i="21" s="1"/>
  <c r="G46" i="21" s="1"/>
  <c r="Z98" i="1"/>
  <c r="AI98" i="1" s="1"/>
  <c r="AD98" i="1" s="1"/>
  <c r="AC98" i="1" s="1"/>
  <c r="Y98" i="1"/>
  <c r="R389" i="1"/>
  <c r="R405" i="1"/>
  <c r="L13" i="58" s="1"/>
  <c r="L30" i="58" s="1"/>
  <c r="D28" i="21"/>
  <c r="F28" i="21" s="1"/>
  <c r="G28" i="21" s="1"/>
  <c r="Y36" i="1"/>
  <c r="Z36" i="1"/>
  <c r="AI36" i="1" s="1"/>
  <c r="AD36" i="1" s="1"/>
  <c r="AC36" i="1" s="1"/>
  <c r="D70" i="21"/>
  <c r="F70" i="21" s="1"/>
  <c r="G70" i="21" s="1"/>
  <c r="Y224" i="1"/>
  <c r="Z224" i="1"/>
  <c r="AI224" i="1" s="1"/>
  <c r="AD224" i="1" s="1"/>
  <c r="AC224" i="1" s="1"/>
  <c r="Y323" i="1"/>
  <c r="Z323" i="1"/>
  <c r="AI323" i="1" s="1"/>
  <c r="AD323" i="1" s="1"/>
  <c r="AA319" i="1"/>
  <c r="AH319" i="1"/>
  <c r="Z74" i="1"/>
  <c r="AI74" i="1" s="1"/>
  <c r="AD74" i="1" s="1"/>
  <c r="Y74" i="1"/>
  <c r="Z132" i="1"/>
  <c r="AI132" i="1" s="1"/>
  <c r="AD132" i="1" s="1"/>
  <c r="Y132" i="1"/>
  <c r="Y178" i="1"/>
  <c r="Z178" i="1"/>
  <c r="AI178" i="1" s="1"/>
  <c r="AD178" i="1" s="1"/>
  <c r="Z310" i="1"/>
  <c r="AI310" i="1" s="1"/>
  <c r="AD310" i="1" s="1"/>
  <c r="Y310" i="1"/>
  <c r="F20" i="21"/>
  <c r="Y336" i="1"/>
  <c r="Z336" i="1"/>
  <c r="AI336" i="1" s="1"/>
  <c r="AD336" i="1" s="1"/>
  <c r="AA106" i="1"/>
  <c r="AB106" i="1" s="1"/>
  <c r="AH106" i="1"/>
  <c r="AA123" i="1"/>
  <c r="AH123" i="1"/>
  <c r="AH339" i="1"/>
  <c r="AA339" i="1"/>
  <c r="Z282" i="1"/>
  <c r="AI282" i="1" s="1"/>
  <c r="AD282" i="1" s="1"/>
  <c r="Y282" i="1"/>
  <c r="Z88" i="1"/>
  <c r="AI88" i="1" s="1"/>
  <c r="AD88" i="1" s="1"/>
  <c r="Y88" i="1"/>
  <c r="D49" i="21"/>
  <c r="F49" i="21" s="1"/>
  <c r="G49" i="21" s="1"/>
  <c r="Z111" i="1"/>
  <c r="AI111" i="1" s="1"/>
  <c r="AD111" i="1" s="1"/>
  <c r="AC111" i="1" s="1"/>
  <c r="Y111" i="1"/>
  <c r="AH109" i="1"/>
  <c r="AA109" i="1"/>
  <c r="AA168" i="1"/>
  <c r="AH168" i="1"/>
  <c r="D29" i="21"/>
  <c r="F29" i="21" s="1"/>
  <c r="G29" i="21" s="1"/>
  <c r="Y46" i="1"/>
  <c r="Z46" i="1"/>
  <c r="AI46" i="1" s="1"/>
  <c r="AD46" i="1" s="1"/>
  <c r="AC46" i="1" s="1"/>
  <c r="AA32" i="1"/>
  <c r="AB32" i="1" s="1"/>
  <c r="AH32" i="1"/>
  <c r="AA260" i="1"/>
  <c r="AB260" i="1" s="1"/>
  <c r="AH260" i="1"/>
  <c r="AC332" i="1"/>
  <c r="AH313" i="1"/>
  <c r="AA313" i="1"/>
  <c r="Y341" i="1"/>
  <c r="Z341" i="1"/>
  <c r="AI341" i="1" s="1"/>
  <c r="AD341" i="1" s="1"/>
  <c r="Y250" i="1"/>
  <c r="Z250" i="1"/>
  <c r="AI250" i="1" s="1"/>
  <c r="AD250" i="1" s="1"/>
  <c r="Y120" i="1"/>
  <c r="Z120" i="1"/>
  <c r="AI120" i="1" s="1"/>
  <c r="AD120" i="1" s="1"/>
  <c r="R399" i="1"/>
  <c r="L9" i="58" s="1"/>
  <c r="L26" i="58" s="1"/>
  <c r="D34" i="21"/>
  <c r="F34" i="21" s="1"/>
  <c r="G34" i="21" s="1"/>
  <c r="Z60" i="1"/>
  <c r="AI60" i="1" s="1"/>
  <c r="AD60" i="1" s="1"/>
  <c r="AC60" i="1" s="1"/>
  <c r="Y60" i="1"/>
  <c r="Y306" i="1"/>
  <c r="Z306" i="1"/>
  <c r="AI306" i="1" s="1"/>
  <c r="AD306" i="1" s="1"/>
  <c r="AA333" i="1"/>
  <c r="AH333" i="1"/>
  <c r="AH328" i="1"/>
  <c r="AA328" i="1"/>
  <c r="AB328" i="1" s="1"/>
  <c r="R398" i="1"/>
  <c r="L6" i="58" s="1"/>
  <c r="L23" i="58" s="1"/>
  <c r="AA115" i="1"/>
  <c r="AH115" i="1"/>
  <c r="AA71" i="1"/>
  <c r="AH71" i="1"/>
  <c r="AH49" i="1"/>
  <c r="AA49" i="1"/>
  <c r="AB49" i="1" s="1"/>
  <c r="AH332" i="1"/>
  <c r="AA332" i="1"/>
  <c r="AH160" i="1"/>
  <c r="AA160" i="1"/>
  <c r="AB160" i="1" s="1"/>
  <c r="AA233" i="1"/>
  <c r="AH233" i="1"/>
  <c r="AA66" i="1"/>
  <c r="AH66" i="1"/>
  <c r="AA138" i="1"/>
  <c r="AH138" i="1"/>
  <c r="AH261" i="1"/>
  <c r="AA261" i="1"/>
  <c r="AB261" i="1" s="1"/>
  <c r="AH329" i="1"/>
  <c r="AA329" i="1"/>
  <c r="AA312" i="1"/>
  <c r="AH312" i="1"/>
  <c r="R404" i="1"/>
  <c r="L12" i="58" s="1"/>
  <c r="L29" i="58" s="1"/>
  <c r="AA129" i="1"/>
  <c r="AB129" i="1" s="1"/>
  <c r="AH129" i="1"/>
  <c r="AA34" i="1"/>
  <c r="AB34" i="1" s="1"/>
  <c r="AH34" i="1"/>
  <c r="AH103" i="1"/>
  <c r="AA103" i="1"/>
  <c r="AA92" i="1"/>
  <c r="AH92" i="1"/>
  <c r="AH174" i="1"/>
  <c r="AA174" i="1"/>
  <c r="R387" i="1"/>
  <c r="AA166" i="1"/>
  <c r="AH166" i="1"/>
  <c r="AH150" i="1"/>
  <c r="AA150" i="1"/>
  <c r="AB150" i="1" s="1"/>
  <c r="AA96" i="1"/>
  <c r="AB96" i="1" s="1"/>
  <c r="AH96" i="1"/>
  <c r="AA143" i="1"/>
  <c r="AH143" i="1"/>
  <c r="AA39" i="1"/>
  <c r="AH39" i="1"/>
  <c r="Y89" i="1"/>
  <c r="Z89" i="1"/>
  <c r="AI89" i="1" s="1"/>
  <c r="AD89" i="1" s="1"/>
  <c r="AH81" i="1"/>
  <c r="AA81" i="1"/>
  <c r="AA346" i="1"/>
  <c r="AH346" i="1"/>
  <c r="AH343" i="1"/>
  <c r="AA343" i="1"/>
  <c r="AC319" i="1"/>
  <c r="Y175" i="1"/>
  <c r="Z175" i="1"/>
  <c r="AI175" i="1" s="1"/>
  <c r="AD175" i="1" s="1"/>
  <c r="AA153" i="1"/>
  <c r="AH153" i="1"/>
  <c r="R382" i="1"/>
  <c r="R383" i="1"/>
  <c r="AH249" i="1"/>
  <c r="AA249" i="1"/>
  <c r="R385" i="1"/>
  <c r="AA33" i="1"/>
  <c r="AB33" i="1" s="1"/>
  <c r="AH33" i="1"/>
  <c r="AA151" i="1"/>
  <c r="AB151" i="1" s="1"/>
  <c r="AH151" i="1"/>
  <c r="D68" i="21"/>
  <c r="F68" i="21" s="1"/>
  <c r="G68" i="21" s="1"/>
  <c r="Y158" i="1"/>
  <c r="Z158" i="1"/>
  <c r="AI158" i="1" s="1"/>
  <c r="AD158" i="1" s="1"/>
  <c r="AC158" i="1" s="1"/>
  <c r="D33" i="21"/>
  <c r="F33" i="21" s="1"/>
  <c r="G33" i="21" s="1"/>
  <c r="Y55" i="1"/>
  <c r="Z55" i="1"/>
  <c r="AI55" i="1" s="1"/>
  <c r="AD55" i="1" s="1"/>
  <c r="AC55" i="1" s="1"/>
  <c r="D59" i="21"/>
  <c r="F59" i="21" s="1"/>
  <c r="G59" i="21" s="1"/>
  <c r="Z136" i="1"/>
  <c r="AI136" i="1" s="1"/>
  <c r="AD136" i="1" s="1"/>
  <c r="AC136" i="1" s="1"/>
  <c r="Y136" i="1"/>
  <c r="AA72" i="1"/>
  <c r="AB72" i="1" s="1"/>
  <c r="AH72" i="1"/>
  <c r="AH142" i="1"/>
  <c r="AA142" i="1"/>
  <c r="AB142" i="1" s="1"/>
  <c r="AA68" i="1"/>
  <c r="AH68" i="1"/>
  <c r="Y255" i="1"/>
  <c r="Z255" i="1"/>
  <c r="AI255" i="1" s="1"/>
  <c r="AD255" i="1" s="1"/>
  <c r="Z112" i="1"/>
  <c r="AI112" i="1" s="1"/>
  <c r="AD112" i="1" s="1"/>
  <c r="Y112" i="1"/>
  <c r="Y296" i="1"/>
  <c r="Z296" i="1"/>
  <c r="AI296" i="1" s="1"/>
  <c r="AD296" i="1" s="1"/>
  <c r="AH124" i="1"/>
  <c r="AA124" i="1"/>
  <c r="D38" i="21"/>
  <c r="F38" i="21" s="1"/>
  <c r="G38" i="21" s="1"/>
  <c r="Y73" i="1"/>
  <c r="Z73" i="1"/>
  <c r="AI73" i="1" s="1"/>
  <c r="AD73" i="1" s="1"/>
  <c r="AC73" i="1" s="1"/>
  <c r="Y230" i="1"/>
  <c r="Z230" i="1"/>
  <c r="AI230" i="1" s="1"/>
  <c r="AD230" i="1" s="1"/>
  <c r="D53" i="21"/>
  <c r="F53" i="21" s="1"/>
  <c r="G53" i="21" s="1"/>
  <c r="Y127" i="1"/>
  <c r="Z127" i="1"/>
  <c r="AI127" i="1" s="1"/>
  <c r="AD127" i="1" s="1"/>
  <c r="AC127" i="1" s="1"/>
  <c r="Y99" i="1"/>
  <c r="Z99" i="1"/>
  <c r="AI99" i="1" s="1"/>
  <c r="AD99" i="1" s="1"/>
  <c r="AA80" i="1"/>
  <c r="AH80" i="1"/>
  <c r="D63" i="21"/>
  <c r="E63" i="21" s="1"/>
  <c r="Z147" i="1"/>
  <c r="AI147" i="1" s="1"/>
  <c r="AD147" i="1" s="1"/>
  <c r="AC147" i="1" s="1"/>
  <c r="Y147" i="1"/>
  <c r="D35" i="21"/>
  <c r="F35" i="21" s="1"/>
  <c r="G35" i="21" s="1"/>
  <c r="Z64" i="1"/>
  <c r="AI64" i="1" s="1"/>
  <c r="AD64" i="1" s="1"/>
  <c r="AC64" i="1" s="1"/>
  <c r="Y64" i="1"/>
  <c r="Z148" i="1"/>
  <c r="AI148" i="1" s="1"/>
  <c r="AD148" i="1" s="1"/>
  <c r="Y148" i="1"/>
  <c r="Y301" i="1"/>
  <c r="Z301" i="1"/>
  <c r="AI301" i="1" s="1"/>
  <c r="AD301" i="1" s="1"/>
  <c r="AA27" i="1"/>
  <c r="AB27" i="1" s="1"/>
  <c r="AH27" i="1"/>
  <c r="D56" i="21"/>
  <c r="F56" i="21" s="1"/>
  <c r="G56" i="21" s="1"/>
  <c r="Z130" i="1"/>
  <c r="AI130" i="1" s="1"/>
  <c r="AD130" i="1" s="1"/>
  <c r="AC130" i="1" s="1"/>
  <c r="Y130" i="1"/>
  <c r="Z305" i="1"/>
  <c r="AI305" i="1" s="1"/>
  <c r="AD305" i="1" s="1"/>
  <c r="Y305" i="1"/>
  <c r="R403" i="1"/>
  <c r="L11" i="58" s="1"/>
  <c r="L28" i="58" s="1"/>
  <c r="AA285" i="1"/>
  <c r="AH285" i="1"/>
  <c r="AH163" i="1"/>
  <c r="AA163" i="1"/>
  <c r="Z137" i="1"/>
  <c r="AI137" i="1" s="1"/>
  <c r="AD137" i="1" s="1"/>
  <c r="Y137" i="1"/>
  <c r="Y152" i="1"/>
  <c r="Z152" i="1"/>
  <c r="AI152" i="1" s="1"/>
  <c r="AD152" i="1" s="1"/>
  <c r="D54" i="21"/>
  <c r="F54" i="21" s="1"/>
  <c r="G54" i="21" s="1"/>
  <c r="Y128" i="1"/>
  <c r="Z128" i="1"/>
  <c r="AI128" i="1" s="1"/>
  <c r="AD128" i="1" s="1"/>
  <c r="AC128" i="1" s="1"/>
  <c r="AA31" i="1"/>
  <c r="AH31" i="1"/>
  <c r="Y116" i="1"/>
  <c r="Z116" i="1"/>
  <c r="AI116" i="1" s="1"/>
  <c r="AD116" i="1" s="1"/>
  <c r="AC90" i="1"/>
  <c r="AC285" i="1"/>
  <c r="AC236" i="1"/>
  <c r="AC71" i="1"/>
  <c r="AC339" i="1"/>
  <c r="AC343" i="1"/>
  <c r="AC304" i="1"/>
  <c r="AC346" i="1"/>
  <c r="AC171" i="1"/>
  <c r="AC329" i="1"/>
  <c r="AC124" i="1"/>
  <c r="AB124" i="1" s="1"/>
  <c r="AC296" i="1"/>
  <c r="AB296" i="1" s="1"/>
  <c r="AC249" i="1"/>
  <c r="AC138" i="1"/>
  <c r="AC174" i="1"/>
  <c r="AC245" i="1"/>
  <c r="AC109" i="1"/>
  <c r="AC103" i="1"/>
  <c r="AC81" i="1"/>
  <c r="AC123" i="1"/>
  <c r="AC324" i="1"/>
  <c r="AC168" i="1"/>
  <c r="AC177" i="1"/>
  <c r="AC321" i="1"/>
  <c r="AC369" i="1"/>
  <c r="AC178" i="1"/>
  <c r="AB178" i="1" s="1"/>
  <c r="AC137" i="1"/>
  <c r="AB137" i="1" s="1"/>
  <c r="AC306" i="1"/>
  <c r="AB306" i="1" s="1"/>
  <c r="AC313" i="1"/>
  <c r="AC115" i="1"/>
  <c r="AC233" i="1"/>
  <c r="AC361" i="1"/>
  <c r="AB361" i="1" s="1"/>
  <c r="AB143" i="1" l="1"/>
  <c r="AB337" i="1"/>
  <c r="AB67" i="1"/>
  <c r="AB92" i="1"/>
  <c r="AB169" i="1"/>
  <c r="AB245" i="1"/>
  <c r="AB103" i="1"/>
  <c r="AB168" i="1"/>
  <c r="AB319" i="1"/>
  <c r="AB66" i="1"/>
  <c r="AB115" i="1"/>
  <c r="AB174" i="1"/>
  <c r="AC336" i="1"/>
  <c r="AC120" i="1"/>
  <c r="AB80" i="1"/>
  <c r="AC132" i="1"/>
  <c r="AB249" i="1"/>
  <c r="AB304" i="1"/>
  <c r="AC53" i="1"/>
  <c r="AB324" i="1"/>
  <c r="AB163" i="1"/>
  <c r="AC88" i="1"/>
  <c r="AB312" i="1"/>
  <c r="AB369" i="1"/>
  <c r="AB339" i="1"/>
  <c r="AB321" i="1"/>
  <c r="AB68" i="1"/>
  <c r="AC250" i="1"/>
  <c r="AC74" i="1"/>
  <c r="AB123" i="1"/>
  <c r="AB343" i="1"/>
  <c r="AB81" i="1"/>
  <c r="AC54" i="1"/>
  <c r="AB329" i="1"/>
  <c r="AC175" i="1"/>
  <c r="AB313" i="1"/>
  <c r="AB138" i="1"/>
  <c r="AB71" i="1"/>
  <c r="AB233" i="1"/>
  <c r="AC116" i="1"/>
  <c r="AB177" i="1"/>
  <c r="AB109" i="1"/>
  <c r="AB285" i="1"/>
  <c r="AB166" i="1"/>
  <c r="AB145" i="1"/>
  <c r="AC230" i="1"/>
  <c r="AB346" i="1"/>
  <c r="AB171" i="1"/>
  <c r="AB90" i="1"/>
  <c r="AB236" i="1"/>
  <c r="AH130" i="1"/>
  <c r="AA130" i="1"/>
  <c r="AB130" i="1" s="1"/>
  <c r="AH148" i="1"/>
  <c r="AA148" i="1"/>
  <c r="AA230" i="1"/>
  <c r="AH230" i="1"/>
  <c r="AA112" i="1"/>
  <c r="AH112" i="1"/>
  <c r="AH136" i="1"/>
  <c r="AA136" i="1"/>
  <c r="AB136" i="1" s="1"/>
  <c r="AA55" i="1"/>
  <c r="AB55" i="1" s="1"/>
  <c r="AH55" i="1"/>
  <c r="AA306" i="1"/>
  <c r="AH306" i="1"/>
  <c r="AA250" i="1"/>
  <c r="AH250" i="1"/>
  <c r="AH282" i="1"/>
  <c r="AA282" i="1"/>
  <c r="AA74" i="1"/>
  <c r="AH74" i="1"/>
  <c r="AA224" i="1"/>
  <c r="AB224" i="1" s="1"/>
  <c r="AH224" i="1"/>
  <c r="AA110" i="1"/>
  <c r="AH110" i="1"/>
  <c r="AA58" i="1"/>
  <c r="AH58" i="1"/>
  <c r="AH152" i="1"/>
  <c r="AA152" i="1"/>
  <c r="AH147" i="1"/>
  <c r="AA147" i="1"/>
  <c r="AB147" i="1" s="1"/>
  <c r="AH127" i="1"/>
  <c r="AA127" i="1"/>
  <c r="AB127" i="1" s="1"/>
  <c r="AH175" i="1"/>
  <c r="AA175" i="1"/>
  <c r="AB175" i="1" s="1"/>
  <c r="AA60" i="1"/>
  <c r="AB60" i="1" s="1"/>
  <c r="AH60" i="1"/>
  <c r="AH336" i="1"/>
  <c r="AA336" i="1"/>
  <c r="AA178" i="1"/>
  <c r="AH178" i="1"/>
  <c r="AA323" i="1"/>
  <c r="AH323" i="1"/>
  <c r="AH98" i="1"/>
  <c r="AA98" i="1"/>
  <c r="AB98" i="1" s="1"/>
  <c r="AA118" i="1"/>
  <c r="AB118" i="1" s="1"/>
  <c r="AH118" i="1"/>
  <c r="AH157" i="1"/>
  <c r="AA157" i="1"/>
  <c r="AB157" i="1" s="1"/>
  <c r="AH53" i="1"/>
  <c r="AA53" i="1"/>
  <c r="AA78" i="1"/>
  <c r="AB78" i="1" s="1"/>
  <c r="AH78" i="1"/>
  <c r="AH116" i="1"/>
  <c r="AA116" i="1"/>
  <c r="AH128" i="1"/>
  <c r="AA128" i="1"/>
  <c r="AB128" i="1" s="1"/>
  <c r="AA137" i="1"/>
  <c r="AH137" i="1"/>
  <c r="AA305" i="1"/>
  <c r="AH305" i="1"/>
  <c r="AH64" i="1"/>
  <c r="AA64" i="1"/>
  <c r="AB64" i="1" s="1"/>
  <c r="AH73" i="1"/>
  <c r="AA73" i="1"/>
  <c r="AB73" i="1" s="1"/>
  <c r="AH89" i="1"/>
  <c r="AA89" i="1"/>
  <c r="AH120" i="1"/>
  <c r="AA120" i="1"/>
  <c r="AA341" i="1"/>
  <c r="AH341" i="1"/>
  <c r="AB332" i="1"/>
  <c r="AH88" i="1"/>
  <c r="AA88" i="1"/>
  <c r="D80" i="21"/>
  <c r="AA9" i="21" s="1"/>
  <c r="AH310" i="1"/>
  <c r="AA310" i="1"/>
  <c r="AA132" i="1"/>
  <c r="AH132" i="1"/>
  <c r="AH225" i="1"/>
  <c r="AA225" i="1"/>
  <c r="AH243" i="1"/>
  <c r="AA243" i="1"/>
  <c r="Z258" i="1"/>
  <c r="AI258" i="1" s="1"/>
  <c r="AD258" i="1" s="1"/>
  <c r="Y258" i="1"/>
  <c r="AA338" i="1"/>
  <c r="AH338" i="1"/>
  <c r="AB333" i="1"/>
  <c r="AC112" i="1"/>
  <c r="AH301" i="1"/>
  <c r="AA301" i="1"/>
  <c r="F63" i="21"/>
  <c r="G63" i="21" s="1"/>
  <c r="E17" i="21"/>
  <c r="E80" i="21"/>
  <c r="O10" i="21" s="1"/>
  <c r="E44" i="8" s="1"/>
  <c r="AH99" i="1"/>
  <c r="AA99" i="1"/>
  <c r="AA296" i="1"/>
  <c r="AH296" i="1"/>
  <c r="AH255" i="1"/>
  <c r="AA255" i="1"/>
  <c r="AA158" i="1"/>
  <c r="AB158" i="1" s="1"/>
  <c r="AH158" i="1"/>
  <c r="AA46" i="1"/>
  <c r="AB46" i="1" s="1"/>
  <c r="AH46" i="1"/>
  <c r="AH111" i="1"/>
  <c r="AA111" i="1"/>
  <c r="AB111" i="1" s="1"/>
  <c r="Q9" i="21"/>
  <c r="D46" i="8" s="1"/>
  <c r="D17" i="21"/>
  <c r="G20" i="21"/>
  <c r="AH36" i="1"/>
  <c r="AA36" i="1"/>
  <c r="AB36" i="1" s="1"/>
  <c r="AB153" i="1"/>
  <c r="AA54" i="1"/>
  <c r="AH54" i="1"/>
  <c r="Y251" i="1"/>
  <c r="Z251" i="1"/>
  <c r="AI251" i="1" s="1"/>
  <c r="AD251" i="1" s="1"/>
  <c r="Y227" i="1"/>
  <c r="Z227" i="1"/>
  <c r="AI227" i="1" s="1"/>
  <c r="AD227" i="1" s="1"/>
  <c r="AC227" i="1" s="1"/>
  <c r="AC58" i="1"/>
  <c r="AC152" i="1"/>
  <c r="AC148" i="1"/>
  <c r="AC301" i="1"/>
  <c r="AC282" i="1"/>
  <c r="AC99" i="1"/>
  <c r="AC338" i="1"/>
  <c r="AC323" i="1"/>
  <c r="AC341" i="1"/>
  <c r="AC310" i="1"/>
  <c r="AC110" i="1"/>
  <c r="AC225" i="1"/>
  <c r="AB225" i="1" s="1"/>
  <c r="AC243" i="1"/>
  <c r="AC89" i="1"/>
  <c r="AC31" i="1"/>
  <c r="AB31" i="1" s="1"/>
  <c r="AC255" i="1"/>
  <c r="AC305" i="1"/>
  <c r="AB250" i="1" l="1"/>
  <c r="AB120" i="1"/>
  <c r="W9" i="21"/>
  <c r="D52" i="8" s="1"/>
  <c r="D117" i="8" s="1"/>
  <c r="V9" i="21"/>
  <c r="D51" i="8" s="1"/>
  <c r="AB88" i="1"/>
  <c r="AB243" i="1"/>
  <c r="N9" i="21"/>
  <c r="D43" i="8" s="1"/>
  <c r="D108" i="8" s="1"/>
  <c r="O9" i="21"/>
  <c r="D44" i="8" s="1"/>
  <c r="AB53" i="1"/>
  <c r="AB336" i="1"/>
  <c r="AB323" i="1"/>
  <c r="AB58" i="1"/>
  <c r="AB132" i="1"/>
  <c r="AB74" i="1"/>
  <c r="AB99" i="1"/>
  <c r="F17" i="21"/>
  <c r="AB230" i="1"/>
  <c r="AC251" i="1"/>
  <c r="AB54" i="1"/>
  <c r="AB282" i="1"/>
  <c r="J10" i="21"/>
  <c r="E39" i="8" s="1"/>
  <c r="AB341" i="1"/>
  <c r="AA10" i="21"/>
  <c r="AB310" i="1"/>
  <c r="K10" i="21"/>
  <c r="E40" i="8" s="1"/>
  <c r="Y10" i="21"/>
  <c r="E54" i="8" s="1"/>
  <c r="S10" i="21"/>
  <c r="E48" i="8" s="1"/>
  <c r="N10" i="21"/>
  <c r="E43" i="8" s="1"/>
  <c r="Q10" i="21"/>
  <c r="E46" i="8" s="1"/>
  <c r="AB301" i="1"/>
  <c r="AB148" i="1"/>
  <c r="AB152" i="1"/>
  <c r="T10" i="21"/>
  <c r="E49" i="8" s="1"/>
  <c r="R10" i="21"/>
  <c r="E47" i="8" s="1"/>
  <c r="M10" i="21"/>
  <c r="E42" i="8" s="1"/>
  <c r="AB116" i="1"/>
  <c r="AB338" i="1"/>
  <c r="V10" i="21"/>
  <c r="E51" i="8" s="1"/>
  <c r="U10" i="21"/>
  <c r="E50" i="8" s="1"/>
  <c r="P10" i="21"/>
  <c r="E45" i="8" s="1"/>
  <c r="AB112" i="1"/>
  <c r="AB110" i="1"/>
  <c r="X10" i="21"/>
  <c r="E53" i="8" s="1"/>
  <c r="L10" i="21"/>
  <c r="E62" i="8" s="1"/>
  <c r="Z10" i="21"/>
  <c r="E55" i="8" s="1"/>
  <c r="AB255" i="1"/>
  <c r="AB89" i="1"/>
  <c r="U9" i="21"/>
  <c r="D50" i="8" s="1"/>
  <c r="D115" i="8" s="1"/>
  <c r="AB305" i="1"/>
  <c r="AB10" i="21"/>
  <c r="E61" i="8" s="1"/>
  <c r="W10" i="21"/>
  <c r="E52" i="8" s="1"/>
  <c r="D116" i="8"/>
  <c r="S9" i="21"/>
  <c r="D48" i="8" s="1"/>
  <c r="Z9" i="21"/>
  <c r="D55" i="8" s="1"/>
  <c r="R9" i="21"/>
  <c r="D47" i="8" s="1"/>
  <c r="AH251" i="1"/>
  <c r="AA251" i="1"/>
  <c r="AH258" i="1"/>
  <c r="AA258" i="1"/>
  <c r="AC9" i="21"/>
  <c r="D63" i="8" s="1"/>
  <c r="P9" i="21"/>
  <c r="D45" i="8" s="1"/>
  <c r="X9" i="21"/>
  <c r="D53" i="8" s="1"/>
  <c r="K9" i="21"/>
  <c r="D40" i="8" s="1"/>
  <c r="AB9" i="21"/>
  <c r="D61" i="8" s="1"/>
  <c r="D111" i="8"/>
  <c r="E109" i="8"/>
  <c r="L9" i="21"/>
  <c r="D41" i="8" s="1"/>
  <c r="Y9" i="21"/>
  <c r="D54" i="8" s="1"/>
  <c r="T9" i="21"/>
  <c r="D49" i="8" s="1"/>
  <c r="AH227" i="1"/>
  <c r="AA227" i="1"/>
  <c r="AB227" i="1" s="1"/>
  <c r="J9" i="21"/>
  <c r="M9" i="21"/>
  <c r="D42" i="8" s="1"/>
  <c r="AC258" i="1"/>
  <c r="D109" i="8" l="1"/>
  <c r="W63" i="8"/>
  <c r="AH63" i="8" s="1"/>
  <c r="D61" i="10" s="1"/>
  <c r="E105" i="8"/>
  <c r="E117" i="8"/>
  <c r="E110" i="8"/>
  <c r="E113" i="8"/>
  <c r="E116" i="8"/>
  <c r="E112" i="8"/>
  <c r="E119" i="8"/>
  <c r="E108" i="8"/>
  <c r="AB251" i="1"/>
  <c r="AB258" i="1"/>
  <c r="E111" i="8"/>
  <c r="E115" i="8"/>
  <c r="E107" i="8"/>
  <c r="E114" i="8"/>
  <c r="E126" i="8"/>
  <c r="E120" i="8"/>
  <c r="E118" i="8"/>
  <c r="E127" i="8"/>
  <c r="AF10" i="21"/>
  <c r="E10" i="21"/>
  <c r="F10" i="21" s="1"/>
  <c r="D119" i="8"/>
  <c r="D105" i="8"/>
  <c r="D120" i="8"/>
  <c r="D107" i="8"/>
  <c r="D106" i="8"/>
  <c r="D118" i="8"/>
  <c r="D113" i="8"/>
  <c r="D9" i="21"/>
  <c r="D39" i="8"/>
  <c r="AF9" i="21"/>
  <c r="E104" i="8"/>
  <c r="E64" i="8"/>
  <c r="D110" i="8"/>
  <c r="D114" i="8"/>
  <c r="D126" i="8"/>
  <c r="D112" i="8"/>
  <c r="AF15" i="21" l="1"/>
  <c r="E129" i="8"/>
  <c r="E15" i="21"/>
  <c r="D104" i="8"/>
  <c r="D129" i="8" s="1"/>
  <c r="D64" i="8"/>
  <c r="N56" i="8"/>
  <c r="N47" i="8"/>
  <c r="N49" i="8"/>
  <c r="N45" i="8"/>
  <c r="N55" i="8"/>
  <c r="N39" i="8"/>
  <c r="N51" i="8"/>
  <c r="N44" i="8"/>
  <c r="N59" i="8"/>
  <c r="N63" i="8"/>
  <c r="X63" i="8" s="1"/>
  <c r="AI63" i="8" s="1"/>
  <c r="B63" i="11" s="1"/>
  <c r="N50" i="8"/>
  <c r="N52" i="8"/>
  <c r="N48" i="8"/>
  <c r="N43" i="8"/>
  <c r="N40" i="8"/>
  <c r="N58" i="8"/>
  <c r="N57" i="8"/>
  <c r="N42" i="8"/>
  <c r="N62" i="8"/>
  <c r="N54" i="8"/>
  <c r="N61" i="8"/>
  <c r="N46" i="8"/>
  <c r="N60" i="8"/>
  <c r="N53" i="8"/>
  <c r="I65" i="8"/>
  <c r="D4" i="21"/>
  <c r="D15" i="21"/>
  <c r="F9" i="21"/>
  <c r="F15" i="21" s="1"/>
  <c r="E16" i="21" l="1"/>
  <c r="AC66" i="8"/>
  <c r="R311" i="1"/>
  <c r="N126" i="8"/>
  <c r="X61" i="8"/>
  <c r="N122" i="8"/>
  <c r="X57" i="8"/>
  <c r="N113" i="8"/>
  <c r="X48" i="8"/>
  <c r="N124" i="8"/>
  <c r="X59" i="8"/>
  <c r="N120" i="8"/>
  <c r="X55" i="8"/>
  <c r="X56" i="8"/>
  <c r="N121" i="8"/>
  <c r="N118" i="8"/>
  <c r="X53" i="8"/>
  <c r="N119" i="8"/>
  <c r="X54" i="8"/>
  <c r="X58" i="8"/>
  <c r="N123" i="8"/>
  <c r="N117" i="8"/>
  <c r="X52" i="8"/>
  <c r="N109" i="8"/>
  <c r="X44" i="8"/>
  <c r="N110" i="8"/>
  <c r="X45" i="8"/>
  <c r="R325" i="1"/>
  <c r="D16" i="21"/>
  <c r="D66" i="8"/>
  <c r="N125" i="8"/>
  <c r="X60" i="8"/>
  <c r="N127" i="8"/>
  <c r="X62" i="8"/>
  <c r="N105" i="8"/>
  <c r="X40" i="8"/>
  <c r="N115" i="8"/>
  <c r="X50" i="8"/>
  <c r="N116" i="8"/>
  <c r="X51" i="8"/>
  <c r="N114" i="8"/>
  <c r="X49" i="8"/>
  <c r="M53" i="8"/>
  <c r="M43" i="8"/>
  <c r="M46" i="8"/>
  <c r="M60" i="8"/>
  <c r="M56" i="8"/>
  <c r="M40" i="8"/>
  <c r="M45" i="8"/>
  <c r="M44" i="8"/>
  <c r="M57" i="8"/>
  <c r="M51" i="8"/>
  <c r="M41" i="8"/>
  <c r="M59" i="8"/>
  <c r="M50" i="8"/>
  <c r="M47" i="8"/>
  <c r="M58" i="8"/>
  <c r="M42" i="8"/>
  <c r="M39" i="8"/>
  <c r="M61" i="8"/>
  <c r="M55" i="8"/>
  <c r="M52" i="8"/>
  <c r="D65" i="8"/>
  <c r="M48" i="8"/>
  <c r="M49" i="8"/>
  <c r="M54" i="8"/>
  <c r="N111" i="8"/>
  <c r="X46" i="8"/>
  <c r="N107" i="8"/>
  <c r="X42" i="8"/>
  <c r="N108" i="8"/>
  <c r="X43" i="8"/>
  <c r="I63" i="11"/>
  <c r="G63" i="11"/>
  <c r="N64" i="8"/>
  <c r="N104" i="8"/>
  <c r="X39" i="8"/>
  <c r="N112" i="8"/>
  <c r="X47" i="8"/>
  <c r="N129" i="8" l="1"/>
  <c r="X108" i="8"/>
  <c r="AI43" i="8"/>
  <c r="B43" i="11" s="1"/>
  <c r="AI46" i="8"/>
  <c r="B46" i="11" s="1"/>
  <c r="X111" i="8"/>
  <c r="M113" i="8"/>
  <c r="W48" i="8"/>
  <c r="M126" i="8"/>
  <c r="W61" i="8"/>
  <c r="M112" i="8"/>
  <c r="W47" i="8"/>
  <c r="M116" i="8"/>
  <c r="W51" i="8"/>
  <c r="M105" i="8"/>
  <c r="W40" i="8"/>
  <c r="M108" i="8"/>
  <c r="W43" i="8"/>
  <c r="X116" i="8"/>
  <c r="AI51" i="8"/>
  <c r="B51" i="11" s="1"/>
  <c r="AI40" i="8"/>
  <c r="B40" i="11" s="1"/>
  <c r="X105" i="8"/>
  <c r="X125" i="8"/>
  <c r="AI60" i="8"/>
  <c r="B60" i="11" s="1"/>
  <c r="AI44" i="8"/>
  <c r="B44" i="11" s="1"/>
  <c r="X109" i="8"/>
  <c r="X118" i="8"/>
  <c r="AI53" i="8"/>
  <c r="B53" i="11" s="1"/>
  <c r="AI55" i="8"/>
  <c r="B55" i="11" s="1"/>
  <c r="X120" i="8"/>
  <c r="AI48" i="8"/>
  <c r="B48" i="11" s="1"/>
  <c r="X113" i="8"/>
  <c r="AI61" i="8"/>
  <c r="B61" i="11" s="1"/>
  <c r="X126" i="8"/>
  <c r="X112" i="8"/>
  <c r="AI47" i="8"/>
  <c r="B47" i="11" s="1"/>
  <c r="M64" i="8"/>
  <c r="AC67" i="8" s="1"/>
  <c r="AC68" i="8" s="1"/>
  <c r="M104" i="8"/>
  <c r="W39" i="8"/>
  <c r="M115" i="8"/>
  <c r="W50" i="8"/>
  <c r="W57" i="8"/>
  <c r="M122" i="8"/>
  <c r="M121" i="8"/>
  <c r="W56" i="8"/>
  <c r="M118" i="8"/>
  <c r="W53" i="8"/>
  <c r="Z325" i="1"/>
  <c r="AI325" i="1" s="1"/>
  <c r="AD325" i="1" s="1"/>
  <c r="Y325" i="1"/>
  <c r="AI58" i="8"/>
  <c r="B58" i="11" s="1"/>
  <c r="X123" i="8"/>
  <c r="AI42" i="8"/>
  <c r="B42" i="11" s="1"/>
  <c r="X107" i="8"/>
  <c r="M119" i="8"/>
  <c r="W54" i="8"/>
  <c r="M117" i="8"/>
  <c r="W52" i="8"/>
  <c r="M107" i="8"/>
  <c r="W42" i="8"/>
  <c r="M124" i="8"/>
  <c r="W59" i="8"/>
  <c r="M109" i="8"/>
  <c r="W44" i="8"/>
  <c r="M125" i="8"/>
  <c r="W60" i="8"/>
  <c r="X114" i="8"/>
  <c r="AI49" i="8"/>
  <c r="B49" i="11" s="1"/>
  <c r="X115" i="8"/>
  <c r="AI50" i="8"/>
  <c r="B50" i="11" s="1"/>
  <c r="AI62" i="8"/>
  <c r="B62" i="11" s="1"/>
  <c r="X127" i="8"/>
  <c r="X110" i="8"/>
  <c r="AI45" i="8"/>
  <c r="B45" i="11" s="1"/>
  <c r="X117" i="8"/>
  <c r="AI52" i="8"/>
  <c r="B52" i="11" s="1"/>
  <c r="X119" i="8"/>
  <c r="AI54" i="8"/>
  <c r="B54" i="11" s="1"/>
  <c r="X124" i="8"/>
  <c r="AI59" i="8"/>
  <c r="B59" i="11" s="1"/>
  <c r="AI57" i="8"/>
  <c r="B57" i="11" s="1"/>
  <c r="X122" i="8"/>
  <c r="X104" i="8"/>
  <c r="X64" i="8"/>
  <c r="AB65" i="8" s="1"/>
  <c r="AI39" i="8"/>
  <c r="N63" i="11"/>
  <c r="P63" i="11"/>
  <c r="U63" i="11" s="1"/>
  <c r="M114" i="8"/>
  <c r="W49" i="8"/>
  <c r="M120" i="8"/>
  <c r="W55" i="8"/>
  <c r="M123" i="8"/>
  <c r="W58" i="8"/>
  <c r="M106" i="8"/>
  <c r="W41" i="8"/>
  <c r="M110" i="8"/>
  <c r="W45" i="8"/>
  <c r="M111" i="8"/>
  <c r="W46" i="8"/>
  <c r="X121" i="8"/>
  <c r="AI56" i="8"/>
  <c r="B56" i="11" s="1"/>
  <c r="Z311" i="1"/>
  <c r="AI311" i="1" s="1"/>
  <c r="AD311" i="1" s="1"/>
  <c r="Y311" i="1"/>
  <c r="AC325" i="1" l="1"/>
  <c r="X129" i="8"/>
  <c r="W118" i="8"/>
  <c r="AH53" i="8"/>
  <c r="D51" i="10" s="1"/>
  <c r="W104" i="8"/>
  <c r="W64" i="8"/>
  <c r="AH39" i="8"/>
  <c r="I47" i="11"/>
  <c r="G47" i="11"/>
  <c r="G53" i="11"/>
  <c r="I53" i="11"/>
  <c r="G60" i="11"/>
  <c r="I60" i="11"/>
  <c r="I51" i="11"/>
  <c r="G51" i="11"/>
  <c r="AH40" i="8"/>
  <c r="D38" i="10" s="1"/>
  <c r="W105" i="8"/>
  <c r="W112" i="8"/>
  <c r="AH47" i="8"/>
  <c r="D45" i="10" s="1"/>
  <c r="AH48" i="8"/>
  <c r="D46" i="10" s="1"/>
  <c r="W113" i="8"/>
  <c r="G43" i="11"/>
  <c r="I43" i="11"/>
  <c r="AA311" i="1"/>
  <c r="AH311" i="1"/>
  <c r="W111" i="8"/>
  <c r="AH46" i="8"/>
  <c r="D44" i="10" s="1"/>
  <c r="W106" i="8"/>
  <c r="AH41" i="8"/>
  <c r="D39" i="10" s="1"/>
  <c r="W120" i="8"/>
  <c r="AH55" i="8"/>
  <c r="D53" i="10" s="1"/>
  <c r="G62" i="11"/>
  <c r="I62" i="11"/>
  <c r="I58" i="11"/>
  <c r="G58" i="11"/>
  <c r="I61" i="11"/>
  <c r="G61" i="11"/>
  <c r="I55" i="11"/>
  <c r="G55" i="11"/>
  <c r="I44" i="11"/>
  <c r="G44" i="11"/>
  <c r="I40" i="11"/>
  <c r="G40" i="11"/>
  <c r="G46" i="11"/>
  <c r="I46" i="11"/>
  <c r="I54" i="11"/>
  <c r="G54" i="11"/>
  <c r="I45" i="11"/>
  <c r="G45" i="11"/>
  <c r="G50" i="11"/>
  <c r="I50" i="11"/>
  <c r="W125" i="8"/>
  <c r="AH60" i="8"/>
  <c r="D58" i="10" s="1"/>
  <c r="W124" i="8"/>
  <c r="AH59" i="8"/>
  <c r="D57" i="10" s="1"/>
  <c r="W117" i="8"/>
  <c r="AH52" i="8"/>
  <c r="D50" i="10" s="1"/>
  <c r="I56" i="11"/>
  <c r="G56" i="11"/>
  <c r="AH45" i="8"/>
  <c r="D43" i="10" s="1"/>
  <c r="W110" i="8"/>
  <c r="AH58" i="8"/>
  <c r="D56" i="10" s="1"/>
  <c r="W123" i="8"/>
  <c r="W114" i="8"/>
  <c r="AH49" i="8"/>
  <c r="D47" i="10" s="1"/>
  <c r="B39" i="11"/>
  <c r="AI64" i="8"/>
  <c r="B64" i="11" s="1"/>
  <c r="G57" i="11"/>
  <c r="I57" i="11"/>
  <c r="G42" i="11"/>
  <c r="I42" i="11"/>
  <c r="AA325" i="1"/>
  <c r="AH325" i="1"/>
  <c r="AH57" i="8"/>
  <c r="D55" i="10" s="1"/>
  <c r="W122" i="8"/>
  <c r="M129" i="8"/>
  <c r="I48" i="11"/>
  <c r="G48" i="11"/>
  <c r="I59" i="11"/>
  <c r="G59" i="11"/>
  <c r="G52" i="11"/>
  <c r="I52" i="11"/>
  <c r="I49" i="11"/>
  <c r="G49" i="11"/>
  <c r="AH44" i="8"/>
  <c r="D42" i="10" s="1"/>
  <c r="W109" i="8"/>
  <c r="AH42" i="8"/>
  <c r="D40" i="10" s="1"/>
  <c r="W107" i="8"/>
  <c r="W119" i="8"/>
  <c r="AH54" i="8"/>
  <c r="D52" i="10" s="1"/>
  <c r="W121" i="8"/>
  <c r="AH56" i="8"/>
  <c r="D54" i="10" s="1"/>
  <c r="AH50" i="8"/>
  <c r="D48" i="10" s="1"/>
  <c r="W115" i="8"/>
  <c r="W108" i="8"/>
  <c r="AH43" i="8"/>
  <c r="D41" i="10" s="1"/>
  <c r="W116" i="8"/>
  <c r="AH51" i="8"/>
  <c r="D49" i="10" s="1"/>
  <c r="AH61" i="8"/>
  <c r="D59" i="10" s="1"/>
  <c r="W126" i="8"/>
  <c r="AC311" i="1"/>
  <c r="AB311" i="1" l="1"/>
  <c r="AB325" i="1"/>
  <c r="P49" i="11"/>
  <c r="U49" i="11" s="1"/>
  <c r="N49" i="11"/>
  <c r="P59" i="11"/>
  <c r="U59" i="11" s="1"/>
  <c r="N59" i="11"/>
  <c r="P48" i="11"/>
  <c r="U48" i="11" s="1"/>
  <c r="N48" i="11"/>
  <c r="P57" i="11"/>
  <c r="U57" i="11" s="1"/>
  <c r="N57" i="11"/>
  <c r="P40" i="11"/>
  <c r="U40" i="11" s="1"/>
  <c r="N40" i="11"/>
  <c r="P55" i="11"/>
  <c r="U55" i="11" s="1"/>
  <c r="N55" i="11"/>
  <c r="P58" i="11"/>
  <c r="U58" i="11" s="1"/>
  <c r="N58" i="11"/>
  <c r="P51" i="11"/>
  <c r="U51" i="11" s="1"/>
  <c r="N51" i="11"/>
  <c r="W65" i="8"/>
  <c r="AC65" i="8"/>
  <c r="P52" i="11"/>
  <c r="U52" i="11" s="1"/>
  <c r="N52" i="11"/>
  <c r="N45" i="11"/>
  <c r="P45" i="11"/>
  <c r="U45" i="11" s="1"/>
  <c r="P46" i="11"/>
  <c r="U46" i="11" s="1"/>
  <c r="N46" i="11"/>
  <c r="P62" i="11"/>
  <c r="U62" i="11" s="1"/>
  <c r="N62" i="11"/>
  <c r="N60" i="11"/>
  <c r="P60" i="11"/>
  <c r="U60" i="11" s="1"/>
  <c r="W129" i="8"/>
  <c r="P42" i="11"/>
  <c r="U42" i="11" s="1"/>
  <c r="N42" i="11"/>
  <c r="N50" i="11"/>
  <c r="P50" i="11"/>
  <c r="U50" i="11" s="1"/>
  <c r="P44" i="11"/>
  <c r="U44" i="11" s="1"/>
  <c r="N44" i="11"/>
  <c r="P61" i="11"/>
  <c r="U61" i="11" s="1"/>
  <c r="N61" i="11"/>
  <c r="P47" i="11"/>
  <c r="U47" i="11" s="1"/>
  <c r="N47" i="11"/>
  <c r="I39" i="11"/>
  <c r="G39" i="11"/>
  <c r="G64" i="11" s="1"/>
  <c r="P56" i="11"/>
  <c r="U56" i="11" s="1"/>
  <c r="N56" i="11"/>
  <c r="P54" i="11"/>
  <c r="U54" i="11" s="1"/>
  <c r="N54" i="11"/>
  <c r="N43" i="11"/>
  <c r="P43" i="11"/>
  <c r="U43" i="11" s="1"/>
  <c r="P53" i="11"/>
  <c r="U53" i="11" s="1"/>
  <c r="N53" i="11"/>
  <c r="AH64" i="8"/>
  <c r="D37" i="10"/>
  <c r="D62" i="10" l="1"/>
  <c r="I64" i="11"/>
  <c r="N39" i="11"/>
  <c r="N64" i="11" s="1"/>
  <c r="P39" i="11"/>
  <c r="U39" i="11" l="1"/>
  <c r="U64" i="11" s="1"/>
  <c r="P64" i="11"/>
  <c r="R351" i="1" l="1"/>
  <c r="Y351" i="1" l="1"/>
  <c r="Z351" i="1"/>
  <c r="AI351" i="1" s="1"/>
  <c r="AD351" i="1" s="1"/>
  <c r="AC351" i="1" l="1"/>
  <c r="AA351" i="1"/>
  <c r="AH351" i="1"/>
  <c r="AB351" i="1" l="1"/>
  <c r="R352" i="1" l="1"/>
  <c r="R381" i="1" s="1"/>
  <c r="Z352" i="1" l="1"/>
  <c r="AI352" i="1" s="1"/>
  <c r="AD352" i="1" s="1"/>
  <c r="Y352" i="1"/>
  <c r="R397" i="1"/>
  <c r="L5" i="58" s="1"/>
  <c r="L22" i="58" s="1"/>
  <c r="R400" i="1"/>
  <c r="L7" i="58" s="1"/>
  <c r="L24" i="58" s="1"/>
  <c r="R384" i="1"/>
  <c r="AC352" i="1" l="1"/>
  <c r="AA352" i="1"/>
  <c r="AH352" i="1"/>
  <c r="AB352" i="1" l="1"/>
  <c r="R309" i="1" l="1"/>
  <c r="R23" i="29"/>
  <c r="R22" i="1" s="1"/>
  <c r="Y309" i="1" l="1"/>
  <c r="Z309" i="1"/>
  <c r="AI309" i="1" s="1"/>
  <c r="AD309" i="1" s="1"/>
  <c r="AZ9" i="1"/>
  <c r="AY9" i="1"/>
  <c r="BA9" i="1"/>
  <c r="BD9" i="1"/>
  <c r="R386" i="1"/>
  <c r="R402" i="1"/>
  <c r="R23" i="1"/>
  <c r="BE9" i="1"/>
  <c r="AT9" i="1"/>
  <c r="BC9" i="1"/>
  <c r="AU9" i="1"/>
  <c r="AN9" i="1"/>
  <c r="AQ9" i="1"/>
  <c r="AP9" i="1"/>
  <c r="AR9" i="1"/>
  <c r="AM9" i="1"/>
  <c r="AW9" i="1"/>
  <c r="BB9" i="1"/>
  <c r="AO9" i="1"/>
  <c r="AV9" i="1"/>
  <c r="AS9" i="1"/>
  <c r="AX9" i="1"/>
  <c r="AL9" i="1"/>
  <c r="R406" i="1" l="1"/>
  <c r="L10" i="58"/>
  <c r="L27" i="58" s="1"/>
  <c r="D18" i="8"/>
  <c r="D9" i="8"/>
  <c r="D10" i="8"/>
  <c r="D32" i="8"/>
  <c r="D97" i="8" s="1"/>
  <c r="D30" i="8"/>
  <c r="D11" i="8"/>
  <c r="D14" i="8"/>
  <c r="D17" i="8"/>
  <c r="D23" i="8"/>
  <c r="D20" i="8"/>
  <c r="D24" i="8"/>
  <c r="D12" i="8"/>
  <c r="D21" i="8"/>
  <c r="D15" i="8"/>
  <c r="D19" i="8"/>
  <c r="D13" i="8"/>
  <c r="D16" i="8"/>
  <c r="D22" i="8"/>
  <c r="R390" i="1"/>
  <c r="D8" i="8"/>
  <c r="R9" i="1"/>
  <c r="BF9" i="1"/>
  <c r="AH309" i="1"/>
  <c r="AA309" i="1"/>
  <c r="D83" i="8" l="1"/>
  <c r="D79" i="8"/>
  <c r="D75" i="8"/>
  <c r="D84" i="8"/>
  <c r="D89" i="8"/>
  <c r="D74" i="8"/>
  <c r="D81" i="8"/>
  <c r="D88" i="8"/>
  <c r="D86" i="8"/>
  <c r="D76" i="8"/>
  <c r="D95" i="8"/>
  <c r="D87" i="8"/>
  <c r="D78" i="8"/>
  <c r="D77" i="8"/>
  <c r="D82" i="8"/>
  <c r="D80" i="8"/>
  <c r="D85" i="8"/>
  <c r="Y9" i="1"/>
  <c r="Y15" i="1" s="1"/>
  <c r="R15" i="1"/>
  <c r="D33" i="8"/>
  <c r="D73" i="8"/>
  <c r="L32" i="58"/>
  <c r="L15" i="58"/>
  <c r="AC309" i="1"/>
  <c r="AB309" i="1" s="1"/>
  <c r="AA10" i="1" s="1"/>
  <c r="AA11" i="1"/>
  <c r="AA8" i="1"/>
  <c r="AA14" i="1"/>
  <c r="AA12" i="1"/>
  <c r="AA13" i="1"/>
  <c r="AA9" i="1"/>
  <c r="D98" i="8" l="1"/>
  <c r="M29" i="8"/>
  <c r="M14" i="8"/>
  <c r="M22" i="8"/>
  <c r="D34" i="8"/>
  <c r="M12" i="8"/>
  <c r="M8" i="8"/>
  <c r="M13" i="8"/>
  <c r="M15" i="8"/>
  <c r="M21" i="8"/>
  <c r="M24" i="8"/>
  <c r="M27" i="8"/>
  <c r="M18" i="8"/>
  <c r="M10" i="8"/>
  <c r="M17" i="8"/>
  <c r="M20" i="8"/>
  <c r="M25" i="8"/>
  <c r="M16" i="8"/>
  <c r="M19" i="8"/>
  <c r="M26" i="8"/>
  <c r="M32" i="8"/>
  <c r="W32" i="8" s="1"/>
  <c r="M23" i="8"/>
  <c r="M11" i="8"/>
  <c r="M9" i="8"/>
  <c r="M30" i="8"/>
  <c r="M28" i="8"/>
  <c r="D35" i="8"/>
  <c r="R16" i="1"/>
  <c r="M95" i="8" l="1"/>
  <c r="W30" i="8"/>
  <c r="AH32" i="8"/>
  <c r="D30" i="10" s="1"/>
  <c r="W97" i="8"/>
  <c r="M90" i="8"/>
  <c r="W25" i="8"/>
  <c r="M83" i="8"/>
  <c r="W18" i="8"/>
  <c r="M80" i="8"/>
  <c r="W15" i="8"/>
  <c r="M74" i="8"/>
  <c r="W9" i="8"/>
  <c r="M91" i="8"/>
  <c r="W26" i="8"/>
  <c r="M85" i="8"/>
  <c r="W20" i="8"/>
  <c r="M92" i="8"/>
  <c r="W27" i="8"/>
  <c r="M78" i="8"/>
  <c r="W13" i="8"/>
  <c r="M87" i="8"/>
  <c r="W22" i="8"/>
  <c r="M76" i="8"/>
  <c r="W11" i="8"/>
  <c r="M84" i="8"/>
  <c r="W19" i="8"/>
  <c r="M82" i="8"/>
  <c r="W17" i="8"/>
  <c r="M89" i="8"/>
  <c r="W24" i="8"/>
  <c r="M33" i="8"/>
  <c r="AC35" i="8" s="1"/>
  <c r="M73" i="8"/>
  <c r="W8" i="8"/>
  <c r="M79" i="8"/>
  <c r="W14" i="8"/>
  <c r="W28" i="8"/>
  <c r="M93" i="8"/>
  <c r="M88" i="8"/>
  <c r="W23" i="8"/>
  <c r="M81" i="8"/>
  <c r="W16" i="8"/>
  <c r="M75" i="8"/>
  <c r="W10" i="8"/>
  <c r="M86" i="8"/>
  <c r="W21" i="8"/>
  <c r="M77" i="8"/>
  <c r="W12" i="8"/>
  <c r="W29" i="8"/>
  <c r="M94" i="8"/>
  <c r="W94" i="8" l="1"/>
  <c r="AH29" i="8"/>
  <c r="D27" i="10" s="1"/>
  <c r="W93" i="8"/>
  <c r="AH28" i="8"/>
  <c r="D26" i="10" s="1"/>
  <c r="M98" i="8"/>
  <c r="W82" i="8"/>
  <c r="AH17" i="8"/>
  <c r="D15" i="10" s="1"/>
  <c r="AH11" i="8"/>
  <c r="D9" i="10" s="1"/>
  <c r="W76" i="8"/>
  <c r="AH13" i="8"/>
  <c r="D11" i="10" s="1"/>
  <c r="W78" i="8"/>
  <c r="W85" i="8"/>
  <c r="AH20" i="8"/>
  <c r="D18" i="10" s="1"/>
  <c r="AH9" i="8"/>
  <c r="D7" i="10" s="1"/>
  <c r="W74" i="8"/>
  <c r="W83" i="8"/>
  <c r="AH18" i="8"/>
  <c r="D16" i="10" s="1"/>
  <c r="W77" i="8"/>
  <c r="AH12" i="8"/>
  <c r="D10" i="10" s="1"/>
  <c r="W75" i="8"/>
  <c r="AH10" i="8"/>
  <c r="D8" i="10" s="1"/>
  <c r="W88" i="8"/>
  <c r="AH23" i="8"/>
  <c r="D21" i="10" s="1"/>
  <c r="AH14" i="8"/>
  <c r="D12" i="10" s="1"/>
  <c r="W79" i="8"/>
  <c r="AH24" i="8"/>
  <c r="D22" i="10" s="1"/>
  <c r="W89" i="8"/>
  <c r="AH19" i="8"/>
  <c r="D17" i="10" s="1"/>
  <c r="W84" i="8"/>
  <c r="W87" i="8"/>
  <c r="AH22" i="8"/>
  <c r="D20" i="10" s="1"/>
  <c r="W92" i="8"/>
  <c r="AH27" i="8"/>
  <c r="D25" i="10" s="1"/>
  <c r="W91" i="8"/>
  <c r="AH26" i="8"/>
  <c r="D24" i="10" s="1"/>
  <c r="W80" i="8"/>
  <c r="AH15" i="8"/>
  <c r="D13" i="10" s="1"/>
  <c r="W90" i="8"/>
  <c r="AH25" i="8"/>
  <c r="D23" i="10" s="1"/>
  <c r="AH30" i="8"/>
  <c r="D28" i="10" s="1"/>
  <c r="W95" i="8"/>
  <c r="AH21" i="8"/>
  <c r="D19" i="10" s="1"/>
  <c r="W86" i="8"/>
  <c r="W81" i="8"/>
  <c r="AH16" i="8"/>
  <c r="D14" i="10" s="1"/>
  <c r="W73" i="8"/>
  <c r="AH8" i="8"/>
  <c r="W33" i="8"/>
  <c r="W34" i="8" l="1"/>
  <c r="AC34" i="8"/>
  <c r="AH33" i="8"/>
  <c r="D6" i="10"/>
  <c r="W98" i="8"/>
  <c r="D31" i="10" l="1"/>
</calcChain>
</file>

<file path=xl/comments1.xml><?xml version="1.0" encoding="utf-8"?>
<comments xmlns="http://schemas.openxmlformats.org/spreadsheetml/2006/main">
  <authors>
    <author>Robertson, Ian (ENet)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Proposed new asset class.  Looks up T11 "Comms Other"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Proposed new asset class.  Looks up T41 "Comms Other"</t>
        </r>
      </text>
    </comment>
  </commentList>
</comments>
</file>

<file path=xl/comments2.xml><?xml version="1.0" encoding="utf-8"?>
<comments xmlns="http://schemas.openxmlformats.org/spreadsheetml/2006/main">
  <authors>
    <author>Robertson, Ian (ENet)</author>
  </authors>
  <commentList>
    <comment ref="A1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cpi escalator 2015/16 to 2016/17
</t>
        </r>
      </text>
    </comment>
    <comment ref="AC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End year factor discounts the commissioned project capex from 2023 back to year of capitalisation</t>
        </r>
      </text>
    </comment>
    <comment ref="AE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Asset in Service date (for capitalisation).</t>
        </r>
      </text>
    </comment>
    <comment ref="AF25" authorId="0" shapeId="0">
      <text>
        <r>
          <rPr>
            <b/>
            <sz val="9"/>
            <color indexed="81"/>
            <rFont val="Tahoma"/>
            <family val="2"/>
          </rPr>
          <t xml:space="preserve">Robertson, Ian (ENet):
</t>
        </r>
        <r>
          <rPr>
            <sz val="9"/>
            <color indexed="81"/>
            <rFont val="Tahoma"/>
            <family val="2"/>
          </rPr>
          <t>Pre 2017 projects with ongoing spend after  Asset in Service  capitalisation are included on "Commissioned Extra" worksheet.</t>
        </r>
      </text>
    </comment>
    <comment ref="AK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>If &gt;$0, estimate comes from  current Success Estimator projects</t>
        </r>
      </text>
    </comment>
    <comment ref="R2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Project cancelled</t>
        </r>
      </text>
    </comment>
    <comment ref="AF2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R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Manual adjustment - cancelled project</t>
        </r>
      </text>
    </comment>
    <comment ref="AF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EC.11630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Written off</t>
        </r>
      </text>
    </comment>
    <comment ref="AF4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43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EC.11386</t>
        </r>
      </text>
    </comment>
    <comment ref="AF44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RE Eyre Peninsula RIT-T</t>
        </r>
      </text>
    </comment>
    <comment ref="AF5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6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Date not correct in Project Centre</t>
        </r>
      </text>
    </comment>
    <comment ref="AF8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1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EC.11516</t>
        </r>
      </text>
    </comment>
    <comment ref="AF17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2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29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1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Assumed to be WIP at June 2023 - checkwith Laurie.  Project on hold</t>
        </r>
      </text>
    </comment>
    <comment ref="AF31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RIT-T</t>
        </r>
      </text>
    </comment>
    <comment ref="AF320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RIT-T</t>
        </r>
      </text>
    </comment>
  </commentList>
</comments>
</file>

<file path=xl/comments3.xml><?xml version="1.0" encoding="utf-8"?>
<comments xmlns="http://schemas.openxmlformats.org/spreadsheetml/2006/main">
  <authors>
    <author>Robertson, Ian (ENet)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>If &gt;$0, estimate comes from  Success Estimator projects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Actual asset split applied to part project commissioned in 2017</t>
        </r>
      </text>
    </comment>
    <comment ref="N24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Forecast split retained for future commissioning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Forecast split retained for future commissioning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Actual asset split applied to part project commissioned in 2017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Forecast split retained for future commissioning</t>
        </r>
      </text>
    </comment>
  </commentList>
</comments>
</file>

<file path=xl/comments4.xml><?xml version="1.0" encoding="utf-8"?>
<comments xmlns="http://schemas.openxmlformats.org/spreadsheetml/2006/main">
  <authors>
    <author>Robertson, Ian (ENet)</author>
  </authors>
  <commentList>
    <comment ref="AG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Vehicle cost shared across 5 projects.  Purchased in 2013/14</t>
        </r>
      </text>
    </comment>
    <comment ref="AG3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Vehicle cost shared across 5 projects.  Purchased in 2013/14</t>
        </r>
      </text>
    </comment>
  </commentList>
</comments>
</file>

<file path=xl/comments5.xml><?xml version="1.0" encoding="utf-8"?>
<comments xmlns="http://schemas.openxmlformats.org/spreadsheetml/2006/main">
  <authors>
    <author>Robertson, Ian (ENet)</author>
  </authors>
  <commentList>
    <comment ref="J4" authorId="0" shapeId="0">
      <text>
        <r>
          <rPr>
            <b/>
            <sz val="9"/>
            <color indexed="81"/>
            <rFont val="Tahoma"/>
            <family val="2"/>
          </rPr>
          <t>WBS element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Description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Bk.val.FY end</t>
        </r>
      </text>
    </comment>
  </commentList>
</comments>
</file>

<file path=xl/comments6.xml><?xml version="1.0" encoding="utf-8"?>
<comments xmlns="http://schemas.openxmlformats.org/spreadsheetml/2006/main">
  <authors>
    <author>Robertson, Ian (ENet)</author>
  </authors>
  <commentList>
    <comment ref="AW15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Manual adjustment</t>
        </r>
      </text>
    </comment>
  </commentList>
</comments>
</file>

<file path=xl/sharedStrings.xml><?xml version="1.0" encoding="utf-8"?>
<sst xmlns="http://schemas.openxmlformats.org/spreadsheetml/2006/main" count="16911" uniqueCount="3168">
  <si>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</si>
  <si>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</si>
  <si>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</si>
  <si>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</si>
  <si>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</si>
  <si>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</si>
  <si>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</si>
  <si>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</si>
  <si>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</si>
  <si>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</si>
  <si>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</si>
  <si>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</si>
  <si>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</si>
  <si>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</si>
  <si>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</si>
  <si>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</si>
  <si>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</si>
  <si>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</si>
  <si>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</si>
  <si>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</si>
  <si>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</si>
  <si>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</si>
  <si>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</si>
  <si>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</si>
  <si>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</si>
  <si>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</si>
  <si>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</si>
  <si>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</si>
  <si>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</si>
  <si>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</si>
  <si>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</si>
  <si>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</si>
  <si>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</si>
  <si>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Tungkillo 275kV 100Mvar Capacitor Bank</t>
  </si>
  <si>
    <t>EC.10344</t>
  </si>
  <si>
    <t>Heywood Interconnector Upgrade</t>
  </si>
  <si>
    <t>Facilities</t>
  </si>
  <si>
    <t>EC.10370</t>
  </si>
  <si>
    <t>Clare North New 132_33 kV Substation</t>
  </si>
  <si>
    <t>Hummocks 132/33 kV Transformer Upgrade</t>
  </si>
  <si>
    <t>Replacement</t>
  </si>
  <si>
    <t>Refurbishment</t>
  </si>
  <si>
    <t>EC.10424</t>
  </si>
  <si>
    <t>Riverland Reinforcement Land and Easemen</t>
  </si>
  <si>
    <t>Easements/Land</t>
  </si>
  <si>
    <t>Deferred</t>
  </si>
  <si>
    <t>EC.10503</t>
  </si>
  <si>
    <t>Waterloo Substation Replacement</t>
  </si>
  <si>
    <t>EC.10505</t>
  </si>
  <si>
    <t>Millbrook Pump Station Replacement</t>
  </si>
  <si>
    <t>EC.10509</t>
  </si>
  <si>
    <t>Whyalla Terminal Substation Replac</t>
  </si>
  <si>
    <t>EC.10517</t>
  </si>
  <si>
    <t>South East CB Upgrade</t>
  </si>
  <si>
    <t>Security/Compliance</t>
  </si>
  <si>
    <t>Information Technology</t>
  </si>
  <si>
    <t>Telecommunications</t>
  </si>
  <si>
    <t>EC.10615</t>
  </si>
  <si>
    <t>Ardrossan West 132kV Sub Rebuild 2x25MVA</t>
  </si>
  <si>
    <t>Operations</t>
  </si>
  <si>
    <t>Inventory/Spares</t>
  </si>
  <si>
    <t>EC.10703</t>
  </si>
  <si>
    <t>SVC Secondary Systems Replacement (Para)</t>
  </si>
  <si>
    <t>Strategic Land Acquisition</t>
  </si>
  <si>
    <t>Project Management Support System Upgrad</t>
  </si>
  <si>
    <t>Building Electronic Security</t>
  </si>
  <si>
    <t>AREVA EMP Upg. &amp; Support Packs Stage 1</t>
  </si>
  <si>
    <t>EC.11101</t>
  </si>
  <si>
    <t>Cultana 275_132 kV Augmentation</t>
  </si>
  <si>
    <t>EC.11104</t>
  </si>
  <si>
    <t>Northern SA Region Voltage Support</t>
  </si>
  <si>
    <t>Mannum TF Capacity Increase 20 to 28MVA</t>
  </si>
  <si>
    <t>EC.11109</t>
  </si>
  <si>
    <t>TIPS 66kV Section Secondary Systems Upg.</t>
  </si>
  <si>
    <t>EC.11110</t>
  </si>
  <si>
    <t>CLSD Eyre Peninsula Land &amp; Easement Acqu</t>
  </si>
  <si>
    <t>EC.11112</t>
  </si>
  <si>
    <t>[CLSD] Para-PGW-TIPS Telecoms Bearer</t>
  </si>
  <si>
    <t>EC.11132</t>
  </si>
  <si>
    <t>Fleurieu Peninsula Reinforcement Land an</t>
  </si>
  <si>
    <t>EC.11134</t>
  </si>
  <si>
    <t>Integrated Budgeting &amp; Forecasting</t>
  </si>
  <si>
    <t>EC.11201</t>
  </si>
  <si>
    <t>Eyre Peninsula Reinforcement</t>
  </si>
  <si>
    <t>Listed</t>
  </si>
  <si>
    <t>EC.11208</t>
  </si>
  <si>
    <t>Parafield Gardens West CB Complete Mesh</t>
  </si>
  <si>
    <t>EC.11209</t>
  </si>
  <si>
    <t>Munno Para New 275_66 kV Connection Poin</t>
  </si>
  <si>
    <t>EC.11216</t>
  </si>
  <si>
    <t>South East Dual Path Telecommunications</t>
  </si>
  <si>
    <t>EC.11217</t>
  </si>
  <si>
    <t>Asset Data Capture</t>
  </si>
  <si>
    <t>EC.11218</t>
  </si>
  <si>
    <t>Network Configuration Management System</t>
  </si>
  <si>
    <t>EC.11220</t>
  </si>
  <si>
    <t>Integrated Information Environment</t>
  </si>
  <si>
    <t>Office Systems SOE</t>
  </si>
  <si>
    <t>EC.11234</t>
  </si>
  <si>
    <t>Drawing Management System Tech Upgrade 1</t>
  </si>
  <si>
    <t>EC.11236</t>
  </si>
  <si>
    <t>IEC 61850 Training &amp; Development Facilit</t>
  </si>
  <si>
    <t>EC.11239</t>
  </si>
  <si>
    <t>CLSD SAEs for 2013-2018 Capital Projects</t>
  </si>
  <si>
    <t>EC.11242</t>
  </si>
  <si>
    <t>Aerial Services Implementation</t>
  </si>
  <si>
    <t>Short Term Accomodation 2011/12 -Fit Out</t>
  </si>
  <si>
    <t>Other</t>
  </si>
  <si>
    <t>Furniture &amp; General Building Upgrades</t>
  </si>
  <si>
    <t>Kanmantoo Emergency Transformer Replacem</t>
  </si>
  <si>
    <t>EC.11302</t>
  </si>
  <si>
    <t>Para 275Kv Secondary Systems &amp; Minor Pri</t>
  </si>
  <si>
    <t>Potential</t>
  </si>
  <si>
    <t>Kincraig 132kV Capacitor Bank</t>
  </si>
  <si>
    <t>EC.11316</t>
  </si>
  <si>
    <t>SA Water Pump Stations Transformer Repla</t>
  </si>
  <si>
    <t>Weather Stations 2008-2013</t>
  </si>
  <si>
    <t>EC.11330</t>
  </si>
  <si>
    <t>Alstom EMS Upgrade Stage 2</t>
  </si>
  <si>
    <t>Substation Perimeter Electronic Security</t>
  </si>
  <si>
    <t>Davenport 275kV 50Mvar Reactor Stage 2</t>
  </si>
  <si>
    <t>Protection System Unit Replacement 08-13</t>
  </si>
  <si>
    <t>Site Asset Replacements (ETSA Utilities)</t>
  </si>
  <si>
    <t>Site Asset Replacements (Tenix Alliance)</t>
  </si>
  <si>
    <t>EC.11379</t>
  </si>
  <si>
    <t>Energy Management System Functional Enha</t>
  </si>
  <si>
    <t>EC.11380</t>
  </si>
  <si>
    <t>Yadnarie Reactor Replacement</t>
  </si>
  <si>
    <t>EC.11383</t>
  </si>
  <si>
    <t xml:space="preserve"> Mt Barker South Triple Circuit Easement</t>
  </si>
  <si>
    <t>EC.11384</t>
  </si>
  <si>
    <t>Security and Video System Consolidation</t>
  </si>
  <si>
    <t>EC.11386</t>
  </si>
  <si>
    <t>Business Process Improvement - Stage 2</t>
  </si>
  <si>
    <t>EC.11390</t>
  </si>
  <si>
    <t>Tailem Bend 132kV Reactive Power Support</t>
  </si>
  <si>
    <t>Inventory Purchases 2012-2013</t>
  </si>
  <si>
    <t>EC.11398</t>
  </si>
  <si>
    <t>People Management System</t>
  </si>
  <si>
    <t>EC.11399</t>
  </si>
  <si>
    <t>Risk Management System</t>
  </si>
  <si>
    <t>Davenport 275 kV Reactor Replacement Sta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</si>
  <si>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</si>
  <si>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</si>
  <si>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</si>
  <si>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</si>
  <si>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</si>
  <si>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</si>
  <si>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</si>
  <si>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</si>
  <si>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</si>
  <si>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EC.11439</t>
  </si>
  <si>
    <t>300 Pirie St Emergency Supplies 2013-14</t>
  </si>
  <si>
    <t>EC.11441</t>
  </si>
  <si>
    <t xml:space="preserve"> Para-Brinkworth-Davenport Hazard Mitiga</t>
  </si>
  <si>
    <t>EC.11442</t>
  </si>
  <si>
    <t>EC.11444</t>
  </si>
  <si>
    <t>Penola West to South East Line Refurb</t>
  </si>
  <si>
    <t>EC.11445</t>
  </si>
  <si>
    <t>Tailem Bend to Keith #2 Line Refurb</t>
  </si>
  <si>
    <t>EC.11446</t>
  </si>
  <si>
    <t>Brinkworth to Mintaro Line Refurbishment</t>
  </si>
  <si>
    <t>EC.11447</t>
  </si>
  <si>
    <t>Magill to Happy Valley Line Reinsulation</t>
  </si>
  <si>
    <t>EC.11449</t>
  </si>
  <si>
    <t>(CLSD) Switching Manual Rewrite</t>
  </si>
  <si>
    <t>EC.11451</t>
  </si>
  <si>
    <t>BUCC Project Back Up Control Centre Upgr</t>
  </si>
  <si>
    <t>EC.11452</t>
  </si>
  <si>
    <t>Project Delivery Optimisation</t>
  </si>
  <si>
    <t>TIPS 66 kV NGM CT/VT Replacement</t>
  </si>
  <si>
    <t>EC.11454</t>
  </si>
  <si>
    <t>Safety in Design Processes</t>
  </si>
  <si>
    <t>Labour Planning Tool</t>
  </si>
  <si>
    <t>Safety Management System Project</t>
  </si>
  <si>
    <t>EC.11461</t>
  </si>
  <si>
    <t>Cultana to Stony Point Land and Easement</t>
  </si>
  <si>
    <t>EC.11463</t>
  </si>
  <si>
    <t>Emergency Unit Asset Replacement 2013-18</t>
  </si>
  <si>
    <t>EC.11470</t>
  </si>
  <si>
    <t>IT Hardware 1</t>
  </si>
  <si>
    <t>EC.11471</t>
  </si>
  <si>
    <t>IT Software 1</t>
  </si>
  <si>
    <t>EC.11481</t>
  </si>
  <si>
    <t>EC.11482</t>
  </si>
  <si>
    <t>EC.11494</t>
  </si>
  <si>
    <t>EC.11504</t>
  </si>
  <si>
    <t>EC.11505</t>
  </si>
  <si>
    <t>EC.11509</t>
  </si>
  <si>
    <t>Bungama Second 275_132kV Transformer</t>
  </si>
  <si>
    <t>EC.11513</t>
  </si>
  <si>
    <t>Business Reporting</t>
  </si>
  <si>
    <t>EC.11516</t>
  </si>
  <si>
    <t>EC.11523</t>
  </si>
  <si>
    <t>IT Systems Management</t>
  </si>
  <si>
    <t>EC.11524</t>
  </si>
  <si>
    <t>EC.11526</t>
  </si>
  <si>
    <t>Teleco Network Management Systems Upgrad</t>
  </si>
  <si>
    <t>EC.11528</t>
  </si>
  <si>
    <t>South East Backbone Telecoms Stage 2</t>
  </si>
  <si>
    <t>EC.11533</t>
  </si>
  <si>
    <t>Business Intelligence Upgrade 1</t>
  </si>
  <si>
    <t>EC.11538</t>
  </si>
  <si>
    <t>EC.11543</t>
  </si>
  <si>
    <t>Magill Telecomms Bearer</t>
  </si>
  <si>
    <t>EC.11549</t>
  </si>
  <si>
    <t>Switching System Writer Application</t>
  </si>
  <si>
    <t>EC.11551</t>
  </si>
  <si>
    <t>Control Room Asset Replacement</t>
  </si>
  <si>
    <t>EC.11553</t>
  </si>
  <si>
    <t>South East Substation to Heywood Telecom</t>
  </si>
  <si>
    <t>EC.11554</t>
  </si>
  <si>
    <t>EC.11558</t>
  </si>
  <si>
    <t>Electrical 300 Pirie Street 2014-15</t>
  </si>
  <si>
    <t>EC.11559</t>
  </si>
  <si>
    <t>Vehicle Purchases 2014-15</t>
  </si>
  <si>
    <t>EC.11560</t>
  </si>
  <si>
    <t>Magill - East Terrace Cable Pit Construc</t>
  </si>
  <si>
    <t>EC.11562</t>
  </si>
  <si>
    <t>Transmission Line Inspection Data Analys</t>
  </si>
  <si>
    <t>EC.11566</t>
  </si>
  <si>
    <t>EC.11567</t>
  </si>
  <si>
    <t>Accounts Payable Optimisation</t>
  </si>
  <si>
    <t>EC.11575</t>
  </si>
  <si>
    <t>Substation Operational Data Network Repl</t>
  </si>
  <si>
    <t>EC.11576</t>
  </si>
  <si>
    <t>PSS_E Computing Power Increase</t>
  </si>
  <si>
    <t>EC.11581</t>
  </si>
  <si>
    <t>Furniture and Building Upgrades 2014-15</t>
  </si>
  <si>
    <t>EC.11594</t>
  </si>
  <si>
    <t>Inventory Purchases 2014-15</t>
  </si>
  <si>
    <t>EC.11602</t>
  </si>
  <si>
    <t>Tailem Bend Substation Upgrade</t>
  </si>
  <si>
    <t>EC.11606</t>
  </si>
  <si>
    <t>EC.11610</t>
  </si>
  <si>
    <t>EC.11615</t>
  </si>
  <si>
    <t>Asset Design Manuals (ADM) Major Rewrite</t>
  </si>
  <si>
    <t>EC.11618</t>
  </si>
  <si>
    <t>Carpet - Keswick 2014-15</t>
  </si>
  <si>
    <t>EC.11619</t>
  </si>
  <si>
    <t>Fire Protection 300 Pirie 2015-16</t>
  </si>
  <si>
    <t>EC.11623</t>
  </si>
  <si>
    <t>Robertstown Telecoms Bearer</t>
  </si>
  <si>
    <t>EC.11624</t>
  </si>
  <si>
    <t>Mid North OPGW Bearer</t>
  </si>
  <si>
    <t>EC.11630</t>
  </si>
  <si>
    <t>Eyre Peninsula Reinforcement Land and Ea</t>
  </si>
  <si>
    <t>EC.11638</t>
  </si>
  <si>
    <t>EC.11645</t>
  </si>
  <si>
    <t>Reactive Plant Control Scheme</t>
  </si>
  <si>
    <t>EC.11646</t>
  </si>
  <si>
    <t>Eyre Peninsula &amp; Upper NorthVoltage</t>
  </si>
  <si>
    <t>EC.11648</t>
  </si>
  <si>
    <t>UPS &amp; Battery Bank - BUCC 2015-16</t>
  </si>
  <si>
    <t>EC.11649</t>
  </si>
  <si>
    <t>EC.11650</t>
  </si>
  <si>
    <t>Electrical 300 Pirie Street 2015-16</t>
  </si>
  <si>
    <t>EC.11652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</si>
  <si>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</si>
  <si>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</si>
  <si>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</si>
  <si>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</si>
  <si>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</si>
  <si>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</si>
  <si>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</si>
  <si>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</si>
  <si>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</si>
  <si>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</si>
  <si>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EC.11670</t>
  </si>
  <si>
    <t>IT Hardware 2</t>
  </si>
  <si>
    <t>EC.11671</t>
  </si>
  <si>
    <t>IT Software 2</t>
  </si>
  <si>
    <t>EC.11672</t>
  </si>
  <si>
    <t>IT Security 2</t>
  </si>
  <si>
    <t>EC.11673</t>
  </si>
  <si>
    <t>IT OCS Software 2</t>
  </si>
  <si>
    <t>EC.11681</t>
  </si>
  <si>
    <t>EC.11694</t>
  </si>
  <si>
    <t>Inventory Purchases 2015-16</t>
  </si>
  <si>
    <t>EC.11706</t>
  </si>
  <si>
    <t>EC.11709</t>
  </si>
  <si>
    <t>(CLSD)Yadnarie - Port Lincoln Backbone</t>
  </si>
  <si>
    <t>EC.11712</t>
  </si>
  <si>
    <t>Engineering Systems Functional Upgrade</t>
  </si>
  <si>
    <t>EC.11717</t>
  </si>
  <si>
    <t>EC.11731</t>
  </si>
  <si>
    <t>Vehicle Purchases 2016-17</t>
  </si>
  <si>
    <t>EC.11732</t>
  </si>
  <si>
    <t>Outage Management Functional Upgrade 1</t>
  </si>
  <si>
    <t>EC.11733</t>
  </si>
  <si>
    <t>Online Asset Condition Monitoring Equipm</t>
  </si>
  <si>
    <t>EC.11734</t>
  </si>
  <si>
    <t>Network Aerial Laser Survey 2013-18</t>
  </si>
  <si>
    <t>EC.11735</t>
  </si>
  <si>
    <t>Transmission Line Design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</si>
  <si>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</si>
  <si>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</si>
  <si>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</si>
  <si>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</si>
  <si>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</si>
  <si>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</si>
  <si>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Baroota Substation Replacement</t>
  </si>
  <si>
    <t>EC.11744</t>
  </si>
  <si>
    <t>Bund Refurbishments</t>
  </si>
  <si>
    <t>EC.11745</t>
  </si>
  <si>
    <t>Riverland 132 kV Line Uprate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</si>
  <si>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</si>
  <si>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</si>
  <si>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</si>
  <si>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</si>
  <si>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</si>
  <si>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</si>
  <si>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</si>
  <si>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</si>
  <si>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</si>
  <si>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</si>
  <si>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EC.11802</t>
  </si>
  <si>
    <t>EC.11803</t>
  </si>
  <si>
    <t>EC.11808</t>
  </si>
  <si>
    <t>EC.11809</t>
  </si>
  <si>
    <t>Common Information-Connectivity Model</t>
  </si>
  <si>
    <t>EC.11810</t>
  </si>
  <si>
    <t>EC.11811</t>
  </si>
  <si>
    <t>Outage Management Functional Upgrade 3</t>
  </si>
  <si>
    <t>EC.11816</t>
  </si>
  <si>
    <t>One IP Substation Network Stage 1</t>
  </si>
  <si>
    <t>EC.11822</t>
  </si>
  <si>
    <t>EC.11824</t>
  </si>
  <si>
    <t>Weather Stations 2013-18</t>
  </si>
  <si>
    <t>EC.11826</t>
  </si>
  <si>
    <t>Dalrymple Substation Upgrade</t>
  </si>
  <si>
    <t>Riverland Reactive Support Stage 2 (Nort</t>
  </si>
  <si>
    <t>EC.11829</t>
  </si>
  <si>
    <t>Regional N-1 Secure Control Schemes</t>
  </si>
  <si>
    <t>EC.11847</t>
  </si>
  <si>
    <t>NGM CT_VT Replacement Project</t>
  </si>
  <si>
    <t>EC.11852</t>
  </si>
  <si>
    <t>Historian Upgrade 2</t>
  </si>
  <si>
    <t>EC.11854</t>
  </si>
  <si>
    <t>Telco Asset Replacement 2013-18</t>
  </si>
  <si>
    <t>EC.11861</t>
  </si>
  <si>
    <t>EC.11862</t>
  </si>
  <si>
    <t>Substation VOIP Network Completion</t>
  </si>
  <si>
    <t>EC.11865</t>
  </si>
  <si>
    <t>Network Config Mngmnt System Upgrade 1</t>
  </si>
  <si>
    <t>EC.11870</t>
  </si>
  <si>
    <t>EC.11871</t>
  </si>
  <si>
    <t>EC.11872</t>
  </si>
  <si>
    <t>EC.11873</t>
  </si>
  <si>
    <t>OT Software 3</t>
  </si>
  <si>
    <t>EC.11876</t>
  </si>
  <si>
    <t>EC.11877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</si>
  <si>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</si>
  <si>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</si>
  <si>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</si>
  <si>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</si>
  <si>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</si>
  <si>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</si>
  <si>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</si>
  <si>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</si>
  <si>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</si>
  <si>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</si>
  <si>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</si>
  <si>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SAEs for 2018-23 Capital Projects</t>
  </si>
  <si>
    <t>EC.11899</t>
  </si>
  <si>
    <t>Vehicle Purchases 2017-18</t>
  </si>
  <si>
    <t>EC.11900</t>
  </si>
  <si>
    <t>EC.11902</t>
  </si>
  <si>
    <t>EC.11905</t>
  </si>
  <si>
    <t>Yorke Peninsula Reinforcement Land &amp; Eas</t>
  </si>
  <si>
    <t>EC.11906</t>
  </si>
  <si>
    <t>EC.11907</t>
  </si>
  <si>
    <t>EC.11915</t>
  </si>
  <si>
    <t>Furniture and Building Upgrades 2018-19</t>
  </si>
  <si>
    <t>EC.11916</t>
  </si>
  <si>
    <t>Vehicle Purchases 2018-19</t>
  </si>
  <si>
    <t>EC.11917</t>
  </si>
  <si>
    <t>Investigation&amp;Integration of New Technol</t>
  </si>
  <si>
    <t>EC.11918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</si>
  <si>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</si>
  <si>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</si>
  <si>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</si>
  <si>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</si>
  <si>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</si>
  <si>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</si>
  <si>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</si>
  <si>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EC.12010</t>
  </si>
  <si>
    <t>EC.12011</t>
  </si>
  <si>
    <t>EC.12013</t>
  </si>
  <si>
    <t>Design Standards Major Review Reset 4</t>
  </si>
  <si>
    <t>EC.12014</t>
  </si>
  <si>
    <t>Protection System Modelling and Validati</t>
  </si>
  <si>
    <t>EC.12017</t>
  </si>
  <si>
    <t>EC.12021</t>
  </si>
  <si>
    <t>EC.12027</t>
  </si>
  <si>
    <t>Mechanical 300 Pirie St 2018-19</t>
  </si>
  <si>
    <t>EC.12028</t>
  </si>
  <si>
    <t>Furniture and Gen Bldg Upgrades 2019-20</t>
  </si>
  <si>
    <t>EC.12030</t>
  </si>
  <si>
    <t>Vehicle Purchases 2019-20</t>
  </si>
  <si>
    <t>EC.12070</t>
  </si>
  <si>
    <t>EC.12071</t>
  </si>
  <si>
    <t>EC.12072</t>
  </si>
  <si>
    <t>IT Security 4</t>
  </si>
  <si>
    <t>EC.12073</t>
  </si>
  <si>
    <t>OT Software 4</t>
  </si>
  <si>
    <t>EC.12094</t>
  </si>
  <si>
    <t>Inventory Purchases 2019-2020</t>
  </si>
  <si>
    <t>EC.12101</t>
  </si>
  <si>
    <t>Records Management</t>
  </si>
  <si>
    <t>EC.12103</t>
  </si>
  <si>
    <t>EC.12105</t>
  </si>
  <si>
    <t>Electrical 300 Pirie St 2020 - 2021</t>
  </si>
  <si>
    <t>EC.12106</t>
  </si>
  <si>
    <t>Furniture and Gen Bldg Upgrades 2020-21</t>
  </si>
  <si>
    <t>EC.12108</t>
  </si>
  <si>
    <t>Mechanical Keswick North 2020-21</t>
  </si>
  <si>
    <t>EC.12110</t>
  </si>
  <si>
    <t>EC.12111</t>
  </si>
  <si>
    <t>Vehicle Purchases 2020-21</t>
  </si>
  <si>
    <t>EC.12115</t>
  </si>
  <si>
    <t>Telecommunications Unit AssetReplacement</t>
  </si>
  <si>
    <t>EC.12203</t>
  </si>
  <si>
    <t>OT Software 5</t>
  </si>
  <si>
    <t>EC.12204</t>
  </si>
  <si>
    <t>Generator Replacemt 300 Pirie St 2021-22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</si>
  <si>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</si>
  <si>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</si>
  <si>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</si>
  <si>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</si>
  <si>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</si>
  <si>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</si>
  <si>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EC.12301</t>
  </si>
  <si>
    <t>Automated Asset Condition Assessment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</si>
  <si>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</si>
  <si>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</si>
  <si>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</si>
  <si>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</si>
  <si>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</si>
  <si>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</si>
  <si>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EC.12336</t>
  </si>
  <si>
    <t>Carpet Upgrades Pirie and Rymill 2022-23</t>
  </si>
  <si>
    <t>EC.12400</t>
  </si>
  <si>
    <t>OT Software 6</t>
  </si>
  <si>
    <t>EC.12402</t>
  </si>
  <si>
    <t>EC.12403</t>
  </si>
  <si>
    <t>EC.12404</t>
  </si>
  <si>
    <t>EC.12406</t>
  </si>
  <si>
    <t>Enterprise Service Bus Integration Upg 2</t>
  </si>
  <si>
    <t>EC.12500</t>
  </si>
  <si>
    <t>EC.14006</t>
  </si>
  <si>
    <t>CLSD R/town-North West Bend LineCorridor</t>
  </si>
  <si>
    <t>EC.14007</t>
  </si>
  <si>
    <t>Supply Chain Management Procedure Develo</t>
  </si>
  <si>
    <t>EC.14008</t>
  </si>
  <si>
    <t>EC.14009</t>
  </si>
  <si>
    <t>SICAM PAS Substation Automation System M</t>
  </si>
  <si>
    <t>EC.14010</t>
  </si>
  <si>
    <t>Automated IED configuration management</t>
  </si>
  <si>
    <t>EC.14011</t>
  </si>
  <si>
    <t>Dynamics ratings systems upgrade</t>
  </si>
  <si>
    <t>EC.14012</t>
  </si>
  <si>
    <t>Operational Data Network Architecture an</t>
  </si>
  <si>
    <t>EC.14013</t>
  </si>
  <si>
    <t>System Switching Writer Enhancement 1</t>
  </si>
  <si>
    <t>EC.14014</t>
  </si>
  <si>
    <t>Energy Mngmnt System Technical Upgrade 2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</si>
  <si>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</si>
  <si>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</si>
  <si>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</si>
  <si>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</si>
  <si>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</si>
  <si>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</si>
  <si>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EC.14019</t>
  </si>
  <si>
    <t>Estimating System Upgrade with Maint Enh</t>
  </si>
  <si>
    <t>EC.14020</t>
  </si>
  <si>
    <t>IT Service Operation System</t>
  </si>
  <si>
    <t>EC.14021</t>
  </si>
  <si>
    <t>EC.14023</t>
  </si>
  <si>
    <t>EC.14024</t>
  </si>
  <si>
    <t>SCADA and RTU configuration management</t>
  </si>
  <si>
    <t>EC.14026</t>
  </si>
  <si>
    <t>Inventory Purchases 2020-21</t>
  </si>
  <si>
    <t>EC.14027</t>
  </si>
  <si>
    <t>Inventory Purchases 2021-22</t>
  </si>
  <si>
    <t>EC.14028</t>
  </si>
  <si>
    <t>Inventory Purchases 2022-23</t>
  </si>
  <si>
    <t>EC.14029</t>
  </si>
  <si>
    <t>System Control Centre Fire Suppression S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</si>
  <si>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</si>
  <si>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</si>
  <si>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</si>
  <si>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</si>
  <si>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</si>
  <si>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</si>
  <si>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</si>
  <si>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</si>
  <si>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</si>
  <si>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</si>
  <si>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Dynamic Line Rating Weather Station_Nexa</t>
  </si>
  <si>
    <t>EC.14038</t>
  </si>
  <si>
    <t>NCIPAP 1 Riverland 132 kV Line Uprating</t>
  </si>
  <si>
    <t>EC.14039</t>
  </si>
  <si>
    <t>NCIPAP 2 Upper South East Line Uprating</t>
  </si>
  <si>
    <t>EC.14040</t>
  </si>
  <si>
    <t>NCIPAP 3 Lower South East 275 kV Line Up</t>
  </si>
  <si>
    <t>EC.14041</t>
  </si>
  <si>
    <t>NCIPAP 5 Davenport to Robertstown Remova</t>
  </si>
  <si>
    <t>EC.14042</t>
  </si>
  <si>
    <t>Snuggery - Blanche - Mt Gambier Line Upr</t>
  </si>
  <si>
    <t>EC.14045</t>
  </si>
  <si>
    <t>Battery Charger Unit Asset Replacement 2</t>
  </si>
  <si>
    <t>EC.14046</t>
  </si>
  <si>
    <t>AC Board Unit Asset Replacement 2018-23</t>
  </si>
  <si>
    <t>EC.14047</t>
  </si>
  <si>
    <t>Transformer Bushing Unit Asset Replaceme</t>
  </si>
  <si>
    <t>EC.14048</t>
  </si>
  <si>
    <t>Blanche Circuit Breaker Arrangement Upgr</t>
  </si>
  <si>
    <t>EC.14049</t>
  </si>
  <si>
    <t>Leigh Creek Coalfield Transformer 1 and</t>
  </si>
  <si>
    <t>EC.14051</t>
  </si>
  <si>
    <t>Operational Data Network Establishment</t>
  </si>
  <si>
    <t>Alstom HMI Replacement Project</t>
  </si>
  <si>
    <t>EC.14053</t>
  </si>
  <si>
    <t>ElectraNet Corporate Website Functional</t>
  </si>
  <si>
    <t>EC.14054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</si>
  <si>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</si>
  <si>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</si>
  <si>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</si>
  <si>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</si>
  <si>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</si>
  <si>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</si>
  <si>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EC.14059</t>
  </si>
  <si>
    <t>Keswick Precinct Led Lighting Upgrade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</si>
  <si>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</si>
  <si>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</si>
  <si>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</si>
  <si>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</si>
  <si>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</si>
  <si>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</si>
  <si>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</si>
  <si>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EC.14066</t>
  </si>
  <si>
    <t>Eastern Hills Telecommunications Tower C</t>
  </si>
  <si>
    <t>EC.14067</t>
  </si>
  <si>
    <t>Lift Upgrade 300 Pirie Street</t>
  </si>
  <si>
    <t>EC.14068</t>
  </si>
  <si>
    <t>Murraylink Control Scheme Replacement</t>
  </si>
  <si>
    <t>EC.14069</t>
  </si>
  <si>
    <t>Telecoms Network Optimisation 2018-23</t>
  </si>
  <si>
    <t>EC.14070</t>
  </si>
  <si>
    <t>EC.14071</t>
  </si>
  <si>
    <t>Robertstown Circuit Breaker Arrangement</t>
  </si>
  <si>
    <t>EC.14072</t>
  </si>
  <si>
    <t>EC.14073</t>
  </si>
  <si>
    <t>EC.14074</t>
  </si>
  <si>
    <t>Neutral Earthing Resistors and Reactors</t>
  </si>
  <si>
    <t>EC.14075</t>
  </si>
  <si>
    <t>Substation Air Conditioning Systems Unit</t>
  </si>
  <si>
    <t>EC.14076</t>
  </si>
  <si>
    <t>Line Support Systems Refurbishment 2018-</t>
  </si>
  <si>
    <t>EC.14077</t>
  </si>
  <si>
    <t>Mannum Transformer 1 and 2 Replacement</t>
  </si>
  <si>
    <t>Leigh Creek Coalfield Reactor 1 and 2 Re</t>
  </si>
  <si>
    <t>EC.14079</t>
  </si>
  <si>
    <t>Building Security Upgrade Unit Asset Rep</t>
  </si>
  <si>
    <t>EC.14080</t>
  </si>
  <si>
    <t>Substation Security Fencing 2018-23</t>
  </si>
  <si>
    <t>EC.14081</t>
  </si>
  <si>
    <t>Line Insulator Systems Refurbishment 201</t>
  </si>
  <si>
    <t>EC.14084</t>
  </si>
  <si>
    <t>Line Conductor and Earthwire Refurbishme</t>
  </si>
  <si>
    <t>EC.14085</t>
  </si>
  <si>
    <t>Gawler East Connection Point</t>
  </si>
  <si>
    <t>EC.14086</t>
  </si>
  <si>
    <t>300 Pirie St Perimeter Facade Upgrade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</si>
  <si>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</si>
  <si>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</si>
  <si>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</si>
  <si>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</si>
  <si>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</si>
  <si>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</si>
  <si>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</si>
  <si>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</si>
  <si>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Playford B Alinta Ash Pond Transmission</t>
  </si>
  <si>
    <t>EC.14097</t>
  </si>
  <si>
    <t>EC.14099</t>
  </si>
  <si>
    <t>EC.14100</t>
  </si>
  <si>
    <t>Asset Data Capture 2</t>
  </si>
  <si>
    <t>EC.14101</t>
  </si>
  <si>
    <t>Workplace Accommodation Alterations 2015</t>
  </si>
  <si>
    <t>EC.14102</t>
  </si>
  <si>
    <t>Telecoms Management Systems Replacement</t>
  </si>
  <si>
    <t>EC.14103</t>
  </si>
  <si>
    <t>Operational Data Network Environment Rep</t>
  </si>
  <si>
    <t>EC.14104</t>
  </si>
  <si>
    <t>Operational Data Network Security Standa</t>
  </si>
  <si>
    <t>EC.14105</t>
  </si>
  <si>
    <t>Brinkworth - Waterloo Bearer Replacement</t>
  </si>
  <si>
    <t>EC.14106</t>
  </si>
  <si>
    <t>IT Service Operation System Upgrade 2</t>
  </si>
  <si>
    <t>EC.14107</t>
  </si>
  <si>
    <t>EC.14108</t>
  </si>
  <si>
    <t>EC.14109</t>
  </si>
  <si>
    <t>EC.14110</t>
  </si>
  <si>
    <t>CAPEX Workforce and Business Planning Sy</t>
  </si>
  <si>
    <t>EC.14111</t>
  </si>
  <si>
    <t>EC.14112</t>
  </si>
  <si>
    <t>EC.14113</t>
  </si>
  <si>
    <t>EC.14114</t>
  </si>
  <si>
    <t>Kilburn Substation Land Acquisition</t>
  </si>
  <si>
    <t>EC.14115</t>
  </si>
  <si>
    <t>EC.14116</t>
  </si>
  <si>
    <t>EC.14117</t>
  </si>
  <si>
    <t>Social Media Monitoring</t>
  </si>
  <si>
    <t>EC.14118</t>
  </si>
  <si>
    <t>EC.14119</t>
  </si>
  <si>
    <t>NCIPAP Load Model Enhancements Capex Com</t>
  </si>
  <si>
    <t>EC.14120</t>
  </si>
  <si>
    <t>Back Up Control and Data Centre</t>
  </si>
  <si>
    <t>EC.14121</t>
  </si>
  <si>
    <t>Project Delivery Optimisation 2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</si>
  <si>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</si>
  <si>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</si>
  <si>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</si>
  <si>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</si>
  <si>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</si>
  <si>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</si>
  <si>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</si>
  <si>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</si>
  <si>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EC.14129</t>
  </si>
  <si>
    <t>HV Test Equipment 2015-16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</si>
  <si>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</si>
  <si>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</si>
  <si>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</si>
  <si>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</si>
  <si>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</si>
  <si>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</si>
  <si>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</si>
  <si>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</si>
  <si>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</si>
  <si>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3</t>
  </si>
  <si>
    <t>Network</t>
  </si>
  <si>
    <t>L (&gt;$5M)</t>
  </si>
  <si>
    <t>Level A</t>
  </si>
  <si>
    <t>Nic Moffa</t>
  </si>
  <si>
    <t>Kristian Masters</t>
  </si>
  <si>
    <t>2013-2018</t>
  </si>
  <si>
    <t>Y</t>
  </si>
  <si>
    <t>Near Metropolitan</t>
  </si>
  <si>
    <t>Yes</t>
  </si>
  <si>
    <t>S (&lt;$1M)</t>
  </si>
  <si>
    <t>Elena Zagorenko</t>
  </si>
  <si>
    <t>Regulated Capex</t>
  </si>
  <si>
    <t>2018-2023</t>
  </si>
  <si>
    <t>Non Contingent</t>
  </si>
  <si>
    <t>Rev Reset 2018-2023</t>
  </si>
  <si>
    <t>M ($1-$5M)</t>
  </si>
  <si>
    <t>EC.14144 Waterloo East - MWPS4 F1888 132 kV Line Conductor and Earthwire Refurbishment</t>
  </si>
  <si>
    <t>EC.14143 Waterloo – Waterloo East F1806 132 kV Line Conductor and Earthwire Refurbishment</t>
  </si>
  <si>
    <t>EC.14142 Robertstown – MWPS3 F1847 132 kV Line Conductor and Earthwire Refurbishment</t>
  </si>
  <si>
    <t>EC.14141 MWPS2 – MWPS1 F1853 132 kV Line Conductor and Earthwire Refurbishment</t>
  </si>
  <si>
    <t>EC.14140 MWPS4 - Robertstown F1855 132 kV Line Conductor and Earthwire Refurbishment</t>
  </si>
  <si>
    <t>EC.14139 MWPS3 – MWPS2 F1849 132 kV Line Conductor and Earthwire Refurbishment</t>
  </si>
  <si>
    <t>No</t>
  </si>
  <si>
    <t>Re Reset 2018-2023</t>
  </si>
  <si>
    <t>EC.14138 MWPS1 – NWB F1854 132 kV Line Conductor and Earthwire Refurbishment</t>
  </si>
  <si>
    <t>1</t>
  </si>
  <si>
    <t>EC.14132 Isolator Status Indication rev 1</t>
  </si>
  <si>
    <t>Rachelle Gansan</t>
  </si>
  <si>
    <t>EC.14130 Magill Substation TF Fire Extinguishing Systems Replacement</t>
  </si>
  <si>
    <t>Engineering</t>
  </si>
  <si>
    <t>Non Network</t>
  </si>
  <si>
    <t>EC.14128 SDM Framework for C50 RTU Upgrades rev 1</t>
  </si>
  <si>
    <t>EC.14127 GE D20 RTU Product Upgrades</t>
  </si>
  <si>
    <t>EC.14126 Monash and Berri Relay Replacements -REV 1</t>
  </si>
  <si>
    <t>CPI</t>
  </si>
  <si>
    <t>Not applicable</t>
  </si>
  <si>
    <t>2</t>
  </si>
  <si>
    <t>High</t>
  </si>
  <si>
    <t>Mijail Alarcon</t>
  </si>
  <si>
    <t>Claudia Sakamoto</t>
  </si>
  <si>
    <t>Upper North</t>
  </si>
  <si>
    <t>EC.14122 Davenport Under-Voltage Scheme Stage 1 rev 2</t>
  </si>
  <si>
    <t>ICT</t>
  </si>
  <si>
    <t>4</t>
  </si>
  <si>
    <t>Telco</t>
  </si>
  <si>
    <t>Mid North</t>
  </si>
  <si>
    <t>EC.14102 Telecoms Management Systems Replacement 2018-2023 rev 1</t>
  </si>
  <si>
    <t>7</t>
  </si>
  <si>
    <t>Medium</t>
  </si>
  <si>
    <t>6</t>
  </si>
  <si>
    <t>South East</t>
  </si>
  <si>
    <t>Rev Reset 2013-2018</t>
  </si>
  <si>
    <t>EC.14086 Stakeholder Management Systems Upgrade 1</t>
  </si>
  <si>
    <t>5</t>
  </si>
  <si>
    <t>Template Sub over 25M</t>
  </si>
  <si>
    <t>EC.14085 Gawler East Substation Establishment - Option 2 EN TF - rev 5</t>
  </si>
  <si>
    <t>Weighted Average</t>
  </si>
  <si>
    <t>David Tansell</t>
  </si>
  <si>
    <t>Jeff Ashworth</t>
  </si>
  <si>
    <t>Line Refurbishment</t>
  </si>
  <si>
    <t>Only ENET works</t>
  </si>
  <si>
    <t>EC.14080 Substation Security Fencing 2018-2023 ENET works rev 6</t>
  </si>
  <si>
    <t>Rev reset 2018-2023</t>
  </si>
  <si>
    <t>EC.14079 Building Security Upgrade Unit Asset Replacement 2018-2023 rev 2</t>
  </si>
  <si>
    <t>Eastern Hills</t>
  </si>
  <si>
    <t>EC.14074 Neutral Earthing Resistors and Reactors Fault Ratings Protection rev 4</t>
  </si>
  <si>
    <t>EC.14073 South East 132kV Reclosing Risk Mitigation rev 4</t>
  </si>
  <si>
    <t>EC.14072 Mid North 132kV Reclosing Risk Mitigation rev 4</t>
  </si>
  <si>
    <t>EC.14069 Telecoms Network Optimisation 2018-2023 rev 1</t>
  </si>
  <si>
    <t>EC.14068 Murraylink Control Scheme Replacement -rev 2</t>
  </si>
  <si>
    <t>EC.14067 Lift Upgrade Pirie Street rev 2</t>
  </si>
  <si>
    <t>EC.14062 Workspace Layout Refresh Stage 3 rev 2</t>
  </si>
  <si>
    <t>EC.14061 Workspace Layout Refresh Stage 2 rev 2</t>
  </si>
  <si>
    <t>EC.14060 Workspace Layout Refresh Stage 1 rev 2</t>
  </si>
  <si>
    <t>EC.14058 Server Room Critical Air Conditioning</t>
  </si>
  <si>
    <t>EC.14057 Pirie Street LED Lighting Upgrade</t>
  </si>
  <si>
    <t>Single Cap Bank</t>
  </si>
  <si>
    <t>10</t>
  </si>
  <si>
    <t>EC.14054 Murray Bridge - Hahndorf No3 Pumping Station Substation rev 10</t>
  </si>
  <si>
    <t>Approved (Phase 3/4)</t>
  </si>
  <si>
    <t>Raghav Bhartinder</t>
  </si>
  <si>
    <t>Main Grid</t>
  </si>
  <si>
    <t>EC.14053 Corporate Website Functional Upgrade rev 4</t>
  </si>
  <si>
    <t>EC.14051 Operational Data Network Establishment - rev 1</t>
  </si>
  <si>
    <t>EC.14048 Blanche Circuit Breaker Arrangement Upgrade rev 4</t>
  </si>
  <si>
    <t>2018-2023 Rev Reset</t>
  </si>
  <si>
    <t>EC.14042 Canowie Circuit Breaker Arranagement Upgrade rev 5</t>
  </si>
  <si>
    <t>EC.14039 NCIPAP 2 Upper South Line Uprate F1942 and F1835 level 2 estimate rev1</t>
  </si>
  <si>
    <t>8</t>
  </si>
  <si>
    <t>EC.14032 Instrument Transformer Unit Asset Replacement 2018-23 rev 8</t>
  </si>
  <si>
    <t>EC.14024 SCADA and RTU configuration management</t>
  </si>
  <si>
    <t>EC.14021 Supplier Relationship Management System</t>
  </si>
  <si>
    <t>EC.14020 IT Service Operation System</t>
  </si>
  <si>
    <t>EC.14018 Treasury Systems</t>
  </si>
  <si>
    <t>EC.14017 Automated IED data capture rev 2</t>
  </si>
  <si>
    <t>EC.14015 IT Architecture Support Systems</t>
  </si>
  <si>
    <t>EC.14014 Energy Management System Technical Upgrade 2 rev 2</t>
  </si>
  <si>
    <t>EC.14013 System Switching Writer Enhancement 1 rev 2</t>
  </si>
  <si>
    <t>EC.14011 Dynamics Ratings System Upgrade rev 2</t>
  </si>
  <si>
    <t>EC.14010 Automated IED configuration management</t>
  </si>
  <si>
    <t>EC.12500 VOIP Network Refresh rev 1</t>
  </si>
  <si>
    <t>EC.12400 IT OCS Software 6 rev 2</t>
  </si>
  <si>
    <t>EC.12336 Carpet Upgrades to Pirie and Rymill 2022-2023 rev 2</t>
  </si>
  <si>
    <t>EC.12335 Vehicle Purchases 2022-2023 rev 3</t>
  </si>
  <si>
    <t>EC.12334 Furniture and Building Upgrade 2022-2023 rev 2</t>
  </si>
  <si>
    <t>EC.12330 One IP Substation Network Stage 2 rev 2</t>
  </si>
  <si>
    <t>EC.12207 Vehicle Purchases 2021-2022 rev 4</t>
  </si>
  <si>
    <t>EC.12205 Furniture and Building Upgrades 2021-2022 rev 3</t>
  </si>
  <si>
    <t>EC.12204 Generator Replacement 300 Pirie St 2021-2022 rev 3</t>
  </si>
  <si>
    <t>EC.12203 IT OCS Software 5 rev 2</t>
  </si>
  <si>
    <t>EC.12115 Telco Asset Replacement 2018-2023 rev 2</t>
  </si>
  <si>
    <t>Increase functionality of the outage management system &amp; processes to help deal with increased work</t>
  </si>
  <si>
    <t>EC.12112 Outage Management Functional Upgrade rev 1 BP072013</t>
  </si>
  <si>
    <t>EC.12112</t>
  </si>
  <si>
    <t>EC.12111 Vehicle Purchases 2020-2021 rev 4</t>
  </si>
  <si>
    <t>EC.12110 Mechanical Keswick South 2020-2021 rev 3</t>
  </si>
  <si>
    <t>EC.12108 Mechanical Keswick North 2020-2021 rev 3</t>
  </si>
  <si>
    <t>EC.12106 Furniture Building Upgrades 2020-2021 rev 3</t>
  </si>
  <si>
    <t>EC.12105 Electrical 300 Pirie St 2020-2021 rev 3</t>
  </si>
  <si>
    <t>EC.12103 Transmission Operator Situational Awareness rev 3</t>
  </si>
  <si>
    <t>EC.12101 Records Management</t>
  </si>
  <si>
    <t>EC.12073 IT OCS Software 4 rev 2</t>
  </si>
  <si>
    <t>EC.12030 Vehicle Purhases 2019-2020 rev 4</t>
  </si>
  <si>
    <t>EC.12028 Furniture and Building Upgrades 2019-2020 rev 3</t>
  </si>
  <si>
    <t>EC.12027 Mechanical 300 Pirie St 2018-2019 rev 3</t>
  </si>
  <si>
    <t>9</t>
  </si>
  <si>
    <t>EC.12014 Protection System Modelling and Validation Tool rev 2</t>
  </si>
  <si>
    <t>EC.12011 Drawing Mgmt Functional Enhancements 1 rev 3</t>
  </si>
  <si>
    <t>Geospacial Systems Functional Enhancements</t>
  </si>
  <si>
    <t>EC.12003 Geospacial Systems Functional Enhancements</t>
  </si>
  <si>
    <t>EC.12003</t>
  </si>
  <si>
    <t>EC.11975 OPSWAN Replacement 2017-2019 - Rev 3 BP072013</t>
  </si>
  <si>
    <t>EC.11975</t>
  </si>
  <si>
    <t>rev 2</t>
  </si>
  <si>
    <t>EC.11917 Investigation and Integration of New Technologies rev 2</t>
  </si>
  <si>
    <t>EC.11916 Vehicle Purchases 2018-2019 rev 4</t>
  </si>
  <si>
    <t>EC.11915 Furniture and Building Upgrades 2018-2019 rev 3</t>
  </si>
  <si>
    <t>EC.11900 Intranet refresh 1</t>
  </si>
  <si>
    <t>Revenue Reset 2013-2018</t>
  </si>
  <si>
    <t>EC.11899 Fleet Vehicles Purchase 2017-2018 rev 3</t>
  </si>
  <si>
    <t>EC.11896 Mechanical 300 &amp; 276 Pirie St. 2017-2018 rev 1 BP072013</t>
  </si>
  <si>
    <t>EC.11896</t>
  </si>
  <si>
    <t>EC.11894 Inventory Replenishment 2017-2018 rev 3</t>
  </si>
  <si>
    <t>17</t>
  </si>
  <si>
    <t>ETSA</t>
  </si>
  <si>
    <t>Ken Kow</t>
  </si>
  <si>
    <t>EC.11890 Unit Asset Replacement Level 3 rev 17</t>
  </si>
  <si>
    <t>EC.11884 Fire Protection Rymill - Sprinkler System</t>
  </si>
  <si>
    <t>EC.11884</t>
  </si>
  <si>
    <t>Revenue Reest 2013-2018</t>
  </si>
  <si>
    <t>EC.11882 General Utility Upgrade 2017 - 2018 rev 3</t>
  </si>
  <si>
    <t>EC.11881 Furniture and General Building Upgrades 2017 - 2018 - rev 3</t>
  </si>
  <si>
    <t>EC.11880 Fire Protection 300 Pirie St - Sprinkler System rev 3</t>
  </si>
  <si>
    <t>EC.11877 Kilburn Substation Upgrade rev 10</t>
  </si>
  <si>
    <t>EC.11876 Integarated Network Modelling System rev 3</t>
  </si>
  <si>
    <t>EC.11873 OT Software 3 rev 4</t>
  </si>
  <si>
    <t>EC.11872 IT Security 3 rev 4</t>
  </si>
  <si>
    <t>EC.11871 IT Software 3 rev 3</t>
  </si>
  <si>
    <t>EC.11870 IT Hardware 3 rev 3</t>
  </si>
  <si>
    <t>EC.11865 network Configuration Management Upgrade 1 rev 2</t>
  </si>
  <si>
    <t>EC.11861 Telecommunications Network Optimisation Stage 2 - rev4 BP072013</t>
  </si>
  <si>
    <t>EC.11860 Tel Asset Replacement - South East Region - rev4 BP072013</t>
  </si>
  <si>
    <t>EC.11860</t>
  </si>
  <si>
    <t>Riverland</t>
  </si>
  <si>
    <t>EC.11859 Tel Asset Replacement - Riverland Region - rev4 BP072013</t>
  </si>
  <si>
    <t>EC.11859</t>
  </si>
  <si>
    <t>Eyre Peninsula</t>
  </si>
  <si>
    <t>EC.11858 Tel Asset Replacement - Eyre Region - rev4 BP072013</t>
  </si>
  <si>
    <t>EC.11858</t>
  </si>
  <si>
    <t>EC.11857 Tel Asset Replacement - Upper North Region - rev 5</t>
  </si>
  <si>
    <t>EC.11857</t>
  </si>
  <si>
    <t>EC.11856 Tel Asset Replacement - Mid North Region - rev4 BP072013</t>
  </si>
  <si>
    <t>EC.11856</t>
  </si>
  <si>
    <t>EC.11855 Tel Asset Replacement - Eastern Hills Region - rev4 BP072013</t>
  </si>
  <si>
    <t>EC.11855</t>
  </si>
  <si>
    <t>EC.11853 Telecommunications SDM Major Review - Rev2 BP072013</t>
  </si>
  <si>
    <t>EC.11853</t>
  </si>
  <si>
    <t>EC.11852 Operational Historian Upgrade rev 2</t>
  </si>
  <si>
    <t>EC.11851 Transmission Billing rev 2 BP072013</t>
  </si>
  <si>
    <t>EC.11851</t>
  </si>
  <si>
    <t>Veerendra Kata</t>
  </si>
  <si>
    <t>18</t>
  </si>
  <si>
    <t>Concept Endorsed (Phase 2)</t>
  </si>
  <si>
    <t>EC.11826 Dalrymple Substation- Brownfield Phase 2 Option 4 Rev 18</t>
  </si>
  <si>
    <t>EC.11825-Radial Supply Reliability Improvement Rev 7 BP072013</t>
  </si>
  <si>
    <t>EC.11825</t>
  </si>
  <si>
    <t>Market Benefit</t>
  </si>
  <si>
    <t>EC.11824 Weather Stations For Dynamic Line Rating</t>
  </si>
  <si>
    <t>EC.11822 Riverland Telecommunications Bearer  rev 3 BP072013</t>
  </si>
  <si>
    <t>EC.11816 One IP Substation Network Stage 1 Level 3 rev 2</t>
  </si>
  <si>
    <t>EC.11812 Substation Automation and Alarm rev 2 BP072013</t>
  </si>
  <si>
    <t>EC.11812</t>
  </si>
  <si>
    <t>EC.11811 Outage Management Functional Upgrade 2 rev 2</t>
  </si>
  <si>
    <t>EC.11810 Historian Upgrade 1 rev 3</t>
  </si>
  <si>
    <t>EC.11809 Common Information-Connectivity Model rev 2 BP072013</t>
  </si>
  <si>
    <t>EC.11808 Office Systems Refresh 1 rev 3</t>
  </si>
  <si>
    <t>ICT Systems Management 2017-2019</t>
  </si>
  <si>
    <t>EC.11807 ICT Systems Management 2017-2019  rev 1</t>
  </si>
  <si>
    <t>EC.11807</t>
  </si>
  <si>
    <t>SAP Functional Enhancements 2017-2018</t>
  </si>
  <si>
    <t>EC.11803 SAP Functional Enhancements 2017-2018 rev 2 BP072013</t>
  </si>
  <si>
    <t>EC.11802 Business Intelligence Upgrade 3 rev 2</t>
  </si>
  <si>
    <t>EC.11794 Inventory Replenishment 2016-2017 rev 3</t>
  </si>
  <si>
    <t>EC.11782 Building Generator 300 Pirie St</t>
  </si>
  <si>
    <t>EC.11782</t>
  </si>
  <si>
    <t>EC.11781 Furniture and General Building Upgrades 2016 - 2017 - rev 3</t>
  </si>
  <si>
    <t>EC.11775 OPSWAN Replacement 2015-2017  rev 2 BP072013</t>
  </si>
  <si>
    <t>EC.11775</t>
  </si>
  <si>
    <t>Activated (Phase 1)</t>
  </si>
  <si>
    <t>Minh Nguyen</t>
  </si>
  <si>
    <t>EC.11751 Westinghouse RTU Replacement rev 6</t>
  </si>
  <si>
    <t>EC.11742 Baroota Substation Upgrade Option 1 Refurbishment Revised Scope Rev 4</t>
  </si>
  <si>
    <t>EC.11741 Database Management Systems Consolidation 2</t>
  </si>
  <si>
    <t>Land</t>
  </si>
  <si>
    <t>Easement/Land</t>
  </si>
  <si>
    <t>SLAP2013/18</t>
  </si>
  <si>
    <t>EC.11739 Templers to Para 275kV Double Circuit Land &amp; Easements - Rev4 BP072013</t>
  </si>
  <si>
    <t>EC.11738 Mallala to Para 275kV Double Circuit Land &amp; Easements - Rev4</t>
  </si>
  <si>
    <t>EC.11734 Network Arial Laser Survey - rev 2 BP072013</t>
  </si>
  <si>
    <t>EC.11733 Online Condition Monitoring Equipment Replacement rev 4</t>
  </si>
  <si>
    <t>EC.11732 Outage Management Functional Upgrade 1 rev 2</t>
  </si>
  <si>
    <t>EC.11731 Fleet Vehicles Purchase 2016-2017 rev 3</t>
  </si>
  <si>
    <t>EC.11717 UPS Battery Bank - rev 3</t>
  </si>
  <si>
    <t>Project &amp; Portfolio Management Systems Functional Enhancements 2015-2017</t>
  </si>
  <si>
    <t>EC.11715 Project &amp; Portfolio Management Systems Functional Enhancements 2015-2017</t>
  </si>
  <si>
    <t>EC.11715</t>
  </si>
  <si>
    <t>EC.11712 Engineering Systems Enhancements 2015-2017 rev 1BP072013</t>
  </si>
  <si>
    <t>Archiving Solutions 2016-2018</t>
  </si>
  <si>
    <t>EC.11706 Archiving Solutions 2013-2015 - rev 2 BP072013</t>
  </si>
  <si>
    <t>Drawing Management Systems Augmentation 2015-2017</t>
  </si>
  <si>
    <t>EC.11705 Drawing Management Systems Augmentation 2015-2017</t>
  </si>
  <si>
    <t>EC.11705</t>
  </si>
  <si>
    <t>EC.11694 Inventory Replenishment 2015-2016 rev 3</t>
  </si>
  <si>
    <t>EC.11681 Furniture and General Building Upgrades 2015 -2016 - rev 3</t>
  </si>
  <si>
    <t>EC.11673 IT OCS Software 2014-2016</t>
  </si>
  <si>
    <t>EC.11672 ICT Security 2014-2016 rev 1 BP072013</t>
  </si>
  <si>
    <t>ICT Software 2014-2016</t>
  </si>
  <si>
    <t>EC.11671 ICT Software 2014-2016 - rev 2 BP072013</t>
  </si>
  <si>
    <t>ICT Hardware 2014-2016</t>
  </si>
  <si>
    <t>EC.11670 ICT Hardware 2014-2016 rev 1 BP072013</t>
  </si>
  <si>
    <t>Peter Van Schaijik</t>
  </si>
  <si>
    <t>EC.11660 Substation 110V Battery Charger Replacements Level 3</t>
  </si>
  <si>
    <t>Level 3 Estimate</t>
  </si>
  <si>
    <t>EC.11659 Substation Building Refurbishment  rev 2</t>
  </si>
  <si>
    <t>EC.11657 Meduim Term Accomodation</t>
  </si>
  <si>
    <t>EC.11657</t>
  </si>
  <si>
    <t>EC.11656 Transmission Line Vegetation Management System rev 2</t>
  </si>
  <si>
    <t>EC.11652 Fleet Replacement Vehicles 2015-2016 rev 3</t>
  </si>
  <si>
    <t>EC.11651 Carpet 300 &amp; 276 Pirie St. 2015-2016 rev1 BP072013</t>
  </si>
  <si>
    <t>EC.11651</t>
  </si>
  <si>
    <t>EC.11650 Electrical 300 Pirie St. &amp; Keswick 2015-2016 rev 2</t>
  </si>
  <si>
    <t>EC.11649 Mechanical 300 Pirie St. 2015-2016 rev 2</t>
  </si>
  <si>
    <t>EC.11648 UPS &amp; Battery Bank BUCC 2015-2016 rev 2</t>
  </si>
  <si>
    <t>Revenue Rest 2013-2018</t>
  </si>
  <si>
    <t>EC.11647 Eyre Peninsula  Voltage Control Scheme Rev4 BP072013</t>
  </si>
  <si>
    <t>EC.11647</t>
  </si>
  <si>
    <t>Faraz Sabetzadeh</t>
  </si>
  <si>
    <t>EC.11646 Upper North and Eyre Peninsula Voltage Control Scheme - Rev6</t>
  </si>
  <si>
    <t>EC.11645 Reactive Plant Control Systems - Rev 6 BP072013</t>
  </si>
  <si>
    <t>EC.11638 Operational Logging and Fault Investigation Systems rev 3</t>
  </si>
  <si>
    <t>EC.11632 OPSWAN Implementation 2014-2016 - rev 2</t>
  </si>
  <si>
    <t>EC.11632</t>
  </si>
  <si>
    <t>EC.11619 Fire Protection 300 Pirie 2015 - 2016 rev 2</t>
  </si>
  <si>
    <t>EC.11618 Carpet Keswick 2015 -2016 - rev2 BP072013</t>
  </si>
  <si>
    <t>EC.11615 Asset Design Manuals (ADM) Major Rewrite</t>
  </si>
  <si>
    <t>One Network Refresh 2013-2016</t>
  </si>
  <si>
    <t>EC.11610 One Network Refresh 2013-2016 rev1 BP072013</t>
  </si>
  <si>
    <t>Jim Eliades</t>
  </si>
  <si>
    <t>EC.11602 Tailem Bend CB Upgrade Level 3</t>
  </si>
  <si>
    <t>EC.11594 Inventory Replenishment 2014-2015 rev1 BP072013</t>
  </si>
  <si>
    <t>EC.11581 Furniture and General Building Upgrades 2014 - 2015 - rev2 BP072013</t>
  </si>
  <si>
    <t>EC.11567 Accounts Payable Optimisation  rev 5 level 3</t>
  </si>
  <si>
    <t>Maya Lothian</t>
  </si>
  <si>
    <t>EC.11566 Workforce and Business Planning rev 1</t>
  </si>
  <si>
    <t>EC.11564 Magill/East Terrace Cable Joint Monitoring C45 - Rev 3 BP072013</t>
  </si>
  <si>
    <t>EC.11564</t>
  </si>
  <si>
    <t>EC.11562 Transmission Line Inspection Data Analysis Tool rev 2</t>
  </si>
  <si>
    <t>EC.11561 Magill/East Terrace Cable Instrument Replacement - C45 - Rev3 BP072013</t>
  </si>
  <si>
    <t>EC.11561</t>
  </si>
  <si>
    <t>EC.11560 Magill/East Terrace Cable Pit Construction - C45 - Rev3 BP072013</t>
  </si>
  <si>
    <t>EC.11559 Fleet Replacement Vehicles 2014-2015 rev1 BP072013</t>
  </si>
  <si>
    <t>EC.11558 Electrical 300 Pirie St. 2014-2015 rev1 BP072013</t>
  </si>
  <si>
    <t>EC.11554 UPS Battery Bank No.2 - rev2 BP072013</t>
  </si>
  <si>
    <t>EC.11553 South East Substation to Heywood Telecommunications Bearer rev 4 BP072013</t>
  </si>
  <si>
    <t>Control Room Refurbishment version 1</t>
  </si>
  <si>
    <t>EC.11551 Control Room Asset Replacement version rev 2</t>
  </si>
  <si>
    <t>Alex Trento</t>
  </si>
  <si>
    <t>EC.11549 Switching System Writer rev5 Phase 2/3 - Option 2</t>
  </si>
  <si>
    <t>EC.11538 Project and Portfolio Management System Functional Upgrade 1 rev 3</t>
  </si>
  <si>
    <t>Business Intelligence Technology Upgrade 2014-2015</t>
  </si>
  <si>
    <t>EC.11533 Business Intelligence Technology Upgrade 2014-2015 rev1 BP072013</t>
  </si>
  <si>
    <t>EC.11532 Fire Protection Rymill 2014 - 2015</t>
  </si>
  <si>
    <t>EC.11532</t>
  </si>
  <si>
    <t>IT Storage and Virtualisation Refurbishment</t>
  </si>
  <si>
    <t>EC.11524 IT Storage and Virtualisation Refurbishment - rev 2 BP072013</t>
  </si>
  <si>
    <t>ICT Systems Management 2014-2015</t>
  </si>
  <si>
    <t>EC.11523 ICT Systems Management 2014-2015 - rev 2 BP072013</t>
  </si>
  <si>
    <t>SAP Upgrade Technology</t>
  </si>
  <si>
    <t>EC.11517 SAP Upgrade Technology</t>
  </si>
  <si>
    <t>EC.11517</t>
  </si>
  <si>
    <t>EC.11516 SAP Functional Upgrade 1 rev 2</t>
  </si>
  <si>
    <t>Data Quality</t>
  </si>
  <si>
    <t>EC.11515 Data Quality</t>
  </si>
  <si>
    <t>EC.11515</t>
  </si>
  <si>
    <t>Chris Markopoulos</t>
  </si>
  <si>
    <t>EC.11505 Mt Gunson Substation Replacement (based on contractors scope) rev 7 L2</t>
  </si>
  <si>
    <t>EC.11494 Inventory Replenishment 2013-2014 rev1 BP072013</t>
  </si>
  <si>
    <t>EC.11482 General Utility Upgrade 2013 - 2014 rev1 BP072013</t>
  </si>
  <si>
    <t>EC.11481 Furniture and General Building Upgrades 2013 - 2014 - rev2 BP072013</t>
  </si>
  <si>
    <t>EC.11452 Project Delivery Optimisation NOT COMPLETE</t>
  </si>
  <si>
    <t>rev 5</t>
  </si>
  <si>
    <t>EC.11448 Cultana to Stony Point Line Refurbishment - rev 5 BP072013</t>
  </si>
  <si>
    <t>EC.11448</t>
  </si>
  <si>
    <t>rev 8</t>
  </si>
  <si>
    <t>EC.11447 Magill to Happy Valley Line Refurbishment - Level 2 - rev 8 I4 VERSION KM</t>
  </si>
  <si>
    <t>rev 9</t>
  </si>
  <si>
    <t>EC.11446 Brinkworth to Mintaro Line Refurbishment - Level 2 - rev 9</t>
  </si>
  <si>
    <t>EC.11445 Tailem Bend to Keith No 2 Line Refurbishment - Level 2 - rev 9 for tender comparison</t>
  </si>
  <si>
    <t>EC.11444 Penola West to South East Line Refurbishment - Level 2 - rev 8A</t>
  </si>
  <si>
    <t>EC.11442 Fleet Replacement Vehicles  2013-2014 rev1 BP072013</t>
  </si>
  <si>
    <t>EC.11439 Emergency Supplies 300 Pirie St rev1 BP072013</t>
  </si>
  <si>
    <t>BUCC Refurishment</t>
  </si>
  <si>
    <t>EC.11437 BUCC Refurishment - Rev 2 BP072013</t>
  </si>
  <si>
    <t>EC.11426 NCIPAP 4 Waterloo East to Robertstown 132kV Line Uprate rev 1</t>
  </si>
  <si>
    <t>EC.11399 Risk Management System rev 1</t>
  </si>
  <si>
    <t>EC.11379 Energy Management System Upgrade 1 - Level 1 - rev 5</t>
  </si>
  <si>
    <t>Michael Forder</t>
  </si>
  <si>
    <t>EC.11316 SA Water Pump Stations Replacement  (8 sites) level 2 Umbrella - rev 1</t>
  </si>
  <si>
    <t>EC.11134 Integrated Budgeting and Forecasting</t>
  </si>
  <si>
    <t>EC.10703 Para SVC Secondary System Replacement - rev 8 BP072013</t>
  </si>
  <si>
    <t>Created (Phase 0)</t>
  </si>
  <si>
    <t>EC.10517 South East CB Upgrade Compliance and Security - Rev 17</t>
  </si>
  <si>
    <t>11</t>
  </si>
  <si>
    <t>Dorin Costan</t>
  </si>
  <si>
    <t>Compensation Site</t>
  </si>
  <si>
    <t>EC.10344 Black Range Series 132kV Series Compensation - Option B - Rev 11</t>
  </si>
  <si>
    <t>Risk Included</t>
  </si>
  <si>
    <t>Escalation Type</t>
  </si>
  <si>
    <t>Land Easements</t>
  </si>
  <si>
    <t>Commission Date</t>
  </si>
  <si>
    <t>End Date</t>
  </si>
  <si>
    <t>Start Date</t>
  </si>
  <si>
    <t>Revision Number</t>
  </si>
  <si>
    <t>Estimate Type</t>
  </si>
  <si>
    <t>Priority</t>
  </si>
  <si>
    <t>Dual Contractor</t>
  </si>
  <si>
    <t>Business Plan</t>
  </si>
  <si>
    <t>Capex Opex</t>
  </si>
  <si>
    <t>Project Size</t>
  </si>
  <si>
    <t>Project Manager</t>
  </si>
  <si>
    <t>Estimators Name</t>
  </si>
  <si>
    <t>Reset Period</t>
  </si>
  <si>
    <t>Category</t>
  </si>
  <si>
    <t>Revenue Reset</t>
  </si>
  <si>
    <t>Network Non Network</t>
  </si>
  <si>
    <t>Preferred Option</t>
  </si>
  <si>
    <t>Contingent Status</t>
  </si>
  <si>
    <t>Region</t>
  </si>
  <si>
    <t>Description</t>
  </si>
  <si>
    <t>Name</t>
  </si>
  <si>
    <t>Project ID</t>
  </si>
  <si>
    <t>CAPEX / OPEX</t>
  </si>
  <si>
    <t>,Non Contingent</t>
  </si>
  <si>
    <t>,Network,Non Network</t>
  </si>
  <si>
    <t>Network Status</t>
  </si>
  <si>
    <t>,Augmentation,Connection,Easement/Land,Facilities,Information Technology,Inventory/Spares,Other,Refurbishment,Replacement,Security/Compliance</t>
  </si>
  <si>
    <t>Revenue Reset Period</t>
  </si>
  <si>
    <t>Printed</t>
  </si>
  <si>
    <t>Selection</t>
  </si>
  <si>
    <t>Parameter</t>
  </si>
  <si>
    <t>All Projects Details - Asset Classes</t>
  </si>
  <si>
    <t>20002</t>
  </si>
  <si>
    <t>10201</t>
  </si>
  <si>
    <t>10200</t>
  </si>
  <si>
    <t>30000</t>
  </si>
  <si>
    <t>20001</t>
  </si>
  <si>
    <t>20000</t>
  </si>
  <si>
    <t>10300</t>
  </si>
  <si>
    <t>30200</t>
  </si>
  <si>
    <t>10102</t>
  </si>
  <si>
    <t>10003</t>
  </si>
  <si>
    <t>10013</t>
  </si>
  <si>
    <t>10005</t>
  </si>
  <si>
    <t>10014</t>
  </si>
  <si>
    <t>10007</t>
  </si>
  <si>
    <t>10015</t>
  </si>
  <si>
    <t>10101</t>
  </si>
  <si>
    <t>10100</t>
  </si>
  <si>
    <t>10011</t>
  </si>
  <si>
    <t>10104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</si>
  <si>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</si>
  <si>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</si>
  <si>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</si>
  <si>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</si>
  <si>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</si>
  <si>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</si>
  <si>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</si>
  <si>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</si>
  <si>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</si>
  <si>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</si>
  <si>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</si>
  <si>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</si>
  <si>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</si>
  <si>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</si>
  <si>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</si>
  <si>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</si>
  <si>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</si>
  <si>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10000</t>
  </si>
  <si>
    <t>10001</t>
  </si>
  <si>
    <t>10002</t>
  </si>
  <si>
    <t>10004</t>
  </si>
  <si>
    <t>10103</t>
  </si>
  <si>
    <t>N/A</t>
  </si>
  <si>
    <t>30004</t>
  </si>
  <si>
    <t>30005</t>
  </si>
  <si>
    <t>30201</t>
  </si>
  <si>
    <t>30300</t>
  </si>
  <si>
    <t>30400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</si>
  <si>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</si>
  <si>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</si>
  <si>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</si>
  <si>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</si>
  <si>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</si>
  <si>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</si>
  <si>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</si>
  <si>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EC.10306</t>
  </si>
  <si>
    <t>EC.11002</t>
  </si>
  <si>
    <t>EC.11003</t>
  </si>
  <si>
    <t>Ardrossan West New SDH Radio Link</t>
  </si>
  <si>
    <t>IT Storage Upgrade</t>
  </si>
  <si>
    <t>Printers 2008-2013</t>
  </si>
  <si>
    <t>Server Software 2008-2013</t>
  </si>
  <si>
    <t>Servers Hardware 2008-2013</t>
  </si>
  <si>
    <t>Roof - Keswick (Both buildings) 2012-201</t>
  </si>
  <si>
    <t>Roof - 300 Pirie 2012-2013</t>
  </si>
  <si>
    <t>CustomerStakeholder Relationship Mgt Sys</t>
  </si>
  <si>
    <t>SPF Functional Enhancements 2013-2015</t>
  </si>
  <si>
    <t>EC.11552</t>
  </si>
  <si>
    <t>Tepko to Krongart 500 kV circuit</t>
  </si>
  <si>
    <t>EC.11722</t>
  </si>
  <si>
    <t>EC.11725</t>
  </si>
  <si>
    <t>EC.11726</t>
  </si>
  <si>
    <t>EC.11727</t>
  </si>
  <si>
    <t>EC.11892</t>
  </si>
  <si>
    <t>EC.11898</t>
  </si>
  <si>
    <t>EC.12107</t>
  </si>
  <si>
    <t>EC.12109</t>
  </si>
  <si>
    <t>EC.12206</t>
  </si>
  <si>
    <t>Line Refurbishment Program 2018-23</t>
  </si>
  <si>
    <t>Unit Asset Replacements 2018-23</t>
  </si>
  <si>
    <t>OPSWAN Replacement 5</t>
  </si>
  <si>
    <t>City West 2nd 300 MVA Transformer (into</t>
  </si>
  <si>
    <t>Mobilong Substation Replacement and Tran</t>
  </si>
  <si>
    <t>Snuggery-Blanche-Mt Gambier 2nd 132kV Li</t>
  </si>
  <si>
    <t>Network Aerial Laser Survey 2018-23</t>
  </si>
  <si>
    <t>Integrated Information Environment - Sta</t>
  </si>
  <si>
    <t>EC.14164</t>
  </si>
  <si>
    <t>Commissioned $</t>
  </si>
  <si>
    <t>Escalate to 2023</t>
  </si>
  <si>
    <t>Absolute</t>
  </si>
  <si>
    <t>SE</t>
  </si>
  <si>
    <t>10161</t>
  </si>
  <si>
    <t>10306</t>
  </si>
  <si>
    <t>South East 3rd 275/132kV Transformer</t>
  </si>
  <si>
    <t>10338</t>
  </si>
  <si>
    <t>10339</t>
  </si>
  <si>
    <t>Munno Para Reactive Power Support</t>
  </si>
  <si>
    <t>10370</t>
  </si>
  <si>
    <t>Clare North New 132_33kV Substation</t>
  </si>
  <si>
    <t>10386</t>
  </si>
  <si>
    <t>10394</t>
  </si>
  <si>
    <t>Davenport 50MVar Reactor Installation</t>
  </si>
  <si>
    <t>10408</t>
  </si>
  <si>
    <t>Penola West New 132_33kV Substation</t>
  </si>
  <si>
    <t>10519</t>
  </si>
  <si>
    <t>RTU Replacement Programme</t>
  </si>
  <si>
    <t>10549</t>
  </si>
  <si>
    <t>Whyalla - Yadnarie Telecoms Upgrade</t>
  </si>
  <si>
    <t>10618</t>
  </si>
  <si>
    <t>10673</t>
  </si>
  <si>
    <t>Eyre Peninsula Voltage Control/Port Lincoln 4 x 33kV cap banks</t>
  </si>
  <si>
    <t>10716</t>
  </si>
  <si>
    <t>10801</t>
  </si>
  <si>
    <t>Geospatial Systems</t>
  </si>
  <si>
    <t>10814</t>
  </si>
  <si>
    <t>Operator Training Simulator</t>
  </si>
  <si>
    <t>10913</t>
  </si>
  <si>
    <t>Munno Para Substation - Land &amp; Easement Acquisition</t>
  </si>
  <si>
    <t>10917</t>
  </si>
  <si>
    <t>Structured Substation Training Program and Facility</t>
  </si>
  <si>
    <t>10921</t>
  </si>
  <si>
    <t>Spare 132_66_33kV 120MVA Transformer</t>
  </si>
  <si>
    <t>10928</t>
  </si>
  <si>
    <t>11008</t>
  </si>
  <si>
    <t>11012</t>
  </si>
  <si>
    <t>Integrated Telecoms Management System</t>
  </si>
  <si>
    <t>11013</t>
  </si>
  <si>
    <t>PABX IP Convergence &amp; Phone Systems Upgr</t>
  </si>
  <si>
    <t>11021</t>
  </si>
  <si>
    <t>Improved Alarm Management System</t>
  </si>
  <si>
    <t>11023</t>
  </si>
  <si>
    <t>11039</t>
  </si>
  <si>
    <t>Network Engineering QA Framework</t>
  </si>
  <si>
    <t>11040</t>
  </si>
  <si>
    <t>Plant Forward Orders</t>
  </si>
  <si>
    <t>11041</t>
  </si>
  <si>
    <t>SDM and LDM Template &amp; Design Clause Upd</t>
  </si>
  <si>
    <t>11046</t>
  </si>
  <si>
    <t>11048</t>
  </si>
  <si>
    <t>Northfield &amp; Mannum Fault Level Reductio</t>
  </si>
  <si>
    <t>11101</t>
  </si>
  <si>
    <t>Cultana 275_132kV Augmentation</t>
  </si>
  <si>
    <t>11102</t>
  </si>
  <si>
    <t>Wudinna 2x25 MVA 132/66kV TF Reinforce</t>
  </si>
  <si>
    <t>11107</t>
  </si>
  <si>
    <t>11108</t>
  </si>
  <si>
    <t>Mount Barker South 275/66kV Injection</t>
  </si>
  <si>
    <t>11109</t>
  </si>
  <si>
    <t>11110</t>
  </si>
  <si>
    <t>Eyre Peninsula Land &amp; Easement Acquistio</t>
  </si>
  <si>
    <t>11112</t>
  </si>
  <si>
    <t>Para-PGW-TIPS Telecoms Bearer Replace</t>
  </si>
  <si>
    <t>11114</t>
  </si>
  <si>
    <t>Operational Data Management Store</t>
  </si>
  <si>
    <t>11117</t>
  </si>
  <si>
    <t>ICT Corporate Software Upgrade</t>
  </si>
  <si>
    <t>11119</t>
  </si>
  <si>
    <t>Project Server - Portfolio Management</t>
  </si>
  <si>
    <t>11123</t>
  </si>
  <si>
    <t>[DEF] Knowledge Management</t>
  </si>
  <si>
    <t>11124</t>
  </si>
  <si>
    <t>Outage Management 2009-2011</t>
  </si>
  <si>
    <t>11129</t>
  </si>
  <si>
    <t>Competency Based Assessments for Design</t>
  </si>
  <si>
    <t>11130</t>
  </si>
  <si>
    <t>Design Standards R&amp;D and Further Optimis</t>
  </si>
  <si>
    <t>11132</t>
  </si>
  <si>
    <t>Fleurieu Peninsula Strategic Land and Ea</t>
  </si>
  <si>
    <t>11134</t>
  </si>
  <si>
    <t>[DEFD]Integrated Budgeting &amp; Forecasting</t>
  </si>
  <si>
    <t>11136</t>
  </si>
  <si>
    <t>Business Plan Model</t>
  </si>
  <si>
    <t>11138</t>
  </si>
  <si>
    <t>Opex Model for 2013-2018</t>
  </si>
  <si>
    <t>11194</t>
  </si>
  <si>
    <t>11204</t>
  </si>
  <si>
    <t>Templers 275kV Substation Stage 1</t>
  </si>
  <si>
    <t>11208</t>
  </si>
  <si>
    <t>11209</t>
  </si>
  <si>
    <t>Munno Para New 275_66kV Substation</t>
  </si>
  <si>
    <t>11211</t>
  </si>
  <si>
    <t>Kilburn 185MV.A Transformer Capacity Increase - add radiator bank and fans 185 to 225MV.A</t>
  </si>
  <si>
    <t>11214</t>
  </si>
  <si>
    <t>11216</t>
  </si>
  <si>
    <t>11217</t>
  </si>
  <si>
    <t>11218</t>
  </si>
  <si>
    <t>Network Configuration Management</t>
  </si>
  <si>
    <t>11219</t>
  </si>
  <si>
    <t>ICT Software 2010-2012  RDBMS (Oracle/ SQL)</t>
  </si>
  <si>
    <t>11220</t>
  </si>
  <si>
    <t>11221</t>
  </si>
  <si>
    <t>Business Info &amp; Performance Data Warehou</t>
  </si>
  <si>
    <t>11223</t>
  </si>
  <si>
    <t>11226</t>
  </si>
  <si>
    <t>11230</t>
  </si>
  <si>
    <t>Airconditioning 300 Pirie St West</t>
  </si>
  <si>
    <t>11232</t>
  </si>
  <si>
    <t>OPSWAN Implementation 2010-2012</t>
  </si>
  <si>
    <t>11233</t>
  </si>
  <si>
    <t>IT OCS Software 2010-2012</t>
  </si>
  <si>
    <t>11234</t>
  </si>
  <si>
    <t>SPF Technology Major Upgrade</t>
  </si>
  <si>
    <t>11235</t>
  </si>
  <si>
    <t>SDM SecondarySystemsUpdate-IntegratEC618</t>
  </si>
  <si>
    <t>11236</t>
  </si>
  <si>
    <t>11239</t>
  </si>
  <si>
    <t>SAEs for 2013-2018 Capital Projects</t>
  </si>
  <si>
    <t>11242</t>
  </si>
  <si>
    <t>Aerial Services Implementation - Stage 1</t>
  </si>
  <si>
    <t>11243</t>
  </si>
  <si>
    <t>SAP System Improvements Stream 2</t>
  </si>
  <si>
    <t>11246</t>
  </si>
  <si>
    <t>Network Aerial Laser Survey</t>
  </si>
  <si>
    <t>11247</t>
  </si>
  <si>
    <t>Fire and Security Systems Upgrade to SDM</t>
  </si>
  <si>
    <t>11270</t>
  </si>
  <si>
    <t>ICT Hardware 2010-2012</t>
  </si>
  <si>
    <t>11281</t>
  </si>
  <si>
    <t>11294</t>
  </si>
  <si>
    <t>Inventory Purchases 2011_2012</t>
  </si>
  <si>
    <t>11302</t>
  </si>
  <si>
    <t>11303</t>
  </si>
  <si>
    <t>TIPS A 275kV Secondary Systems Replacemt</t>
  </si>
  <si>
    <t>11304</t>
  </si>
  <si>
    <t>TIPS B 275kV Secondary Systems &amp; Minor R</t>
  </si>
  <si>
    <t>11307</t>
  </si>
  <si>
    <t>11320</t>
  </si>
  <si>
    <t>11322</t>
  </si>
  <si>
    <t>Barn Hill Radio Links Replace with SDH</t>
  </si>
  <si>
    <t>11338</t>
  </si>
  <si>
    <t>Estimating System Functional Upgrade</t>
  </si>
  <si>
    <t>11345</t>
  </si>
  <si>
    <t>Furniture &amp; General Upgrades 2012-2013</t>
  </si>
  <si>
    <t>11346</t>
  </si>
  <si>
    <t>West Wing (Plus other Pirie Street Requirements)</t>
  </si>
  <si>
    <t>11348</t>
  </si>
  <si>
    <t>ICT Security 2010-2012</t>
  </si>
  <si>
    <t>11350</t>
  </si>
  <si>
    <t>Unit Asset Replacements 2008-2013</t>
  </si>
  <si>
    <t>11351</t>
  </si>
  <si>
    <t>Substation Security Fencing 2008-2013</t>
  </si>
  <si>
    <t>11354</t>
  </si>
  <si>
    <t>11355</t>
  </si>
  <si>
    <t>11359</t>
  </si>
  <si>
    <t>Transformer Refurbishment 08-13</t>
  </si>
  <si>
    <t>11360</t>
  </si>
  <si>
    <t>Auxiliary Supply Upgrades 2008-2013</t>
  </si>
  <si>
    <t>11361</t>
  </si>
  <si>
    <t>11362</t>
  </si>
  <si>
    <t>11363</t>
  </si>
  <si>
    <t>11364</t>
  </si>
  <si>
    <t>Facilities Security 2012-2013</t>
  </si>
  <si>
    <t>11365</t>
  </si>
  <si>
    <t>11366</t>
  </si>
  <si>
    <t>Carpet - 300 Pirie Street 2012-2013</t>
  </si>
  <si>
    <t>11367</t>
  </si>
  <si>
    <t>11380</t>
  </si>
  <si>
    <t>11385</t>
  </si>
  <si>
    <t>SAP Functional Upgrade - Stream 3</t>
  </si>
  <si>
    <t>11386</t>
  </si>
  <si>
    <t>11387</t>
  </si>
  <si>
    <t>ICT Service Improvement</t>
  </si>
  <si>
    <t>11388</t>
  </si>
  <si>
    <t>275kV Rapid Line Constr. Methodology Dev</t>
  </si>
  <si>
    <t>11390</t>
  </si>
  <si>
    <t>Tailem Bend 15 Mvar Capacitor Bank and C</t>
  </si>
  <si>
    <t>11394</t>
  </si>
  <si>
    <t>11401</t>
  </si>
  <si>
    <t xml:space="preserve">Kadina East 2x60MV.A Transformer Capacity Increase </t>
  </si>
  <si>
    <t>11423</t>
  </si>
  <si>
    <t>11435</t>
  </si>
  <si>
    <t>11510</t>
  </si>
  <si>
    <t>Kadina East 132kV Capacitor Bank</t>
  </si>
  <si>
    <t>11514</t>
  </si>
  <si>
    <t>11519</t>
  </si>
  <si>
    <t>11528</t>
  </si>
  <si>
    <t>11541</t>
  </si>
  <si>
    <t>ICT Bus. Continuity Planning &amp; Disaster</t>
  </si>
  <si>
    <t>11620</t>
  </si>
  <si>
    <t>Dynamic Constraint Systems</t>
  </si>
  <si>
    <t>11630</t>
  </si>
  <si>
    <t>Eyre Peninsula Reinforcement - Land Acqu</t>
  </si>
  <si>
    <t>11634</t>
  </si>
  <si>
    <t>Krongart to Heywood 500 kV circuit</t>
  </si>
  <si>
    <t>11635</t>
  </si>
  <si>
    <t>11827</t>
  </si>
  <si>
    <t>11839</t>
  </si>
  <si>
    <t>Davenport SVC &amp; 100Mvar 275kV Capacitor</t>
  </si>
  <si>
    <t>11250</t>
  </si>
  <si>
    <t>11895</t>
  </si>
  <si>
    <t>SAEs for 2018-2023 Capital Projects</t>
  </si>
  <si>
    <t>11905</t>
  </si>
  <si>
    <t>11912</t>
  </si>
  <si>
    <t>TIPS to Kilburn to Northfield 275kV Loop</t>
  </si>
  <si>
    <t>85007</t>
  </si>
  <si>
    <t>Playford 132kV Relocation</t>
  </si>
  <si>
    <t>11252</t>
  </si>
  <si>
    <t>Generator and Load Test Equipment</t>
  </si>
  <si>
    <t>11383</t>
  </si>
  <si>
    <t>Mt Barker Triple Circuit Easement Expansion</t>
  </si>
  <si>
    <t>11396</t>
  </si>
  <si>
    <t>Happy Valley Transformer Noise Mitigation</t>
  </si>
  <si>
    <t>11398</t>
  </si>
  <si>
    <t>11399</t>
  </si>
  <si>
    <t>Environment Health and Safety Management System</t>
  </si>
  <si>
    <t>11461</t>
  </si>
  <si>
    <t>Cultana-Stony Point Easement Acquisition</t>
  </si>
  <si>
    <t>11543</t>
  </si>
  <si>
    <t>Magill Telecoms Bearer</t>
  </si>
  <si>
    <t>11735</t>
  </si>
  <si>
    <t>10237</t>
  </si>
  <si>
    <t>300 Pirie - Eastern Façade - renovate as per ACC Development approval conditions prior to building western side 300 Pirie</t>
  </si>
  <si>
    <t>10283</t>
  </si>
  <si>
    <t>Playford 2x60MV.A 132/33kV Transformer Capacity Increase</t>
  </si>
  <si>
    <t>10284</t>
  </si>
  <si>
    <t>Barossa Network Reinforcement</t>
  </si>
  <si>
    <t>Stoney Point Protection  upgrade</t>
  </si>
  <si>
    <t>10308</t>
  </si>
  <si>
    <t>Kanmantoo North 275/132kV Augmentation</t>
  </si>
  <si>
    <t>10336</t>
  </si>
  <si>
    <t>SIM Stage 2 City West - 1x 300/360MV.A 275/66kV Transformer (Cost Included in 10161 above, note WIP for this project also included in 10161)</t>
  </si>
  <si>
    <t>10337</t>
  </si>
  <si>
    <t>Tungkillo Substation - Stage 1</t>
  </si>
  <si>
    <t>10341</t>
  </si>
  <si>
    <t>Tailem Bend New 275kV Diameter</t>
  </si>
  <si>
    <t>10344</t>
  </si>
  <si>
    <t>Heywood 760 (300MW VIC-SA ac Interconnector Upgrade)</t>
  </si>
  <si>
    <t>10389</t>
  </si>
  <si>
    <t>Cherry Gdns Aged Asset Replacement</t>
  </si>
  <si>
    <t>10452</t>
  </si>
  <si>
    <t>Canowie Radio Network Connection</t>
  </si>
  <si>
    <t>10453</t>
  </si>
  <si>
    <t>Davenport to Para 275kV Line Uprat</t>
  </si>
  <si>
    <t>10467</t>
  </si>
  <si>
    <t>Whyalla to Pt Lincoln 132kV Line Upratin</t>
  </si>
  <si>
    <t>10468</t>
  </si>
  <si>
    <t>Tailem Bend - Potters Point Radio</t>
  </si>
  <si>
    <t>10469</t>
  </si>
  <si>
    <t>SCC to PARA &amp; BUCC Radio Network</t>
  </si>
  <si>
    <t>10475</t>
  </si>
  <si>
    <t>Snuggery Substation Upgrade Stage</t>
  </si>
  <si>
    <t>10501</t>
  </si>
  <si>
    <t>CB &amp; CT Replacement Program</t>
  </si>
  <si>
    <t>10503</t>
  </si>
  <si>
    <t>Waterloo Substation Rebuild and 2x60MV.A Transformer Capacity Increase</t>
  </si>
  <si>
    <t>10508</t>
  </si>
  <si>
    <t>Hummocks Substation Aged Asset Replacement and 2x25MV.A Transformer Capacity Increase</t>
  </si>
  <si>
    <t>10509</t>
  </si>
  <si>
    <t>Whyalla Terminal Rebuild (Reduced Brownfield at Whyalla + Cultana diameter) and 2x120MV.A Transformer Capacity Increase</t>
  </si>
  <si>
    <t>10510</t>
  </si>
  <si>
    <t>Bungama Substation Redev Stg2</t>
  </si>
  <si>
    <t>10527</t>
  </si>
  <si>
    <t>Tailem Bend - Gifford Hill SDH Radio Link</t>
  </si>
  <si>
    <t>10528</t>
  </si>
  <si>
    <t>SCC-Crafers SDH Radio Link</t>
  </si>
  <si>
    <t>10556</t>
  </si>
  <si>
    <t>SE SVC Systems Replacement</t>
  </si>
  <si>
    <t>10562</t>
  </si>
  <si>
    <t>Happy Valley - Magill 275kV Line Uprate</t>
  </si>
  <si>
    <t>10600</t>
  </si>
  <si>
    <t>Happy Valley-MVE Radio Bearer replace</t>
  </si>
  <si>
    <t>10601</t>
  </si>
  <si>
    <t>Canowie-Davenport Radio Network</t>
  </si>
  <si>
    <t>10608</t>
  </si>
  <si>
    <t>Magill Aged Asset Refurbishment</t>
  </si>
  <si>
    <t>10614</t>
  </si>
  <si>
    <t>Kilburn &amp; Mobilong Neutrl Earth Resistrs</t>
  </si>
  <si>
    <t>10615</t>
  </si>
  <si>
    <t>Ardrossan West 132kV Substation Rebuild and 2x25MV.A Transformer Capacity Increase (Existing Site)</t>
  </si>
  <si>
    <t>10621</t>
  </si>
  <si>
    <t>OPSWAN Acceleration</t>
  </si>
  <si>
    <t>10626</t>
  </si>
  <si>
    <t>TIPS 66kV Cable Replacement</t>
  </si>
  <si>
    <t>10631</t>
  </si>
  <si>
    <t>Dorrien Templers Line Easement</t>
  </si>
  <si>
    <t>10638</t>
  </si>
  <si>
    <t>Cherry Gardens - Morphett Vale East  275kV Line Uprate</t>
  </si>
  <si>
    <t>10643</t>
  </si>
  <si>
    <t>Dynamic Line Ratings System</t>
  </si>
  <si>
    <t>10654</t>
  </si>
  <si>
    <t>Brinkworth to Para Radio Network Upgrade</t>
  </si>
  <si>
    <t>10661</t>
  </si>
  <si>
    <t>Barossa Telecoms Network Reinforc</t>
  </si>
  <si>
    <t>10662</t>
  </si>
  <si>
    <t>2GHz Radio Frequency Changes</t>
  </si>
  <si>
    <t>10664</t>
  </si>
  <si>
    <t>Magill 3rd T/F (SIM Stage 1)</t>
  </si>
  <si>
    <t>10694</t>
  </si>
  <si>
    <t>Substations and Telecommunications Spare</t>
  </si>
  <si>
    <t>10705</t>
  </si>
  <si>
    <t>SAP BW Pilot to Production</t>
  </si>
  <si>
    <t>10706</t>
  </si>
  <si>
    <t>Estimating Systems &amp; Processes</t>
  </si>
  <si>
    <t>10708</t>
  </si>
  <si>
    <t>UninterruptedPowerSupply300 Pirie</t>
  </si>
  <si>
    <t>10710</t>
  </si>
  <si>
    <t>BuildUpgrade Equipment Rm Lvl 2</t>
  </si>
  <si>
    <t>10711</t>
  </si>
  <si>
    <t>Electranet Occupied site grounds &amp; resurfacing carparks</t>
  </si>
  <si>
    <t>10714</t>
  </si>
  <si>
    <t>Para Fire Pump System</t>
  </si>
  <si>
    <t>10718</t>
  </si>
  <si>
    <t>Project Server Enhancements</t>
  </si>
  <si>
    <t>10720</t>
  </si>
  <si>
    <t>Spare  132/66/33/11kV 25MVA TF</t>
  </si>
  <si>
    <t>10770</t>
  </si>
  <si>
    <t>IT Hardware 06/08</t>
  </si>
  <si>
    <t>10802</t>
  </si>
  <si>
    <t>Real Time Information</t>
  </si>
  <si>
    <t>10803</t>
  </si>
  <si>
    <t>Davenport Sub-Cultana Line Exit</t>
  </si>
  <si>
    <t>10806</t>
  </si>
  <si>
    <t>Transformer Storage Facility</t>
  </si>
  <si>
    <t>10807</t>
  </si>
  <si>
    <t>Security Alarm Systems Upgrade</t>
  </si>
  <si>
    <t>10809</t>
  </si>
  <si>
    <t>Transformer ballistics proofing includes 11352</t>
  </si>
  <si>
    <t>10817</t>
  </si>
  <si>
    <t>10818</t>
  </si>
  <si>
    <t>SAP ETI Establishment</t>
  </si>
  <si>
    <t>10819</t>
  </si>
  <si>
    <t>IT SSA Transition</t>
  </si>
  <si>
    <t>10829</t>
  </si>
  <si>
    <t>Office Accom.Fitout - Richmond Rd</t>
  </si>
  <si>
    <t>10847</t>
  </si>
  <si>
    <t>IEC61850 Technology Development</t>
  </si>
  <si>
    <t>10871</t>
  </si>
  <si>
    <t>IT Software 07/08</t>
  </si>
  <si>
    <t>10886</t>
  </si>
  <si>
    <t>OCS Misc 07/08</t>
  </si>
  <si>
    <t>10894</t>
  </si>
  <si>
    <t>Subs and Telco Spares - 07/08</t>
  </si>
  <si>
    <t>10903</t>
  </si>
  <si>
    <t>Eastern Hills Network Limitations</t>
  </si>
  <si>
    <t>10907</t>
  </si>
  <si>
    <t>Hummocks Substation 132kV Capacitor Bank Cost included in project 10386 above)</t>
  </si>
  <si>
    <t>10914</t>
  </si>
  <si>
    <t>Whyalla - Mt Karia Radio Bearer</t>
  </si>
  <si>
    <t>10918</t>
  </si>
  <si>
    <t>Kanmantoo North Land and Easement Acquisition</t>
  </si>
  <si>
    <t>10919</t>
  </si>
  <si>
    <t>Mount Barker Strategic Land and Easement Acquisition</t>
  </si>
  <si>
    <t>10920</t>
  </si>
  <si>
    <t>Templers Land and Easement Acquisition</t>
  </si>
  <si>
    <t>10924</t>
  </si>
  <si>
    <t>Mt Barker - Crafers SDH Radio Link</t>
  </si>
  <si>
    <t>10926</t>
  </si>
  <si>
    <t>Telecom Network Management Process Improvements</t>
  </si>
  <si>
    <t>10927</t>
  </si>
  <si>
    <t>IT Services &amp; Asset Management</t>
  </si>
  <si>
    <t>10929</t>
  </si>
  <si>
    <t>Rymill Pk Replace ACU3 (boardroom) &amp; ACU4 (NW gnd fl office)</t>
  </si>
  <si>
    <t>10932</t>
  </si>
  <si>
    <t>IT Storage Implementation</t>
  </si>
  <si>
    <t>10933</t>
  </si>
  <si>
    <t>New Roofing</t>
  </si>
  <si>
    <t>10938</t>
  </si>
  <si>
    <t>Invry Replish 10MVA 132/33/11kV TF</t>
  </si>
  <si>
    <t>10941</t>
  </si>
  <si>
    <t>Waterloo Emergency Replacement Transform</t>
  </si>
  <si>
    <t>10942</t>
  </si>
  <si>
    <t>Clare North Substation Land Acquisition</t>
  </si>
  <si>
    <t>10944</t>
  </si>
  <si>
    <t>Network Engineering Standard Drawings</t>
  </si>
  <si>
    <t>10945</t>
  </si>
  <si>
    <t>Network Engineering QA Framework Stage 1</t>
  </si>
  <si>
    <t>10946</t>
  </si>
  <si>
    <t>Estimating System SLD Enhancement</t>
  </si>
  <si>
    <t>10947</t>
  </si>
  <si>
    <t>Kanmantoo Bulk Oil CB Replacement</t>
  </si>
  <si>
    <t>10948</t>
  </si>
  <si>
    <t>Limit Equations Development</t>
  </si>
  <si>
    <t>10949</t>
  </si>
  <si>
    <t>Critical Clearing Time Tool Development</t>
  </si>
  <si>
    <t>10981</t>
  </si>
  <si>
    <t>Furn &amp; General Building Upgrades - 08/09</t>
  </si>
  <si>
    <t>10994</t>
  </si>
  <si>
    <t>Inventory Purchases FY Reset 2</t>
  </si>
  <si>
    <t>11006</t>
  </si>
  <si>
    <t>Diesel Generator Upgrades</t>
  </si>
  <si>
    <t>11007</t>
  </si>
  <si>
    <t>Bulk Oil CB Replacement</t>
  </si>
  <si>
    <t>11009</t>
  </si>
  <si>
    <t>Substation Perimeter Electronic Security includes 11354</t>
  </si>
  <si>
    <t>11010</t>
  </si>
  <si>
    <t>Drawing Standards Implementation</t>
  </si>
  <si>
    <t>11014</t>
  </si>
  <si>
    <t>Belair-Magill SDH Radio Links Replacement</t>
  </si>
  <si>
    <t>11015</t>
  </si>
  <si>
    <t>Crafers - Mt Beevor SDH Radio Link</t>
  </si>
  <si>
    <t>11017</t>
  </si>
  <si>
    <t>Waterloo New Radio Link</t>
  </si>
  <si>
    <t>11018</t>
  </si>
  <si>
    <t>Davenport-Bluff SDH Radio Link</t>
  </si>
  <si>
    <t>11019</t>
  </si>
  <si>
    <t>Human Resources System Upgrade</t>
  </si>
  <si>
    <t>11020</t>
  </si>
  <si>
    <t>11022</t>
  </si>
  <si>
    <t>Enterprise Systems (SAP) - Upgrades and Support Packs</t>
  </si>
  <si>
    <t>11024</t>
  </si>
  <si>
    <t>276 Pirie St Replace Roof AC Unit</t>
  </si>
  <si>
    <t>11025</t>
  </si>
  <si>
    <t>Computer Room Upgrade</t>
  </si>
  <si>
    <t>11030</t>
  </si>
  <si>
    <t>Telecommunications Configuration System</t>
  </si>
  <si>
    <t>11031</t>
  </si>
  <si>
    <t>IT OCS Software 2008/10</t>
  </si>
  <si>
    <t>11032</t>
  </si>
  <si>
    <t>OPSWAN Implementation 2008/10</t>
  </si>
  <si>
    <t>11043</t>
  </si>
  <si>
    <t>Morgan Whyalla no.4 - Fault Limiting Rea</t>
  </si>
  <si>
    <t>11049</t>
  </si>
  <si>
    <t>Vegetation Mapping using ALS</t>
  </si>
  <si>
    <t>11070</t>
  </si>
  <si>
    <t>ICT Hardware 2008/10</t>
  </si>
  <si>
    <t>11071</t>
  </si>
  <si>
    <t>ICT Software 2008/10</t>
  </si>
  <si>
    <t>11081</t>
  </si>
  <si>
    <t>11094</t>
  </si>
  <si>
    <t>11111</t>
  </si>
  <si>
    <t>Mannum-Adelaide No2 Radio Link Replacement</t>
  </si>
  <si>
    <t>11113</t>
  </si>
  <si>
    <t>Telephone Systems Replacement</t>
  </si>
  <si>
    <t>11116</t>
  </si>
  <si>
    <t>Accessibility/Mobility - Rugged Equipment Access</t>
  </si>
  <si>
    <t>11118</t>
  </si>
  <si>
    <t>11120</t>
  </si>
  <si>
    <t>Drawing Management System Upgrade</t>
  </si>
  <si>
    <t>11121</t>
  </si>
  <si>
    <t xml:space="preserve">Rymill Pk Replace ACU2 (open area) </t>
  </si>
  <si>
    <t>11137</t>
  </si>
  <si>
    <t>Business Model Develpmnt Proj</t>
  </si>
  <si>
    <t>11181</t>
  </si>
  <si>
    <t>Office Refurb. &amp;Furn. Upgrades 10/11</t>
  </si>
  <si>
    <t>11202</t>
  </si>
  <si>
    <t>Geranium 132/33kV Substation and 132kV line</t>
  </si>
  <si>
    <t>11213</t>
  </si>
  <si>
    <t>11215</t>
  </si>
  <si>
    <t>Kadina East New SDH Radio Link</t>
  </si>
  <si>
    <t>11222</t>
  </si>
  <si>
    <t>Common Information Model</t>
  </si>
  <si>
    <t>11225</t>
  </si>
  <si>
    <t>IT Network Equipment</t>
  </si>
  <si>
    <t>11228</t>
  </si>
  <si>
    <t>11308</t>
  </si>
  <si>
    <t>Davenport 275kV Capacitor Bank 2</t>
  </si>
  <si>
    <t>11323</t>
  </si>
  <si>
    <t>Belair-Crafers SDH Radio Link Replacement</t>
  </si>
  <si>
    <t>11324</t>
  </si>
  <si>
    <t>Happy Valley - Crafers SDH Radio Link Replacement</t>
  </si>
  <si>
    <t>11326</t>
  </si>
  <si>
    <t>Morgan-Whyalla No1&amp;2 New OPGW Links</t>
  </si>
  <si>
    <t>11327</t>
  </si>
  <si>
    <t>Murray Bridge - Hahndorf No1,2&amp;3 Radio Link Replacement</t>
  </si>
  <si>
    <t>11328</t>
  </si>
  <si>
    <t>Yadnarie - Port Lincoln SDH Radio Link (Investigation)</t>
  </si>
  <si>
    <t>11329</t>
  </si>
  <si>
    <t>Playford - Leigh Creek Radio Bearer (Investigation)</t>
  </si>
  <si>
    <t>11331</t>
  </si>
  <si>
    <t>Asset Operations Software 2008-2013</t>
  </si>
  <si>
    <t>11332</t>
  </si>
  <si>
    <t>OPSWAN 2008-2013</t>
  </si>
  <si>
    <t>11333</t>
  </si>
  <si>
    <t>Accessibility/Mobility - Mobile Phones</t>
  </si>
  <si>
    <t>11335</t>
  </si>
  <si>
    <t>Corporate Software 2008-2013</t>
  </si>
  <si>
    <t>11336</t>
  </si>
  <si>
    <t>Document Management System Upgrade</t>
  </si>
  <si>
    <t>11339</t>
  </si>
  <si>
    <t>IT Hardware (Corporate) 2008-2013</t>
  </si>
  <si>
    <t>11340</t>
  </si>
  <si>
    <t>PCs and laptops  2008-2013</t>
  </si>
  <si>
    <t>11341</t>
  </si>
  <si>
    <t>11342</t>
  </si>
  <si>
    <t>Project Server - Upgrades and Support Packs 2013</t>
  </si>
  <si>
    <t>11343</t>
  </si>
  <si>
    <t>11344</t>
  </si>
  <si>
    <t>11347</t>
  </si>
  <si>
    <t>IT Security - Assess/Remediate Vulnerabilities</t>
  </si>
  <si>
    <t>11357</t>
  </si>
  <si>
    <t>Bushing Replacements</t>
  </si>
  <si>
    <t>11406</t>
  </si>
  <si>
    <t>Monash to Berri 66kV Line Augmentation - Note this cost has been included in either of the projects above therefore $0 is included on this line</t>
  </si>
  <si>
    <t>11409</t>
  </si>
  <si>
    <t>Lucindale West (Avenue) 132/33kV Substation</t>
  </si>
  <si>
    <t>11410</t>
  </si>
  <si>
    <t>Penola 275/132kV Substation</t>
  </si>
  <si>
    <t>11411</t>
  </si>
  <si>
    <t>Davenport SVC Stage 1 and 2</t>
  </si>
  <si>
    <t>11414</t>
  </si>
  <si>
    <t>Western Suburbs Stage 1 City West - 1x 300/360MV.A 275/66kV Transformer</t>
  </si>
  <si>
    <t>85013</t>
  </si>
  <si>
    <t>Magill Aged Asset Replacement Stag</t>
  </si>
  <si>
    <t>85035</t>
  </si>
  <si>
    <t>SE - Snuggery New 132kV Line (Co</t>
  </si>
  <si>
    <t>10943</t>
  </si>
  <si>
    <t>Procurement of Two 40MVA 132_33kV TFs Ex PLQ</t>
  </si>
  <si>
    <t>11420</t>
  </si>
  <si>
    <t>Whyalla Terminal Replacement and Cultana Augmentation</t>
  </si>
  <si>
    <t>10617</t>
  </si>
  <si>
    <t>Berri Substation Reloaction to Monash</t>
  </si>
  <si>
    <t>11254</t>
  </si>
  <si>
    <t>Bentley Substation (Information Modelling) Substation design</t>
  </si>
  <si>
    <t>11460</t>
  </si>
  <si>
    <t>2 X Oracle Exadata appliances &amp; licenses</t>
  </si>
  <si>
    <t>11459</t>
  </si>
  <si>
    <t>Vacuum Tap Changer Diverter Pilot</t>
  </si>
  <si>
    <t>11457</t>
  </si>
  <si>
    <t>Davenport CT Replacement</t>
  </si>
  <si>
    <t>11458</t>
  </si>
  <si>
    <t>New Osborne 66 kV VT Replacement</t>
  </si>
  <si>
    <t>11462</t>
  </si>
  <si>
    <t>Development of Inspection Test Plans for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</si>
  <si>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</si>
  <si>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</si>
  <si>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</si>
  <si>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</si>
  <si>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</si>
  <si>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</si>
  <si>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</si>
  <si>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</si>
  <si>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10550</t>
  </si>
  <si>
    <t>Playford 2175kV Substation Replacement</t>
  </si>
  <si>
    <t>11251</t>
  </si>
  <si>
    <t>11300</t>
  </si>
  <si>
    <t>11400</t>
  </si>
  <si>
    <t>11449</t>
  </si>
  <si>
    <t>Switching Manual Rewrite</t>
  </si>
  <si>
    <t>11451</t>
  </si>
  <si>
    <t>11453</t>
  </si>
  <si>
    <t>11455</t>
  </si>
  <si>
    <t>11456</t>
  </si>
  <si>
    <t>11565</t>
  </si>
  <si>
    <t>Ametek PSPM Replacement</t>
  </si>
  <si>
    <t>11454</t>
  </si>
  <si>
    <t>14006</t>
  </si>
  <si>
    <t>Robertstown-North West Bend LineCorridor Dynamic line rating (DLR) system</t>
  </si>
  <si>
    <t>11744</t>
  </si>
  <si>
    <t>11745</t>
  </si>
  <si>
    <t>10259</t>
  </si>
  <si>
    <t>Riverland Reinforcement 275Kv  - Rev 13 BP072013</t>
  </si>
  <si>
    <t>10307</t>
  </si>
  <si>
    <t>Morphett Vale East 3rd Transformer - Rev 12 BP0713</t>
  </si>
  <si>
    <t>10311</t>
  </si>
  <si>
    <t>West Circuit Entry to Brinkworth Sub - Rev 10 BP072013</t>
  </si>
  <si>
    <t>10313</t>
  </si>
  <si>
    <t>Fleurieu Peninsula Reinforcement rev 19 BP072013 Kanmantoo to Currency Creek</t>
  </si>
  <si>
    <t>10343</t>
  </si>
  <si>
    <t>Barossa (Roseworthy) Reactive Support - rev 10 POE</t>
  </si>
  <si>
    <t>10371</t>
  </si>
  <si>
    <t>Coonalpyn West Substation - Rev 14 BP072013</t>
  </si>
  <si>
    <t>10424</t>
  </si>
  <si>
    <t>Riverland 275kV Reinforcement Land and Easements Acquisition - Rev2 BP072013</t>
  </si>
  <si>
    <t>10505</t>
  </si>
  <si>
    <t>Millbrook Pump Station - rev 6 LU46</t>
  </si>
  <si>
    <t>10517</t>
  </si>
  <si>
    <t>South East CB Upgrade Compliance and Security - Rev 17</t>
  </si>
  <si>
    <t>10616</t>
  </si>
  <si>
    <t>Happy Valley Secondary Systems Replacement - Rev 11</t>
  </si>
  <si>
    <t>10619</t>
  </si>
  <si>
    <t>Kincraig Substation Replacement and Transformer Upgrade - Rev 10 BP072013</t>
  </si>
  <si>
    <t>10703</t>
  </si>
  <si>
    <t>Para SVC Secondary System Replacement - rev 8 BP072013</t>
  </si>
  <si>
    <t>11002</t>
  </si>
  <si>
    <t>Tungkillo Stage 2 - Rev 11 BP072013</t>
  </si>
  <si>
    <t>11003</t>
  </si>
  <si>
    <t>Tungkillo Stage 3 - Rev 11 BP072013</t>
  </si>
  <si>
    <t>11005</t>
  </si>
  <si>
    <t>Kanmantoo Substation Upgrade - Rev 9 BP072013</t>
  </si>
  <si>
    <t>11011</t>
  </si>
  <si>
    <t>Tailem Bend to Tungkillo Second CCT Stringing rev 12 BP072013</t>
  </si>
  <si>
    <t>11016</t>
  </si>
  <si>
    <t>The Bluff to Stony Point Telecomms Bearer  rev 3</t>
  </si>
  <si>
    <t>11103</t>
  </si>
  <si>
    <t>Blanche 15MVar Capacitor Bank and CB to Complete Mesh - Rev 6 POE</t>
  </si>
  <si>
    <t>11104</t>
  </si>
  <si>
    <t>Davenport 100MVAr Capacitor Bank Rev 11</t>
  </si>
  <si>
    <t>11126</t>
  </si>
  <si>
    <t>Equipment Evaluation Facility - rev 1</t>
  </si>
  <si>
    <t>11201</t>
  </si>
  <si>
    <t>Lower Eyre Peninsula Reinforcement - rev 5 BP072013</t>
  </si>
  <si>
    <t>11203</t>
  </si>
  <si>
    <t>Dorrien 3rd Transformer - Rev 10 BP072013</t>
  </si>
  <si>
    <t>11210</t>
  </si>
  <si>
    <t>East Terrace Second Transformer - Rev 10 BP072013</t>
  </si>
  <si>
    <t>11305</t>
  </si>
  <si>
    <t>Keith Substation Rebuild - Option A - Rev 14 BP072013</t>
  </si>
  <si>
    <t>11309</t>
  </si>
  <si>
    <t>TIPS-Cherry Gardens line into Para Rev 7 BP072013</t>
  </si>
  <si>
    <t>11310</t>
  </si>
  <si>
    <t>TIPS- Magill 275kV line into Para Rev 7 BP072013</t>
  </si>
  <si>
    <t>11312</t>
  </si>
  <si>
    <t>Torrens Island Transformer Upgrade - Rev 11 BP072013</t>
  </si>
  <si>
    <t>11313</t>
  </si>
  <si>
    <t>Mannum Pump Station No 1 Option A - 2 No TF - rev 9 LU46</t>
  </si>
  <si>
    <t>11314</t>
  </si>
  <si>
    <t>Mannum Pump Station No 2 Option A - 2 No TF - rev 10 LU46</t>
  </si>
  <si>
    <t>11315</t>
  </si>
  <si>
    <t>Mannum Pump Station No 3 Option A - 2 No TF - rev 9 LU46</t>
  </si>
  <si>
    <t>11316</t>
  </si>
  <si>
    <t>SA Water Pump Stations Replacement rev 7 (8 sites) level 1 Umbrella</t>
  </si>
  <si>
    <t>11317</t>
  </si>
  <si>
    <t>Morgan Pump Station No 2 Option A - 2 No TF - Rev 7 LU46</t>
  </si>
  <si>
    <t>11318</t>
  </si>
  <si>
    <t>Morgan Whyalla Pump Station No 3 Option A - 2 No TF - Rev 8 LU46</t>
  </si>
  <si>
    <t>11319</t>
  </si>
  <si>
    <t>Morgan Whyalla Pump Station No 4 Option A - 2 No TF - Rev 8 LU46</t>
  </si>
  <si>
    <t>11330</t>
  </si>
  <si>
    <t>Energy Management System Upgrade 2013-2018 Rev 1 BP072013</t>
  </si>
  <si>
    <t>11378</t>
  </si>
  <si>
    <t>Energy Management System Functional Enhancements Rev1 BP072013</t>
  </si>
  <si>
    <t>11384</t>
  </si>
  <si>
    <t>Security &amp; Video System Consolidation &amp; Development rev 3 BP072013</t>
  </si>
  <si>
    <t>11389</t>
  </si>
  <si>
    <t>Spare 300MVA 275/66kV Transformer rev 4 BP072013</t>
  </si>
  <si>
    <t>11391</t>
  </si>
  <si>
    <t>Safe Roof Access 2012-2013 rev1 BP072013</t>
  </si>
  <si>
    <t>11392</t>
  </si>
  <si>
    <t>Mechanical 300 Pirie St. 2012-2013 rev1 BP072013</t>
  </si>
  <si>
    <t>11393</t>
  </si>
  <si>
    <t>Mechanical Rymill Pk 2012-2013 rev1 BP072013</t>
  </si>
  <si>
    <t>11395</t>
  </si>
  <si>
    <t>Fleet replacement Vehicles 2012-2013 rev1 BP072013</t>
  </si>
  <si>
    <t>11403</t>
  </si>
  <si>
    <t>Templers West 2nd Transformer Rev 7 BP072013</t>
  </si>
  <si>
    <t>11412</t>
  </si>
  <si>
    <t>Hummocks to Kadina East 2nd 132kV Line REV 12 LU46</t>
  </si>
  <si>
    <t>11413</t>
  </si>
  <si>
    <t>Control System Virtualisation rev1 BP072013</t>
  </si>
  <si>
    <t>11424</t>
  </si>
  <si>
    <t>Yadnarie Middleback 132kV Line Upgrade - Rev 7 LU46</t>
  </si>
  <si>
    <t>11425</t>
  </si>
  <si>
    <t>Monash Capacitor Bank - Rev 10 BP072013</t>
  </si>
  <si>
    <t>11432</t>
  </si>
  <si>
    <t>OPSWAN Implementation 2012-2014  rev 2 BP072013</t>
  </si>
  <si>
    <t>11434</t>
  </si>
  <si>
    <t>Asset Condition Monitoring Systems rev1 BP072013</t>
  </si>
  <si>
    <t>11437</t>
  </si>
  <si>
    <t>BUCC Refurishment - Rev 2 BP072013</t>
  </si>
  <si>
    <t>11439</t>
  </si>
  <si>
    <t>Emergency Supplies 300 Pirie St rev1 BP072013</t>
  </si>
  <si>
    <t>11441</t>
  </si>
  <si>
    <t>Para To Davenport Line Hazard Mitigation rev 3 BP072013</t>
  </si>
  <si>
    <t>11442</t>
  </si>
  <si>
    <t>Fleet Replacement Vehicles  2013-2014 rev1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</si>
  <si>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</si>
  <si>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</si>
  <si>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</si>
  <si>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</si>
  <si>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</si>
  <si>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</si>
  <si>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</si>
  <si>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</si>
  <si>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11448</t>
  </si>
  <si>
    <t>Cultana to Stony Point Line Refurbishment - rev 5 BP072013</t>
  </si>
  <si>
    <t>11470</t>
  </si>
  <si>
    <t>ICT Hardware 2012-2014 rev1 BP072013</t>
  </si>
  <si>
    <t>11471</t>
  </si>
  <si>
    <t>ICT Software 2012-2014 - rev 2 BP072013</t>
  </si>
  <si>
    <t>11472</t>
  </si>
  <si>
    <t>ICT Security 2012-2014 rev1 BP072013</t>
  </si>
  <si>
    <t>11473</t>
  </si>
  <si>
    <t>IT OCS Software 2012-2014 rev1 BP072013</t>
  </si>
  <si>
    <t>11481</t>
  </si>
  <si>
    <t>Furniture and General Building Upgrades 2013 - 2014 - rev2 BP072013</t>
  </si>
  <si>
    <t>11482</t>
  </si>
  <si>
    <t>General Utility Upgrade 2013 - 2014 rev1 BP072013</t>
  </si>
  <si>
    <t>11494</t>
  </si>
  <si>
    <t>Inventory Replenishment 2013-2014 rev1 BP072013</t>
  </si>
  <si>
    <t>11504</t>
  </si>
  <si>
    <t>Neuroodla Asset Replacement - Rev 11 BP072013</t>
  </si>
  <si>
    <t>11505</t>
  </si>
  <si>
    <t>Mt. Gunson Substation Replacement -Rev 11 BP072013</t>
  </si>
  <si>
    <t>11508</t>
  </si>
  <si>
    <t>Mount Gambier East Rev 18 BP 072013</t>
  </si>
  <si>
    <t>11509</t>
  </si>
  <si>
    <t>Bungama 2nd Transformer Option 1B reV 11 BP072013</t>
  </si>
  <si>
    <t>11513</t>
  </si>
  <si>
    <t>Business Intelligence Functional Enhancements 2013-2015 rev1 BP 072013</t>
  </si>
  <si>
    <t>11515</t>
  </si>
  <si>
    <t>11516</t>
  </si>
  <si>
    <t>SAP Functional Enhancements 2013-2015 rev1 BP072013</t>
  </si>
  <si>
    <t>11517</t>
  </si>
  <si>
    <t>11521</t>
  </si>
  <si>
    <t>Database Management Systems Consolidation 2013-2015 rev1 BP072013</t>
  </si>
  <si>
    <t>11523</t>
  </si>
  <si>
    <t>ICT Systems Management 2014-2015 - rev 2 BP072013</t>
  </si>
  <si>
    <t>11524</t>
  </si>
  <si>
    <t>IT Storage and Virtualisation Refurbishment - rev 2 BP072013</t>
  </si>
  <si>
    <t>11526</t>
  </si>
  <si>
    <t>Telecommunications Network Management Systems Upgrade - Rev2 BP072013</t>
  </si>
  <si>
    <t>11532</t>
  </si>
  <si>
    <t>Fire Protection Rymill 2014 - 2015</t>
  </si>
  <si>
    <t>11533</t>
  </si>
  <si>
    <t>Business Intelligence Technology Upgrade 2014-2015 rev1 BP072013</t>
  </si>
  <si>
    <t>11538</t>
  </si>
  <si>
    <t>Project &amp; Portfolio Management Systems 2014 rev1 BP072013</t>
  </si>
  <si>
    <t>11539</t>
  </si>
  <si>
    <t>Records Management 2013-2015 rev1 BP072013</t>
  </si>
  <si>
    <t>11540</t>
  </si>
  <si>
    <t>Mt Barker-Tungkillo Telecoms Bearer - Rev 3</t>
  </si>
  <si>
    <t>11544</t>
  </si>
  <si>
    <t>TIPS C Switch Yard - Rev 9 BP072013</t>
  </si>
  <si>
    <t>11549</t>
  </si>
  <si>
    <t>Switching System Writer rev3</t>
  </si>
  <si>
    <t>11551</t>
  </si>
  <si>
    <t>Control Room Asset Replacement version rev1 BP072013</t>
  </si>
  <si>
    <t>11552</t>
  </si>
  <si>
    <t>Mt. Benson 132/33 kV Substation Land Acquisition - Rev2</t>
  </si>
  <si>
    <t>11553</t>
  </si>
  <si>
    <t>South East Substation to Heywood Telecommunications Bearer rev 4 BP072013</t>
  </si>
  <si>
    <t>11554</t>
  </si>
  <si>
    <t>UPS Battery Bank No.2 - rev2 BP072013</t>
  </si>
  <si>
    <t>11558</t>
  </si>
  <si>
    <t>Electrical 300 Pirie St. 2014-2015 rev1 BP072013</t>
  </si>
  <si>
    <t>11559</t>
  </si>
  <si>
    <t>Fleet Replacement Vehicles 2014-2015 rev1 BP072013</t>
  </si>
  <si>
    <t>11560</t>
  </si>
  <si>
    <t>Magill/East Terrace Cable Pit Construction - C45 - Rev3 BP072013</t>
  </si>
  <si>
    <t>11561</t>
  </si>
  <si>
    <t>Magill/East Terrace Cable Instrument Replacement - C45 - Rev3 BP072013</t>
  </si>
  <si>
    <t>11562</t>
  </si>
  <si>
    <t>Transmission Line Inspection Data Analysis Tool rev1 BP072013</t>
  </si>
  <si>
    <t>11564</t>
  </si>
  <si>
    <t>Magill/East Terrace Cable Joint Monitoring C45 - Rev 3 BP072013</t>
  </si>
  <si>
    <t>11575</t>
  </si>
  <si>
    <t>OPSWAN Replacement 2013-2015 rev 2 BP072013</t>
  </si>
  <si>
    <t>11581</t>
  </si>
  <si>
    <t>Furniture and General Building Upgrades 2014 - 2015 - rev2 BP072013</t>
  </si>
  <si>
    <t>11594</t>
  </si>
  <si>
    <t>Inventory Replenishment 2014-2015 rev1 BP072013</t>
  </si>
  <si>
    <t>11601</t>
  </si>
  <si>
    <t>Mobilong Substation Upgrade - rev 12 LU46</t>
  </si>
  <si>
    <t>11602</t>
  </si>
  <si>
    <t>Tailem Bend Substation Upgrade - Rev 21 Compliance and Security</t>
  </si>
  <si>
    <t>11603</t>
  </si>
  <si>
    <t>TIPS-Cherry Gardens 275kV line into Parafield Gardens West Substation Rev 7 BP072013</t>
  </si>
  <si>
    <t>11605</t>
  </si>
  <si>
    <t>Line Uprating Brinkworth - Davenport &amp; Para - Brinkworth - Rev 8 BP072013</t>
  </si>
  <si>
    <t>11610</t>
  </si>
  <si>
    <t>One Network Refresh 2013-2016 rev1 BP072013</t>
  </si>
  <si>
    <t>11615</t>
  </si>
  <si>
    <t>Standards Major Review - Reset 3 rev1 BP072013</t>
  </si>
  <si>
    <t>11617</t>
  </si>
  <si>
    <t>Playford - Leigh Creek Telecomms Bearer  rev 3</t>
  </si>
  <si>
    <t>11618</t>
  </si>
  <si>
    <t>Carpet Keswick 2015 -2016 - rev2 BP072013</t>
  </si>
  <si>
    <t>11619</t>
  </si>
  <si>
    <t>Fire Protection 300 Pirie 2015 - 2016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</si>
  <si>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</si>
  <si>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</si>
  <si>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</si>
  <si>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</si>
  <si>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</si>
  <si>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</si>
  <si>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11626</t>
  </si>
  <si>
    <t>Morphett Vale East, Happy Valley to Cherry Gardens Telecoms Bearer rev 3</t>
  </si>
  <si>
    <t>11627</t>
  </si>
  <si>
    <t>Snuggery Substation Replacement Land Acquisition - Rev 2 BP072013</t>
  </si>
  <si>
    <t>11632</t>
  </si>
  <si>
    <t>OPSWAN Implementation 2014-2016 - rev 2</t>
  </si>
  <si>
    <t>11633</t>
  </si>
  <si>
    <t>Kadina East - Hummocks West Circuit - Land Acquisition - Rev1</t>
  </si>
  <si>
    <t>11637</t>
  </si>
  <si>
    <t>500kV Standard structures Development rev1 BP072013</t>
  </si>
  <si>
    <t>11638</t>
  </si>
  <si>
    <t>Operational Logging and Fault Investigation Systems rev1 BP072013</t>
  </si>
  <si>
    <t>11639</t>
  </si>
  <si>
    <t>Western Suburbs 66kV Reinforcement - rev 9 LU46</t>
  </si>
  <si>
    <t>11642</t>
  </si>
  <si>
    <t>Torrens Island Switchyard (TIS) C Land and Easement Acquisition - Rev1</t>
  </si>
  <si>
    <t>11643</t>
  </si>
  <si>
    <t>New Office Building and Car Park rev 4</t>
  </si>
  <si>
    <t>11645</t>
  </si>
  <si>
    <t>Reactive Plant Control Systems - Rev 6 BP072013</t>
  </si>
  <si>
    <t>11646</t>
  </si>
  <si>
    <t>Upper North and Eyre Peninsula Voltage Control Scheme - Rev6</t>
  </si>
  <si>
    <t>11647</t>
  </si>
  <si>
    <t>Eyre Peninsula  Voltage Control Scheme Rev4 BP072013</t>
  </si>
  <si>
    <t>11648</t>
  </si>
  <si>
    <t>UPS &amp; Battery Bank BUCC 2015-2016 rev1 BP072013</t>
  </si>
  <si>
    <t>11649</t>
  </si>
  <si>
    <t>Mechanical 300 Pirie St. 2015-2016 rev1 BP072013</t>
  </si>
  <si>
    <t>11650</t>
  </si>
  <si>
    <t>Electrical 300 Pirie St. &amp; Keswick 2015-2016 rev1 BP072013</t>
  </si>
  <si>
    <t>11651</t>
  </si>
  <si>
    <t>Carpet 300 &amp; 276 Pirie St. 2015-2016 rev1 BP072013</t>
  </si>
  <si>
    <t>11652</t>
  </si>
  <si>
    <t>Fleet Replacement Vehicles 2015-2016 rev1 BP072013</t>
  </si>
  <si>
    <t>11655</t>
  </si>
  <si>
    <t>Penola West 15MVar Capacitor Bank - Rev5 LU46</t>
  </si>
  <si>
    <t>11656</t>
  </si>
  <si>
    <t>Transmission Line Vegetation Management System rev1 BP072013</t>
  </si>
  <si>
    <t>11657</t>
  </si>
  <si>
    <t>Meduim Term Accomodation</t>
  </si>
  <si>
    <t>11670</t>
  </si>
  <si>
    <t>ICT Hardware 2014-2016 rev 1 BP072013</t>
  </si>
  <si>
    <t>11671</t>
  </si>
  <si>
    <t>ICT Software 2014-2016 - rev 2 BP072013</t>
  </si>
  <si>
    <t>11672</t>
  </si>
  <si>
    <t>ICT Security 2014-2016 rev 1 BP072013</t>
  </si>
  <si>
    <t>11673</t>
  </si>
  <si>
    <t>IT OCS Software 2014-2016</t>
  </si>
  <si>
    <t>11681</t>
  </si>
  <si>
    <t>Furniture and General Building Upgrades 2015 -2016 - rev2 BP072013</t>
  </si>
  <si>
    <t>11694</t>
  </si>
  <si>
    <t>Inventory Replenishment 2015-2016 rev 1 BP072013</t>
  </si>
  <si>
    <t>11703</t>
  </si>
  <si>
    <t>Drawing Management Systems Technology Upgrade 2015-2017 rev 1 BP072013</t>
  </si>
  <si>
    <t>11705</t>
  </si>
  <si>
    <t>11706</t>
  </si>
  <si>
    <t>Archiving Solutions 2013-2015 - rev 2 BP072013</t>
  </si>
  <si>
    <t>11709</t>
  </si>
  <si>
    <t>Yadnarie - Port Lincoln Backbone Telecommunications Links rev 4 BP072013</t>
  </si>
  <si>
    <t>11712</t>
  </si>
  <si>
    <t>Engineering Systems Enhancements 2015-2017 rev 1BP072013</t>
  </si>
  <si>
    <t>11715</t>
  </si>
  <si>
    <t>11717</t>
  </si>
  <si>
    <t>UPS Battery Bank - rev2 BP072013</t>
  </si>
  <si>
    <t>11718</t>
  </si>
  <si>
    <t>Angas Creek Substation Augmentation Land Acquisition - Rev2BP072013</t>
  </si>
  <si>
    <t>11720</t>
  </si>
  <si>
    <t>Murray Bridge - Hahndorf Pump Stations 1-3 Land Acquisition - Rev1</t>
  </si>
  <si>
    <t>11721</t>
  </si>
  <si>
    <t>Morphett Vale East 275kV Supply Double - Rev2BP072013</t>
  </si>
  <si>
    <t>11722</t>
  </si>
  <si>
    <t>Brinkworth West Circuit Entry Easement Acquisition - Rev1</t>
  </si>
  <si>
    <t>11723</t>
  </si>
  <si>
    <t>Tepko Substation Land Acquisition - Rev1</t>
  </si>
  <si>
    <t>11724</t>
  </si>
  <si>
    <t>Wilmington Substation Land Acquisition - Rev1</t>
  </si>
  <si>
    <t>11725</t>
  </si>
  <si>
    <t>Mintaro to Waterloo Easement Widening Land  Acquisition - Rev1</t>
  </si>
  <si>
    <t>11726</t>
  </si>
  <si>
    <t>Lincoln Gap Substation Land Acquisition - Rev3 BP072013</t>
  </si>
  <si>
    <t>11727</t>
  </si>
  <si>
    <t>Fourth Northern Suburbs Connection Point Land Acquistion - Rev3 BP072013</t>
  </si>
  <si>
    <t>11728</t>
  </si>
  <si>
    <t>Jamestown Connection Point Land Acquisition - Rev2</t>
  </si>
  <si>
    <t>11729</t>
  </si>
  <si>
    <t>Snuggery to Blanche to Mt Gambier to South East Second 132kV Line Easement REV 3 BP072013</t>
  </si>
  <si>
    <t>11730</t>
  </si>
  <si>
    <t>Hummocks 132kV Capacitor Bank - Rev 5 BP072013</t>
  </si>
  <si>
    <t>11731</t>
  </si>
  <si>
    <t>Fleet Vehicles Purchase 2016-2017 rev 1 BP072013</t>
  </si>
  <si>
    <t>11732</t>
  </si>
  <si>
    <t>Outage Management Functional Upgrade  rev 1 BP072013</t>
  </si>
  <si>
    <t>11733</t>
  </si>
  <si>
    <t>Asset Condition Online Monitoring Equipment Replacement - C45 rev 2 BP072013</t>
  </si>
  <si>
    <t>11734</t>
  </si>
  <si>
    <t>11736</t>
  </si>
  <si>
    <t>Para-Tungkillo 275kV Line Easement - Rev2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</si>
  <si>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</si>
  <si>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</si>
  <si>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</si>
  <si>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</si>
  <si>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11775</t>
  </si>
  <si>
    <t>OPSWAN Replacement 2015-2017  rev 2 BP072013</t>
  </si>
  <si>
    <t>11781</t>
  </si>
  <si>
    <t>Furniture and General Building Upgrades 2016 - 2017 - rev2 BP072013</t>
  </si>
  <si>
    <t>11782</t>
  </si>
  <si>
    <t>Building Generator 300 Pirie St</t>
  </si>
  <si>
    <t>11794</t>
  </si>
  <si>
    <t>Inventory Replenishment 2016-2017 rev 1 BP072013</t>
  </si>
  <si>
    <t>11801</t>
  </si>
  <si>
    <t>Davenport - Leigh Creek Line Uprate - Rev 8 BP072013</t>
  </si>
  <si>
    <t>11802</t>
  </si>
  <si>
    <t>Business Intelligence Functional Enhancements 2017-2018 rev 1 BP072013</t>
  </si>
  <si>
    <t>11803</t>
  </si>
  <si>
    <t>SAP Functional Enhancements 2017-2018 rev 2 BP072013</t>
  </si>
  <si>
    <t>11807</t>
  </si>
  <si>
    <t>ICT Systems Management 2017-2019  rev 1</t>
  </si>
  <si>
    <t>11808</t>
  </si>
  <si>
    <t>Office Systems Refresh rev 1 BP072013</t>
  </si>
  <si>
    <t>11809</t>
  </si>
  <si>
    <t>Common Information-Connectivity Model rev 2 BP072013</t>
  </si>
  <si>
    <t>11810</t>
  </si>
  <si>
    <t>OSI PI Technology Upgrade</t>
  </si>
  <si>
    <t>11811</t>
  </si>
  <si>
    <t>Outage Management Upgrade rev 2 BP072013</t>
  </si>
  <si>
    <t>11812</t>
  </si>
  <si>
    <t>Substation Automation and Alarm rev 2 BP072013</t>
  </si>
  <si>
    <t>11813</t>
  </si>
  <si>
    <t>Nokia Multiplexer Replacement  rev 3 BP072013</t>
  </si>
  <si>
    <t>11815</t>
  </si>
  <si>
    <t>Carpet Rymill 2012 - 2013 - rev2 BP072013</t>
  </si>
  <si>
    <t>11816</t>
  </si>
  <si>
    <t>One IP Substation Network Stage 1 rev 8</t>
  </si>
  <si>
    <t>11822</t>
  </si>
  <si>
    <t>Riverland Telecommunications Bearer  rev 3 BP072013</t>
  </si>
  <si>
    <t>11823</t>
  </si>
  <si>
    <t>Yorke Peninsula Second Telecommunications Bearer rev 4</t>
  </si>
  <si>
    <t>11824</t>
  </si>
  <si>
    <t>Weather Stations For Dynamic Line Rating</t>
  </si>
  <si>
    <t>11825</t>
  </si>
  <si>
    <t>Radial Supply Reliability Improvement Rev 7 BP072013</t>
  </si>
  <si>
    <t>11826</t>
  </si>
  <si>
    <t>Dalrymple Substation- Brownfield 1 Phase 1 Rev 10</t>
  </si>
  <si>
    <t>11828</t>
  </si>
  <si>
    <t>Substation Perimeter Video Monitoring &amp; Security - Rev 8</t>
  </si>
  <si>
    <t>11829</t>
  </si>
  <si>
    <t>Regional Control Scheme - Rev 7 BP072013</t>
  </si>
  <si>
    <t>11837</t>
  </si>
  <si>
    <t>Port Pirie Second TF and 2nd Bungama to Port Pirie Line-Rev 14 BP072013</t>
  </si>
  <si>
    <t>11838</t>
  </si>
  <si>
    <t>Davenport to para West Circuit OPGW rev 6 LU46</t>
  </si>
  <si>
    <t>11840</t>
  </si>
  <si>
    <t>Morphett Vale East Capacitor Bank rev 10 LU46</t>
  </si>
  <si>
    <t>11841</t>
  </si>
  <si>
    <t>Davenport-Robertstown Lines Tie at Belalie - Rev 11 BP072013</t>
  </si>
  <si>
    <t>11843</t>
  </si>
  <si>
    <t>Yatala Vale North 275/66kV Substation - Rev 10 BP072013</t>
  </si>
  <si>
    <t>11848</t>
  </si>
  <si>
    <t>Eagle on The Hill Substation-GIS-Option B Rev 7 BP072013</t>
  </si>
  <si>
    <t>11849</t>
  </si>
  <si>
    <t>Mallala toTemplers West 275kV Tie - Rev 7 BP072013</t>
  </si>
  <si>
    <t>11851</t>
  </si>
  <si>
    <t>Transmission Billing rev 2 BP072013</t>
  </si>
  <si>
    <t>11853</t>
  </si>
  <si>
    <t>Telecommunications SDM Major Review - Rev2 BP072013</t>
  </si>
  <si>
    <t>11854</t>
  </si>
  <si>
    <t>Tel Asset Replacement - Metro Region - rev4 BP072013</t>
  </si>
  <si>
    <t>11855</t>
  </si>
  <si>
    <t>Tel Asset Replacement - Eastern Hills Region - rev4 BP072013</t>
  </si>
  <si>
    <t>11856</t>
  </si>
  <si>
    <t>Tel Asset Replacement - Mid North Region - rev4 BP072013</t>
  </si>
  <si>
    <t>11857</t>
  </si>
  <si>
    <t>Tel Asset Replacement - Upper North Region - rev 5</t>
  </si>
  <si>
    <t>11858</t>
  </si>
  <si>
    <t>Tel Asset Replacement - Eyre Region - rev4 BP072013</t>
  </si>
  <si>
    <t>11859</t>
  </si>
  <si>
    <t>Tel Asset Replacement - Riverland Region - rev4 BP072013</t>
  </si>
  <si>
    <t>11860</t>
  </si>
  <si>
    <t>Tel Asset Replacement - South East Region - rev4 BP072013</t>
  </si>
  <si>
    <t>11861</t>
  </si>
  <si>
    <t>Telecommunications Network Optimisation Stage 2 - rev4 BP072013</t>
  </si>
  <si>
    <t>11862</t>
  </si>
  <si>
    <t>VOIP Network Refresh - Rev2 BP072013</t>
  </si>
  <si>
    <t>11863</t>
  </si>
  <si>
    <t>Snuggery Rural 132/33kV Transformer Upgrade Option C rev 7 rev BP072013</t>
  </si>
  <si>
    <t>11864</t>
  </si>
  <si>
    <t>Eyre Peninsula Network Extension Rev 4 LU46</t>
  </si>
  <si>
    <t>11865</t>
  </si>
  <si>
    <t>Network Configuration Management Upgrade rev 2 BP072013</t>
  </si>
  <si>
    <t>11866</t>
  </si>
  <si>
    <t>South East to Adelaide Main Grid Reinforcement - Rev 5 LU46</t>
  </si>
  <si>
    <t>11868</t>
  </si>
  <si>
    <t>Davenport to Adelaide Reinforcement - Rev 5 LU46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</si>
  <si>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</si>
  <si>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</si>
  <si>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</si>
  <si>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</si>
  <si>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</si>
  <si>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</si>
  <si>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</si>
  <si>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</si>
  <si>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11876</t>
  </si>
  <si>
    <t>Integrated Network Modelling System rev 1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</si>
  <si>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</si>
  <si>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</si>
  <si>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</si>
  <si>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</si>
  <si>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</si>
  <si>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</si>
  <si>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11883</t>
  </si>
  <si>
    <t>ICT Data Centre Expansion - rev 2 BP072013</t>
  </si>
  <si>
    <t>11884</t>
  </si>
  <si>
    <t>Fire Protection Rymill - Sprinkler System</t>
  </si>
  <si>
    <t>11890</t>
  </si>
  <si>
    <t>Unit Asset replacement rev 12</t>
  </si>
  <si>
    <t>11891</t>
  </si>
  <si>
    <t>Hummocks to Ardrossan West Double Circuit Easement - Rev2</t>
  </si>
  <si>
    <t>11892</t>
  </si>
  <si>
    <t>City West 2nd Cable Easement - Rev1</t>
  </si>
  <si>
    <t>11893</t>
  </si>
  <si>
    <t>Mallala to Templers West 275kV Transmission Line Land Acquisition - Rev1</t>
  </si>
  <si>
    <t>11894</t>
  </si>
  <si>
    <t>Inventory Replenishment 2017-2018 - rev 1 BP072013</t>
  </si>
  <si>
    <t>11896</t>
  </si>
  <si>
    <t>Mechanical 300 &amp; 276 Pirie St. 2017-2018 rev 1 BP072013</t>
  </si>
  <si>
    <t>11898</t>
  </si>
  <si>
    <t>Waterloo - Robertstown #1 Line Reinstatement rev 4 LU46</t>
  </si>
  <si>
    <t>11899</t>
  </si>
  <si>
    <t>Fleet Vehicles Purchase 2017-2018 rev 1 BP072013</t>
  </si>
  <si>
    <t>11902</t>
  </si>
  <si>
    <t>Yorke Peninisula Reinforcement Option A rev 17 BP072013</t>
  </si>
  <si>
    <t>11904</t>
  </si>
  <si>
    <t>Brinkworth to Belalie or Mokota 275kV Line Easement - Rev2</t>
  </si>
  <si>
    <t>11910</t>
  </si>
  <si>
    <t>Yadnarie to Wudinna Backbone Telecommunications Link rev 3 BP072013</t>
  </si>
  <si>
    <t>11911</t>
  </si>
  <si>
    <t>DCN Network Refresh - Rev1</t>
  </si>
  <si>
    <t>11913</t>
  </si>
  <si>
    <t>Munno Para 275/66kV 2nd Transformer - Rev 9 BP072013</t>
  </si>
  <si>
    <t>11915</t>
  </si>
  <si>
    <t>Furniture and General Building Upgrades 2018-2019 rev 1 BP072013</t>
  </si>
  <si>
    <t>11916</t>
  </si>
  <si>
    <t>Fleet Vehicle Purchase 2018-2019 rev 1 BP072013</t>
  </si>
  <si>
    <t>11975</t>
  </si>
  <si>
    <t>OPSWAN Replacement 2017-2019 - Rev 3 BP072013</t>
  </si>
  <si>
    <t>11981</t>
  </si>
  <si>
    <t>Furniture and General Building Upgrades 2018 - 2019</t>
  </si>
  <si>
    <t>12002</t>
  </si>
  <si>
    <t>Corporate Network Refresh 2018-2020 rev 1 BP072013</t>
  </si>
  <si>
    <t>12003</t>
  </si>
  <si>
    <t>12008</t>
  </si>
  <si>
    <t>Project &amp; Portfolio Management Systems Functional Enhancements 2018-2020 rev 1 BP072013</t>
  </si>
  <si>
    <t>12010</t>
  </si>
  <si>
    <t>SAP Functional Enhancements 2018-2020 rev 2 BP072013</t>
  </si>
  <si>
    <t>12011</t>
  </si>
  <si>
    <t>SPF Functional Enhancements 2018-2020 rev 2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</si>
  <si>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</si>
  <si>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</si>
  <si>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</si>
  <si>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</si>
  <si>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</si>
  <si>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</si>
  <si>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12029</t>
  </si>
  <si>
    <t>Roof Keswick North, 300 &amp; 276 Pirie  2019 - 2020 rev 1 BP072013</t>
  </si>
  <si>
    <t>12030</t>
  </si>
  <si>
    <t>Fleet Vehicle Purchase 2019 -2020 rev 1 BP072013</t>
  </si>
  <si>
    <t>12070</t>
  </si>
  <si>
    <t>ICT Hardware 2018-2020 rev 2 BP072013</t>
  </si>
  <si>
    <t>12071</t>
  </si>
  <si>
    <t>ICT Software 2018-2020 rev 2 BP072013</t>
  </si>
  <si>
    <t>12073</t>
  </si>
  <si>
    <t>IT OCS Software 2018-2020 rev 2 BP072013</t>
  </si>
  <si>
    <t>12103</t>
  </si>
  <si>
    <t>Transmission Operator Situational Awareness rev 2 PB072013</t>
  </si>
  <si>
    <t>12104</t>
  </si>
  <si>
    <t>City West - Western Suburbs Reinforcement Rev 7 BP072013</t>
  </si>
  <si>
    <t>12105</t>
  </si>
  <si>
    <t>Electrical 300 Pirie St 2020 - 2021 rev 1 PB072013</t>
  </si>
  <si>
    <t>12106</t>
  </si>
  <si>
    <t>Furniture and General Building Upgrades 2020 - 2021 rev 1 BP072013</t>
  </si>
  <si>
    <t>12107</t>
  </si>
  <si>
    <t>Electrical Rymill Bldg. 2020 - 2021 rev 1 BP072013</t>
  </si>
  <si>
    <t>12108</t>
  </si>
  <si>
    <t>Mechanical Keswick North 2020 - 2021 rev 1 BP072013</t>
  </si>
  <si>
    <t>12109</t>
  </si>
  <si>
    <t>Fire Panel Keswick North 2020 -2021 rev 1 PB072013</t>
  </si>
  <si>
    <t>12110</t>
  </si>
  <si>
    <t>Mechanical Back Up Control Centre 2020 -2021 rev 1 BP072013</t>
  </si>
  <si>
    <t>12111</t>
  </si>
  <si>
    <t>Fleet Vehicle Purchase 2020 -2021 rev 1 BP072013</t>
  </si>
  <si>
    <t>12112</t>
  </si>
  <si>
    <t>Outage Management Functional Upgrade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</si>
  <si>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</si>
  <si>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</si>
  <si>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</si>
  <si>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</si>
  <si>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12206</t>
  </si>
  <si>
    <t>Electrical Back Up Control Centre 2021 -2022 rev 1 BP072013</t>
  </si>
  <si>
    <t>12207</t>
  </si>
  <si>
    <t>Fleet Vehicle Purchase 2021 -2022 rev 1 BP072013</t>
  </si>
  <si>
    <t>12303</t>
  </si>
  <si>
    <t>Murray Bridge to Hahndorf Pump Station No 1 - Option A - 2 No TF - Rev 10</t>
  </si>
  <si>
    <t>12304</t>
  </si>
  <si>
    <t>Murray Bridge Hahndorf Pump Station No 2 Option A - 2 No TF - Rev 9 BP072013</t>
  </si>
  <si>
    <t>12305</t>
  </si>
  <si>
    <t>Murray Bridge - Hahndorf Pump Station No 3 Option A - 2 No TF -  Rev 8</t>
  </si>
  <si>
    <t>12307</t>
  </si>
  <si>
    <t>Sugar Loaf Hill 132/33kV Substation - Rev 16 LU46</t>
  </si>
  <si>
    <t>12309</t>
  </si>
  <si>
    <t>Kingsford 275/66kV Substation - Rev 12 BP072013</t>
  </si>
  <si>
    <t>12310</t>
  </si>
  <si>
    <t>2nd 275kV Cable to City West Substation Rev 6 PB072013</t>
  </si>
  <si>
    <t>12311</t>
  </si>
  <si>
    <t>Southern Suburbs Reinforcement Rev 7 BP072013</t>
  </si>
  <si>
    <t>12323</t>
  </si>
  <si>
    <t>Jamestown 275/66kV Two Transformer Substation - Rev 8 LU46 BP072013</t>
  </si>
  <si>
    <t>12702</t>
  </si>
  <si>
    <t>Munno Para Capacitor Bank #2 - Rev 10 LU46</t>
  </si>
  <si>
    <t>12803</t>
  </si>
  <si>
    <t>South East Region TF Reinforcement - Option B- Rev 11 LU46</t>
  </si>
  <si>
    <t>12805</t>
  </si>
  <si>
    <t>Templers West to Brinkworth 275kV Double Ckt Line Rev 6 LU46</t>
  </si>
  <si>
    <t>13304</t>
  </si>
  <si>
    <t>Templers West to Para 275kV Double Circuit Line - Rev 6 LU46</t>
  </si>
  <si>
    <t>11567</t>
  </si>
  <si>
    <t>11662</t>
  </si>
  <si>
    <t>11743</t>
  </si>
  <si>
    <t>Bungama - Baroota 132 kV Line Rating Com</t>
  </si>
  <si>
    <t>11658</t>
  </si>
  <si>
    <t>Fire Fighting System Replacements</t>
  </si>
  <si>
    <t>11659</t>
  </si>
  <si>
    <t>11749</t>
  </si>
  <si>
    <t>14012</t>
  </si>
  <si>
    <t>11576</t>
  </si>
  <si>
    <t>11566</t>
  </si>
  <si>
    <t>Business Planning System Including WFP</t>
  </si>
  <si>
    <t>11751</t>
  </si>
  <si>
    <t>14009</t>
  </si>
  <si>
    <t>10504</t>
  </si>
  <si>
    <t>Mannum-Adelaide Pump Nos. 1,2,3 Substati</t>
  </si>
  <si>
    <t>10922</t>
  </si>
  <si>
    <t>Northern Region Network Stability Limita</t>
  </si>
  <si>
    <t>11660</t>
  </si>
  <si>
    <t>14101</t>
  </si>
  <si>
    <t>89998</t>
  </si>
  <si>
    <t>Clearing Account Project - Mount Millar CB</t>
  </si>
  <si>
    <t>14052</t>
  </si>
  <si>
    <t>14058</t>
  </si>
  <si>
    <t>14059</t>
  </si>
  <si>
    <t>14029</t>
  </si>
  <si>
    <t>14039</t>
  </si>
  <si>
    <t>14040</t>
  </si>
  <si>
    <t>14020</t>
  </si>
  <si>
    <t>14053</t>
  </si>
  <si>
    <t>14088</t>
  </si>
  <si>
    <t>14007</t>
  </si>
  <si>
    <t>14114</t>
  </si>
  <si>
    <t>14119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</si>
  <si>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</si>
  <si>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</si>
  <si>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</si>
  <si>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</si>
  <si>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</si>
  <si>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</si>
  <si>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</si>
  <si>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30827</t>
  </si>
  <si>
    <t>Yorke Peninsula Windfarm Globe Derby Substation $35M UNREG</t>
  </si>
  <si>
    <t>11379</t>
  </si>
  <si>
    <t>14122</t>
  </si>
  <si>
    <t>14129</t>
  </si>
  <si>
    <t>14134</t>
  </si>
  <si>
    <t>Estimates Asset Class $</t>
  </si>
  <si>
    <t>11852</t>
  </si>
  <si>
    <t>11917</t>
  </si>
  <si>
    <t>12013</t>
  </si>
  <si>
    <t>12301</t>
  </si>
  <si>
    <t>14008</t>
  </si>
  <si>
    <t>14010</t>
  </si>
  <si>
    <t>14011</t>
  </si>
  <si>
    <t>14013</t>
  </si>
  <si>
    <t>14014</t>
  </si>
  <si>
    <t>14015</t>
  </si>
  <si>
    <t>14017</t>
  </si>
  <si>
    <t>14018</t>
  </si>
  <si>
    <t>14021</t>
  </si>
  <si>
    <t>14024</t>
  </si>
  <si>
    <t>14041</t>
  </si>
  <si>
    <t>14084</t>
  </si>
  <si>
    <t>14097</t>
  </si>
  <si>
    <t>14100</t>
  </si>
  <si>
    <t>14107</t>
  </si>
  <si>
    <t>14108</t>
  </si>
  <si>
    <t>14109</t>
  </si>
  <si>
    <t>14121</t>
  </si>
  <si>
    <t>14128</t>
  </si>
  <si>
    <t>Grand Total</t>
  </si>
  <si>
    <t>Sum of Commissioned $</t>
  </si>
  <si>
    <t>Check</t>
  </si>
  <si>
    <t>Total Classes</t>
  </si>
  <si>
    <t>10640</t>
  </si>
  <si>
    <t>10628</t>
  </si>
  <si>
    <t>Neuroodla Substation Aged Asset Replacem</t>
  </si>
  <si>
    <t>Business Process Improvement - Stage 1</t>
  </si>
  <si>
    <t>EC.11139</t>
  </si>
  <si>
    <t>10020</t>
  </si>
  <si>
    <t>Working Capital</t>
  </si>
  <si>
    <t>Accelerated Depreciation</t>
  </si>
  <si>
    <t>Refurbishment Projects 2008-2013</t>
  </si>
  <si>
    <t>INCURRED</t>
  </si>
  <si>
    <t>COMMISSIONED</t>
  </si>
  <si>
    <t>F16</t>
  </si>
  <si>
    <t>F17</t>
  </si>
  <si>
    <t>F18</t>
  </si>
  <si>
    <t>F19</t>
  </si>
  <si>
    <t>F20</t>
  </si>
  <si>
    <t>F21</t>
  </si>
  <si>
    <t>F22</t>
  </si>
  <si>
    <t>F23</t>
  </si>
  <si>
    <t>$m</t>
  </si>
  <si>
    <t xml:space="preserve">Round to </t>
  </si>
  <si>
    <t>Cumulative cpi to 2023</t>
  </si>
  <si>
    <t>F14</t>
  </si>
  <si>
    <t>F15</t>
  </si>
  <si>
    <t>RFM</t>
  </si>
  <si>
    <t>PTRM</t>
  </si>
  <si>
    <t>Total F16-F23</t>
  </si>
  <si>
    <t>Check total</t>
  </si>
  <si>
    <t>NCIPAP TF Management Relay DR-E3 Uprat</t>
  </si>
  <si>
    <t>EC.14133</t>
  </si>
  <si>
    <t>Dalrymple ESCRI Energy Storage</t>
  </si>
  <si>
    <t>Kilburn 275 kV Emergency Bypass</t>
  </si>
  <si>
    <t>$m Nominal</t>
  </si>
  <si>
    <t>$m Real (2017-18)</t>
  </si>
  <si>
    <t>IT Storage Computer Hardware Refurb19-20</t>
  </si>
  <si>
    <t>Database Platform Refresh 17-18</t>
  </si>
  <si>
    <t>Windows Backoffice Mgmt Sys Refresh17-18</t>
  </si>
  <si>
    <t>Licenses, Maintenance, Minor Soft 17-18</t>
  </si>
  <si>
    <t>IT Security Technology Refresh 17-18</t>
  </si>
  <si>
    <t>Intranet and Extranet Refresh 18-19</t>
  </si>
  <si>
    <t>Local Area Network Equip Refresh 21-22</t>
  </si>
  <si>
    <t>Geospatial Systems Refresh 18-19</t>
  </si>
  <si>
    <t>Project Portfoilo Mgmt Sys Refresh 21-22</t>
  </si>
  <si>
    <t>ERP Systems Refresh</t>
  </si>
  <si>
    <t>Geospatial Systems Refresh 23-24</t>
  </si>
  <si>
    <t>Licenses, Maintenance, Minor Soft 22-23</t>
  </si>
  <si>
    <t>Licenses, Maintenance, Minor Soft 19-20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</si>
  <si>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</si>
  <si>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</si>
  <si>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</si>
  <si>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</si>
  <si>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Security Technology Refresh 22-23</t>
  </si>
  <si>
    <t>Intranet Platform Refresh 22-23</t>
  </si>
  <si>
    <t>VOIP Network Refresh 2018-23</t>
  </si>
  <si>
    <t>IT Architecture Support Systems Implemen</t>
  </si>
  <si>
    <t>Treasury and Risk Systems Implementation</t>
  </si>
  <si>
    <t>Optimise Inventory Management System</t>
  </si>
  <si>
    <t>Stakeholder Management Sys Refresh 17-18</t>
  </si>
  <si>
    <t>Records and Drg Mgmt tools Consolidate</t>
  </si>
  <si>
    <t>Stakeholder Mgmt Systems Refresh 23-24</t>
  </si>
  <si>
    <t>Archive and Optimise SAP Data</t>
  </si>
  <si>
    <t>Advanced Analytics for Bus Intelligence</t>
  </si>
  <si>
    <t>Bus Process Rules and Auto Tools Imp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</si>
  <si>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</si>
  <si>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</si>
  <si>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</si>
  <si>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</si>
  <si>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</si>
  <si>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</si>
  <si>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</si>
  <si>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Discount to $Real 2017/18</t>
  </si>
  <si>
    <t>cpi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</si>
  <si>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</si>
  <si>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</si>
  <si>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</si>
  <si>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</si>
  <si>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</si>
  <si>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</si>
  <si>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</si>
  <si>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</si>
  <si>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</si>
  <si>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MWPS1 – NWB F1854 132 kV Line Conductor and Earthwire Refurbishment</t>
  </si>
  <si>
    <t>MWPS3 – MWPS2 F1849 132 kV Line Conductor and Earthwire Refurbishment</t>
  </si>
  <si>
    <t>MWPS4 - Robertstown F1855 132 kV Line Conductor and Earthwire Refurbishment</t>
  </si>
  <si>
    <t>MWPS2 – MWPS1 F1853 132 kV Line Conductor and Earthwire Refurbishment</t>
  </si>
  <si>
    <t>Robertstown – MWPS3 F1847 132 kV Line Conductor and Earthwire Refurbishment</t>
  </si>
  <si>
    <t>Waterloo – Waterloo East F1806 132 kV Line Conductor and Earthwire Refurbishment</t>
  </si>
  <si>
    <t>Waterloo East - MWPS4 F1888 132 kV Line Conductor and Earthwire Refurbishment</t>
  </si>
  <si>
    <t>14081</t>
  </si>
  <si>
    <t>14080</t>
  </si>
  <si>
    <t>14105</t>
  </si>
  <si>
    <t>11426</t>
  </si>
  <si>
    <t>14076</t>
  </si>
  <si>
    <t>NCIPAP</t>
  </si>
  <si>
    <t>[CLSD]-Neuroodla Substation Replacement</t>
  </si>
  <si>
    <t>[CLSD]-Mt Gunson Substation Replacement</t>
  </si>
  <si>
    <t>[CLSD]-Riverland Bearer</t>
  </si>
  <si>
    <t>Actual 2016</t>
  </si>
  <si>
    <t>Plan 2019</t>
  </si>
  <si>
    <t>Plan 2020</t>
  </si>
  <si>
    <t>Plan 2021</t>
  </si>
  <si>
    <t>Plan 2022</t>
  </si>
  <si>
    <t>Plan 2023</t>
  </si>
  <si>
    <t>Plan 2017</t>
  </si>
  <si>
    <t>Plan 2018</t>
  </si>
  <si>
    <t>Contingent - Actual</t>
  </si>
  <si>
    <t>Contingent - High</t>
  </si>
  <si>
    <t>Asset Managment Optimisation</t>
  </si>
  <si>
    <t>Integrated Project and Resource Model</t>
  </si>
  <si>
    <t>LAN Corporate Refresh 17-18</t>
  </si>
  <si>
    <t>CLSD-Mechanical 300 Pirie Street 2015-16</t>
  </si>
  <si>
    <t>CLSD-Vehicle Purchases 2015-16</t>
  </si>
  <si>
    <t>CLSC-Furniture and Building Upgr 2015-16</t>
  </si>
  <si>
    <t>CLSD-UPS Battery Bank No1 -300 Pirie St</t>
  </si>
  <si>
    <t>AC Switchboard Replacement 2013-18</t>
  </si>
  <si>
    <t>IT Hardware Refresh Maintain 16-18</t>
  </si>
  <si>
    <t>Intranet Platform Refresh 16-17</t>
  </si>
  <si>
    <t>IT Hardware Refresh and Maintain 19-20</t>
  </si>
  <si>
    <t>IT Hardware Refresh Maintain 21-22</t>
  </si>
  <si>
    <t>IT Hardware Refresh Maintain  22-23</t>
  </si>
  <si>
    <t>CLSD Supply Chain Management Procedure</t>
  </si>
  <si>
    <t>DEFD Eyre Peninsula Islanding Controls</t>
  </si>
  <si>
    <t>Canowie CB Arrangement Upgrade</t>
  </si>
  <si>
    <t>Leigh Creek South Transformer Replacemen</t>
  </si>
  <si>
    <t>CLSD-Keswick Precinct Led Lighting Upgra</t>
  </si>
  <si>
    <t>CLSD-Workplace Accommod Alterations 2015</t>
  </si>
  <si>
    <t>EC.14135</t>
  </si>
  <si>
    <t>Electric Vehicle Fleet and Charging Infr</t>
  </si>
  <si>
    <t>EC.14136</t>
  </si>
  <si>
    <t>Rymill Building Accommodation Security a</t>
  </si>
  <si>
    <t>EC.14137</t>
  </si>
  <si>
    <t>Cultana - Yadnarie F1810 132 kV Line Con</t>
  </si>
  <si>
    <t>EC.14145</t>
  </si>
  <si>
    <t>Yadnarie - Pt Lincoln F1811 132 kV Line</t>
  </si>
  <si>
    <t>EC.14155</t>
  </si>
  <si>
    <t>MBHPS3-Kanmantoo-Back Callington F1850 1</t>
  </si>
  <si>
    <t>CLSD-300 Pirie Street L1 West Upgrade</t>
  </si>
  <si>
    <t>Munno Para 66 kV Control Scheme</t>
  </si>
  <si>
    <t>EC.14166</t>
  </si>
  <si>
    <t>NCIPAP Robertstown-Tungkillo 275 kV Remo</t>
  </si>
  <si>
    <t>EC.14167</t>
  </si>
  <si>
    <t>NCIPAP Davenport-Robertstown 275 kV Line</t>
  </si>
  <si>
    <t>EC.14168</t>
  </si>
  <si>
    <t>NCIPAP Smart Wires PowerLine Guardian Te</t>
  </si>
  <si>
    <t>EC.14169</t>
  </si>
  <si>
    <t>NCIPAP South East - Tungkillo 275kV Dyna</t>
  </si>
  <si>
    <t>EC.14170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</si>
  <si>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</si>
  <si>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</si>
  <si>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</si>
  <si>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</si>
  <si>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</si>
  <si>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</si>
  <si>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Mid North 132 kV Dynamic Line Ratings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</si>
  <si>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</si>
  <si>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</si>
  <si>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</si>
  <si>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</si>
  <si>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</si>
  <si>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</si>
  <si>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</si>
  <si>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</si>
  <si>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EC.14181</t>
  </si>
  <si>
    <t>Tailem Bend Second Communication Link</t>
  </si>
  <si>
    <t>EC.14182</t>
  </si>
  <si>
    <t>South East SVC Computer Control System R</t>
  </si>
  <si>
    <t>EC.14184</t>
  </si>
  <si>
    <t>Secondary Injection Test Unit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</si>
  <si>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</si>
  <si>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</si>
  <si>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</si>
  <si>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</si>
  <si>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</si>
  <si>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</si>
  <si>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</si>
  <si>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</si>
  <si>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12</t>
  </si>
  <si>
    <t>EC.11104 Davenport 100MVAr Capacitor Bank Rev 11</t>
  </si>
  <si>
    <t>EC.11749 AC Switchboard Replacement level 1 rev3</t>
  </si>
  <si>
    <t>Far North</t>
  </si>
  <si>
    <t>EC.11829 Regional N-1 Secure Control Schemes - Copy</t>
  </si>
  <si>
    <t>EC11854 Telco Asset Replacement 2013-2018 Level 3</t>
  </si>
  <si>
    <t>ESCRI SA Phase 2</t>
  </si>
  <si>
    <t>Doran Costan</t>
  </si>
  <si>
    <t>Rev 2</t>
  </si>
  <si>
    <t>Rev 1</t>
  </si>
  <si>
    <t>EC.14178 Elevating Work Platform Procurement for Live Work rev1</t>
  </si>
  <si>
    <t>EC.14179 Live Line Manual Development</t>
  </si>
  <si>
    <t>On Hold</t>
  </si>
  <si>
    <t>EC.11552 Mt. Benson 132/33 kV Substation Land Acquisition - Rev2</t>
  </si>
  <si>
    <t>EC.11606 Enterprise Integration Platform Refresh</t>
  </si>
  <si>
    <t>EC.11661 Substation Computer Based Local Control Facilities Replacement rev 3</t>
  </si>
  <si>
    <t>EC.11722 Brinkworth West Circuit Entry Easement Acquisition - Rev1</t>
  </si>
  <si>
    <t>EC.11725 Mintaro to Waterloo Easement Widening Land  Acquisition - Rev1</t>
  </si>
  <si>
    <t>EC.11726 Lincoln Gap Substation Land Acquisition - Rev3 BP072013</t>
  </si>
  <si>
    <t>EC.11727 Fourth Northern Suburbs Connection Point Land Acquistion - Rev3 BP072013</t>
  </si>
  <si>
    <t>EC.11892 City West 2nd Cable Easement - Rev1</t>
  </si>
  <si>
    <t>EC.11898 Waterloo - Robertstown #1 Line Reinstatement rev 5</t>
  </si>
  <si>
    <t>EC.11902 Yorke Peninsula Reinforcement 04/2016 rev 1</t>
  </si>
  <si>
    <t>EC.11906 Application Virtualisation rev 2</t>
  </si>
  <si>
    <t>EC.11907 Intranet &amp; Extranet Refresh 18-19</t>
  </si>
  <si>
    <t>EC.11918 People Management Upgrade rev 2</t>
  </si>
  <si>
    <t>EC.12002 Local Area Network Equipment Refresh 21-22</t>
  </si>
  <si>
    <t>EC.12004 Geospatial Systems Refresh 18-19</t>
  </si>
  <si>
    <t>EC.12005 IT Storage &amp; Computer Hardware Refurb 19-20</t>
  </si>
  <si>
    <t>EC.12008 Project and Portfolio Management Systems Refresh 21-22</t>
  </si>
  <si>
    <t>EC.12010 ERP Systems Refresh</t>
  </si>
  <si>
    <t>EC.12017 Geospatial Systems Refresh 23-24</t>
  </si>
  <si>
    <t>EC.12021 Licenses, Maintenance, Minor Software 22-23</t>
  </si>
  <si>
    <t>EC.12070 Refresh and Maintain IT Hardware 19-20</t>
  </si>
  <si>
    <t>EC.12071 Licenses, Maintenance, Minor Software 19-20</t>
  </si>
  <si>
    <t>EC.12072 IT Security Technology Refresh 19-20</t>
  </si>
  <si>
    <t>EC.12107 Electrical Rymill Bldg. 2020 - 2021 rev 1 BP072013</t>
  </si>
  <si>
    <t>EC.12109 Fire Panel Keswick North 2020 -2021 rev 1 PB072013</t>
  </si>
  <si>
    <t>EC.12206 Electrical Back Up Control Centre 2021 -2022 rev 1 BP072013</t>
  </si>
  <si>
    <t>EC.12210 Refresh and Maintain IT Hardware 21-22</t>
  </si>
  <si>
    <t>EC.12211 IT Security Technology Refresh 21-22</t>
  </si>
  <si>
    <t>EC.12402 Refresh and Maintain IT Hardware 22-23</t>
  </si>
  <si>
    <t>EC.12403 Licenses, Maintenance, Minor Software 21-22</t>
  </si>
  <si>
    <t>EC.12404 Windows Backoffice Management Systems Refresh 20-21</t>
  </si>
  <si>
    <t>EC.12406 Intranet Platform Refresh 22-23</t>
  </si>
  <si>
    <t>EC.14019 Estimating System Upgrade with Maintenance Enhancements</t>
  </si>
  <si>
    <t>EC.14023 IT Systems Admin and Monitoring Tools Refresh</t>
  </si>
  <si>
    <t>EC.14031 Protection Systems Unit Asset Replacement 2018-23 rev 5</t>
  </si>
  <si>
    <t>EC.14033 Circuit Breaker Unit Asset Replacement 2018-23 rev 5</t>
  </si>
  <si>
    <t>EC.14034 Isolator Unit Asset Replacement 2018-23 rev 9</t>
  </si>
  <si>
    <t>EC.14045 110v Battery Charger Unit Asset Replacement 2018-2023 - rev 3</t>
  </si>
  <si>
    <t>EC.14047 Transformer Bushing Unit Asset Replacement 2018-2023 rev 6</t>
  </si>
  <si>
    <t>EC.14066 Telco Tower Capacity Increase rev 2</t>
  </si>
  <si>
    <t>EC.14075 Substation Air Conditioning System Unit Asset replacement 2018-2013 .rev 7</t>
  </si>
  <si>
    <t>EC.14081 Line Insulator Systems Refurbishment - Rev 5</t>
  </si>
  <si>
    <t>EC.14084 Line Conductor and Earthwire Replacement 2018-2023 Option 1 Generation rev 4</t>
  </si>
  <si>
    <t>EC.14097 Records and Drawing Management Tools Consolidate and Refresh</t>
  </si>
  <si>
    <t>EC.14099 Stakeholder Management Systems Refresh 23-24</t>
  </si>
  <si>
    <t>EC.14106 IT Service Operations System Upgrade 2 rev 2</t>
  </si>
  <si>
    <t>EC.14107 Archive and Optimise SAP Data</t>
  </si>
  <si>
    <t>EC.14108 Advanced Analytics for Business Intelligence Implementation</t>
  </si>
  <si>
    <t>EC.14109 Business Process Rules and Automation Tools Implementation</t>
  </si>
  <si>
    <t>EC.14110 Integrated Project and Resource Modelling System rev 3</t>
  </si>
  <si>
    <t>EC.14111 Treasury and Risk Systems Refresh</t>
  </si>
  <si>
    <t>EC.14112 Financial Budgeting and Forecasting Systems Refresh</t>
  </si>
  <si>
    <t>EC.14113 Project and Opex Resource Modelling Systems Refresh</t>
  </si>
  <si>
    <t>EC.14115 IT Backup and Archiving Systems Replacement</t>
  </si>
  <si>
    <t>EC.14116 Virtual Application Capability Refresh</t>
  </si>
  <si>
    <t>EC.14117 Social Media Monitoring rev 2</t>
  </si>
  <si>
    <t>EC.14118 Database Platform Refresh 19-20</t>
  </si>
  <si>
    <t>EC.14137 Cultana - Yadnarie F1810 132 kV Line Conductor and Earthwire Refurbishment Live Line Option 3 rev 2</t>
  </si>
  <si>
    <t>EC.14138</t>
  </si>
  <si>
    <t>EC.14139</t>
  </si>
  <si>
    <t>EC.14140</t>
  </si>
  <si>
    <t>EC.14141</t>
  </si>
  <si>
    <t>EC.14142</t>
  </si>
  <si>
    <t>EC.14143</t>
  </si>
  <si>
    <t>EC.14144</t>
  </si>
  <si>
    <t>EC.14145 Yadnarie – Port Lincoln F1811 132 kV Line Conductor and Earthwire Refurbishment Option 3 rev 2</t>
  </si>
  <si>
    <t>EC.14146</t>
  </si>
  <si>
    <t>EC.14146 Cherry Gardens - Happy Valley F1906 275kV Line Insulator Systems Refurbishment - Rev 1</t>
  </si>
  <si>
    <t>EC.14147</t>
  </si>
  <si>
    <t>EC.14147 TIPS - New Osborne No3 F1714 66 kV Line Insulator Systems Refurbishment - Rev 1</t>
  </si>
  <si>
    <t>EC.14148</t>
  </si>
  <si>
    <t>EC.14148 TIPS - New Osborne No4 F1715 66 kV Line Insulator Systems Refurbishment - Rev 1</t>
  </si>
  <si>
    <t>EC.14149</t>
  </si>
  <si>
    <t>EC.14149 Waterloo – Mintaro F1805 132 kV Line Insulator Systems Refurbishment - Rev 1</t>
  </si>
  <si>
    <t>EC.14150</t>
  </si>
  <si>
    <t>EC.14150 Davenport - Leigh Creek F1813 132 kV Line Insulator Systems Refurbishment - Rev 1</t>
  </si>
  <si>
    <t>EC.14151</t>
  </si>
  <si>
    <t>EC.14151 NWB - Monash No1 F1820 132 kV Line Insulator Systems Refurbishment - Rev 1</t>
  </si>
  <si>
    <t>EC.14152</t>
  </si>
  <si>
    <t>EC.14152 Keith - Kincraig F1828 132 kV Line Insulator Systems Refurbishment - Rev 1</t>
  </si>
  <si>
    <t>EC.14153</t>
  </si>
  <si>
    <t>EC.14153 South East - Mount Gambier F1829 132 kV Line Insulator Systems Refurbishment - Rev 1</t>
  </si>
  <si>
    <t>EC.14154</t>
  </si>
  <si>
    <t>EC.14154 Kincraig - Penola West F1831 132 kV Line Insulator Systems Refurbishment - Rev 1</t>
  </si>
  <si>
    <t>EC.14155 MBHPS3-Kanmantoo-Back Callington F1850 132 kV Line Insulator Systems Refurbishment - Rev 2</t>
  </si>
  <si>
    <t>EC.14156</t>
  </si>
  <si>
    <t>EC.14156 Pelican Point – PGW F1901 275 kV Line Insulator Systems Refurbishment - Rev 1</t>
  </si>
  <si>
    <t>EC.14157</t>
  </si>
  <si>
    <t>EC.14157 TIPS - Para No4 F1902  275 kV Line Insulator Systems Refurbishment - Rev 1</t>
  </si>
  <si>
    <t>EC.14158</t>
  </si>
  <si>
    <t>EC.14158 TIPS - Cherry Gardens F1903 275kV Line Insulator Systems Refurbishment - Rev 2</t>
  </si>
  <si>
    <t>EC.14159</t>
  </si>
  <si>
    <t>EC.14159 TIPS - Magill F1912 275 kV Line Insulator Systems Refurbishment - Rev 1</t>
  </si>
  <si>
    <t>EC.14160</t>
  </si>
  <si>
    <t>EC.14160 Para - Tungkillo F1921 275 kV Line Insulator Systems Refurbishment - Rev 1</t>
  </si>
  <si>
    <t>EC.14161</t>
  </si>
  <si>
    <t>EC.14161 PGW - Para F1940 275 kV Line Insulator Systems Refurbishment - Rev 1</t>
  </si>
  <si>
    <t>EC.14162</t>
  </si>
  <si>
    <t>EC.14162 Para – Robertstown F1945 275 kV Line Insulator Systems Refurbishment - Rev 2</t>
  </si>
  <si>
    <t>EC.14163</t>
  </si>
  <si>
    <t>EC.14163 Para – Munno Para F1956 275 kV Line Insulator Systems Refurbishment - Rev 2</t>
  </si>
  <si>
    <t>EC14170 Kilburn Substation Emergency Bypass</t>
  </si>
  <si>
    <t>EC.14176 Surge Arrestor Unit Asset Replacement 2018-23 rev3 (wo stand&amp; exc 11 extra SA)</t>
  </si>
  <si>
    <t>EC.14182 South East SVC Computer Control System Replacement Rev 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</si>
  <si>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</si>
  <si>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</si>
  <si>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</si>
  <si>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</si>
  <si>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</si>
  <si>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</si>
  <si>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</si>
  <si>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</si>
  <si>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</si>
  <si>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</si>
  <si>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</si>
  <si>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</si>
  <si>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</si>
  <si>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</si>
  <si>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</si>
  <si>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</si>
  <si>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14135</t>
  </si>
  <si>
    <t>14136</t>
  </si>
  <si>
    <t>14164</t>
  </si>
  <si>
    <t>14166</t>
  </si>
  <si>
    <t>14169</t>
  </si>
  <si>
    <t>14170</t>
  </si>
  <si>
    <t>14171</t>
  </si>
  <si>
    <t>14172</t>
  </si>
  <si>
    <t>14174</t>
  </si>
  <si>
    <t>14175</t>
  </si>
  <si>
    <t>14179</t>
  </si>
  <si>
    <t>14181</t>
  </si>
  <si>
    <t>14184</t>
  </si>
  <si>
    <t>14185</t>
  </si>
  <si>
    <t>14187</t>
  </si>
  <si>
    <t>14188</t>
  </si>
  <si>
    <t>14189</t>
  </si>
  <si>
    <t>11139</t>
  </si>
  <si>
    <t>14078</t>
  </si>
  <si>
    <t>14168</t>
  </si>
  <si>
    <t>Manual</t>
  </si>
  <si>
    <t>Opex</t>
  </si>
  <si>
    <t>Capex</t>
  </si>
  <si>
    <t>Net of provision movements</t>
  </si>
  <si>
    <t>Provisions Adjustment</t>
  </si>
  <si>
    <t>Actual</t>
  </si>
  <si>
    <t>CPI from prior year</t>
  </si>
  <si>
    <t>Commissioned $ 2017/18</t>
  </si>
  <si>
    <t>Cum Cpi F17-F23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</si>
  <si>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</si>
  <si>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</si>
  <si>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</si>
  <si>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</si>
  <si>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</si>
  <si>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</si>
  <si>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</si>
  <si>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</si>
  <si>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</si>
  <si>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</si>
  <si>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Substation Access Roads and Drainage Upg</t>
  </si>
  <si>
    <t>EC.14199</t>
  </si>
  <si>
    <t>East Terrace, Northfield and Kilburn Eme</t>
  </si>
  <si>
    <t>EC.14200</t>
  </si>
  <si>
    <t>160 MVA 275_132 kV Emergency Transformer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</si>
  <si>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</si>
  <si>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</si>
  <si>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</si>
  <si>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</si>
  <si>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</si>
  <si>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</si>
  <si>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</si>
  <si>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</si>
  <si>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</si>
  <si>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</si>
  <si>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</si>
  <si>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</si>
  <si>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NCIPAP 2013-2018</t>
  </si>
  <si>
    <t>(All)</t>
  </si>
  <si>
    <t>Communications equipment - 2019 on</t>
  </si>
  <si>
    <t>EC.14201</t>
  </si>
  <si>
    <t>Re-deployable Telecommunication Site</t>
  </si>
  <si>
    <t>EC.14202</t>
  </si>
  <si>
    <t>Revenue Meter Replacement 2018-23</t>
  </si>
  <si>
    <t>EC.14203</t>
  </si>
  <si>
    <t>Telco DC Power Systems Upgrade</t>
  </si>
  <si>
    <t>EC.14205</t>
  </si>
  <si>
    <t>Secondary Systems Product Evaluation 201</t>
  </si>
  <si>
    <t>EC.14206</t>
  </si>
  <si>
    <t>Renewable Microgrid Demonstration Testbe</t>
  </si>
  <si>
    <t>EC.14207</t>
  </si>
  <si>
    <t>Special Protection and Wide Area Monitor</t>
  </si>
  <si>
    <t>EC.14209</t>
  </si>
  <si>
    <t>Substation Improvements for System Black</t>
  </si>
  <si>
    <t>EC.14210</t>
  </si>
  <si>
    <t>High Risk Substation Environmental Inves</t>
  </si>
  <si>
    <t>NGM Access Enhancements</t>
  </si>
  <si>
    <t>EC.14214</t>
  </si>
  <si>
    <t>Transmission Line Access Track Upgrade</t>
  </si>
  <si>
    <t>EC.14215</t>
  </si>
  <si>
    <t>Para 275 kV 50 MVar Reactor</t>
  </si>
  <si>
    <t>EC.14216</t>
  </si>
  <si>
    <t>Blyth West 275 kV 50 Mvar Reactor</t>
  </si>
  <si>
    <t>EC.14211</t>
  </si>
  <si>
    <t>NCIPAP South East 275 kV Capacitor Bank</t>
  </si>
  <si>
    <t>EC.14193 Transformer GIC Monitoring</t>
  </si>
  <si>
    <t>EC.14201 Re-Deployable Telecommunication Site rev 1 KM</t>
  </si>
  <si>
    <t>EC.14202 Revenue Meter Replacement 2018-23</t>
  </si>
  <si>
    <t>EC.14203 Telco DC Power Systems Upgrade</t>
  </si>
  <si>
    <t>EC.14205 Secondary Systems Product Evaluation 2018-2023</t>
  </si>
  <si>
    <t>Rev Reset</t>
  </si>
  <si>
    <t>EC.14216 Blythe West 275kV 50MVar Reactor</t>
  </si>
  <si>
    <t>Project Number</t>
  </si>
  <si>
    <t>Estimate Name</t>
  </si>
  <si>
    <t>Total Cost (Adjusted)</t>
  </si>
  <si>
    <t>Labour content</t>
  </si>
  <si>
    <t>Ave Labour %</t>
  </si>
  <si>
    <t>EC.10306 South East 3rd 275/132kV Transformer -rev 3</t>
  </si>
  <si>
    <t>EC.11002 Tungkillo Stage 2 ( Tailem Bend to Cherry Gardens ) rev 13</t>
  </si>
  <si>
    <t>EC.11003 Tungkillo Stage 3 (Robertstown to Para ) rev 13</t>
  </si>
  <si>
    <t>EC.11994 Inventory Purchase 2018-19 rev 4</t>
  </si>
  <si>
    <t>EC.12013 Standards Major Review 2018-2023 rev 5</t>
  </si>
  <si>
    <t>EC.12094 Inventory Purchases 2019-2020 rev 4</t>
  </si>
  <si>
    <t>EC.12301 Automated Asset Health Monitoring &amp; Assement rev 3</t>
  </si>
  <si>
    <t>EC.14026 Inventory Purchases 2020-21 rev 4</t>
  </si>
  <si>
    <t>EC.14027 Inventory Purchases 2021-2022 rev 4</t>
  </si>
  <si>
    <t>EC.14028 Inventory Purchases 2022-2023 rev 4</t>
  </si>
  <si>
    <t>EC.14041 NCIPAP 5 Davenport - Robertstown Removal of Plant Limits REV 2</t>
  </si>
  <si>
    <t>EC.14046 AC Board Unit Asset Replacement 2018-2023 rev 4</t>
  </si>
  <si>
    <t>EC.14049 Leigh Creek South Transformer Replacement (5MVA 132/11kV) rev 12</t>
  </si>
  <si>
    <t>EC.14056 Templers West  275kV Reactor Option 1 rev 6</t>
  </si>
  <si>
    <t>EC.14065 NCIPAP Transformer Management Relay DR-E3 Uprating Program rev 4</t>
  </si>
  <si>
    <t>EC.14070 Substation Operational Data Network Replacement rev 3</t>
  </si>
  <si>
    <t>EC.14071 Robertstown Circuit Breaker Arrangement Upgrade Option 1 rev 6</t>
  </si>
  <si>
    <t>EC.14076 Line Support Systems Refurbishment 2018-2023 rev 1</t>
  </si>
  <si>
    <t>EC.14077 Mannum Transformer  1 and 2 Replacement rev 10</t>
  </si>
  <si>
    <t>EC.14090 Mount Gambier Transformer 1 Replacement rev 9</t>
  </si>
  <si>
    <t>EC.14091 Online Asset Condition Assessment Equipment Replacement 2018-2023 rev 13</t>
  </si>
  <si>
    <t>EC.14103 OT Data Centre Replacement 2018-23 rev 2</t>
  </si>
  <si>
    <t>EC.14104 OT Network Architecture and Security Standards Refresh 2018-23 rev2</t>
  </si>
  <si>
    <t>EC.14105 Brinkworth to Waterloo Bearer Replacement rev 4</t>
  </si>
  <si>
    <t>EC.14121 Project Delivery Optimisation 2</t>
  </si>
  <si>
    <t>EC.14166 NCIPAP Robertstown-Tungkillo Plant Limits rev2</t>
  </si>
  <si>
    <t>EC.14167 NCIPAP Davenport - Robertstown 275kV Line Uprating - Rev 4</t>
  </si>
  <si>
    <t>EC.14168 NCIPAP SmartWires Powerline Guardian</t>
  </si>
  <si>
    <t>EC.14169 NCIPAP South East - Tungkillo 275kV Dynamic Line Rating rev 1</t>
  </si>
  <si>
    <t>EC.14180 Pimba Telecoms Bearer rev 2</t>
  </si>
  <si>
    <t>EC.14181 Tailem Bend Telecoms Network Bypass rev 2</t>
  </si>
  <si>
    <t>EC.14211 NCIPAP South East Additional 275kV System Capacitor rev1</t>
  </si>
  <si>
    <t>EC.XXXXXA</t>
  </si>
  <si>
    <t>EC.XXXXX Spencer Gulf Emergency Restoration Response - Overhead Line - Option 1</t>
  </si>
  <si>
    <t>All Projects Details - Commodities</t>
  </si>
  <si>
    <t>(blank)</t>
  </si>
  <si>
    <t>Escalator</t>
  </si>
  <si>
    <t>&lt;=== Labour Escalator applied = 1</t>
  </si>
  <si>
    <t>14200</t>
  </si>
  <si>
    <t>14206</t>
  </si>
  <si>
    <t>14207</t>
  </si>
  <si>
    <t>14210</t>
  </si>
  <si>
    <t>14211</t>
  </si>
  <si>
    <t>14213</t>
  </si>
  <si>
    <t>.</t>
  </si>
  <si>
    <t>EC.14200 160MVA 275/132kV Emergency Transformer Deployment Preparation rev3</t>
  </si>
  <si>
    <t>EC.14206 Renewable Microgrid Demonstration Testbed</t>
  </si>
  <si>
    <t>EC.14207 Special Protection and Wide Area Monitoring Scheme (SPS-WAMS)</t>
  </si>
  <si>
    <t>EC.14210 High Risk Substation Environmental Investigation Project rev1</t>
  </si>
  <si>
    <t>Check Total</t>
  </si>
  <si>
    <t>Transmission Line Resilience</t>
  </si>
  <si>
    <t>XXXXX</t>
  </si>
  <si>
    <t>Labour content per History in RIN Capex Master</t>
  </si>
  <si>
    <t>Total Cost</t>
  </si>
  <si>
    <t>Labour Content</t>
  </si>
  <si>
    <t>Ave.</t>
  </si>
  <si>
    <t>BIS Jan 2017</t>
  </si>
  <si>
    <t>BIS Feb 2016</t>
  </si>
  <si>
    <t>Deloitte</t>
  </si>
  <si>
    <t>Labour Cost Rate AER - Feb 2016</t>
  </si>
  <si>
    <t xml:space="preserve">Weighted Labour Cost Escalation - Feb 2016 </t>
  </si>
  <si>
    <t>Weighted Labour Cost Escalation - Jan 2017</t>
  </si>
  <si>
    <t>Labour Escalation Factor F18</t>
  </si>
  <si>
    <t>Labour Escalation Factor F19</t>
  </si>
  <si>
    <t>Labour Escalation Factor F20</t>
  </si>
  <si>
    <t>Labour Escalation Factor F21</t>
  </si>
  <si>
    <t>Labour Escalation Factor F22</t>
  </si>
  <si>
    <t>Labour Escalation Factor F23</t>
  </si>
  <si>
    <t>Labour Escalation Factor F24</t>
  </si>
  <si>
    <t>Before Provisions adjustment</t>
  </si>
  <si>
    <t>Provisions adjustment $m</t>
  </si>
  <si>
    <t>After Provisions adjustment</t>
  </si>
  <si>
    <t>Incurred</t>
  </si>
  <si>
    <t>Communications equipment - 2019 on (10 year life)</t>
  </si>
  <si>
    <t>Commissioned</t>
  </si>
  <si>
    <t>EC.11316F18</t>
  </si>
  <si>
    <t>EC.11890F18</t>
  </si>
  <si>
    <t>EC.11316F19</t>
  </si>
  <si>
    <t>EC.11890F19</t>
  </si>
  <si>
    <t>14048</t>
  </si>
  <si>
    <t>EC.14081F20</t>
  </si>
  <si>
    <t>EC.14081F21</t>
  </si>
  <si>
    <t>EC.14081F22</t>
  </si>
  <si>
    <t>EC.14084F22</t>
  </si>
  <si>
    <t>EC.14081F23</t>
  </si>
  <si>
    <t>EC.14084F23</t>
  </si>
  <si>
    <t>Cherry Gardens - Happy Valley F1906 275kV Line Insulator Systems Refurbishment - Rev 1</t>
  </si>
  <si>
    <t>TIPS - New Osborne No3 F1714 66 kV Line Insulator Systems Refurbishment - Rev 1</t>
  </si>
  <si>
    <t>TIPS - New Osborne No4 F1715 66 kV Line Insulator Systems Refurbishment - Rev 1</t>
  </si>
  <si>
    <t>Waterloo – Mintaro F1805 132 kV Line Insulator Systems Refurbishment - Rev 1</t>
  </si>
  <si>
    <t>Davenport - Leigh Creek F1813 132 kV Line Insulator Systems Refurbishment - Rev 1</t>
  </si>
  <si>
    <t>NWB - Monash No1 F1820 132 kV Line Insulator Systems Refurbishment - Rev 1</t>
  </si>
  <si>
    <t>Keith - Kincraig F1828 132 kV Line Insulator Systems Refurbishment - Rev 1</t>
  </si>
  <si>
    <t>South East - Mount Gambier F1829 132 kV Line Insulator Systems Refurbishment - Rev 1</t>
  </si>
  <si>
    <t>Kincraig - Penola West F1831 132 kV Line Insulator Systems Refurbishment - Rev 1</t>
  </si>
  <si>
    <t>Pelican Point – PGW F1901 275 kV Line Insulator Systems Refurbishment - Rev 1</t>
  </si>
  <si>
    <t>TIPS - Cherry Gardens F1903 275kV Line Insulator Systems Refurbishment - Rev 2</t>
  </si>
  <si>
    <t>TIPS - Magill F1912 275 kV Line Insulator Systems Refurbishment - Rev 1</t>
  </si>
  <si>
    <t>Para - Tungkillo F1921 275 kV Line Insulator Systems Refurbishment - Rev 1</t>
  </si>
  <si>
    <t>PGW - Para F1940 275 kV Line Insulator Systems Refurbishment - Rev 1</t>
  </si>
  <si>
    <t>Para – Robertstown F1945 275 kV Line Insulator Systems Refurbishment - Rev 2</t>
  </si>
  <si>
    <t>Para – Munno Para F1956 275 kV Line Insulator Systems Refurbishment - Rev 2</t>
  </si>
  <si>
    <t>EC.14055</t>
  </si>
  <si>
    <t>Torrens Island North Substation Tie Bus</t>
  </si>
  <si>
    <t>EC.14218</t>
  </si>
  <si>
    <t>Spencer Gulf Crossing Bypass</t>
  </si>
  <si>
    <t>Spare 1</t>
  </si>
  <si>
    <t>21/02/2017</t>
  </si>
  <si>
    <t>135 Estimates Selected</t>
  </si>
  <si>
    <t>EC.12005 IT Storage &amp; Computer Hardware Refurb 19-20 rev 5</t>
  </si>
  <si>
    <t>EC.12017 Geospatial Systems Refresh 23-24 rev 3</t>
  </si>
  <si>
    <t>EC.12021 Licenses, Maintenance, Minor Software 22-23  rev 3</t>
  </si>
  <si>
    <t>EC.12071 Licenses, Maintenance, Minor Software 19-20 -rev 5</t>
  </si>
  <si>
    <t>EC.12403 Licenses, Maintenance, Minor Software 21-22 rev 3</t>
  </si>
  <si>
    <t>EC.12406 Intranet Platform Refresh 22-23 rev 3</t>
  </si>
  <si>
    <t>EC.14055 Torrens Island North Substation Tie Bus Installation rev2</t>
  </si>
  <si>
    <t>EC.14070 Substation Operational Data Network Replacement rev 4</t>
  </si>
  <si>
    <t>Expand Substation</t>
  </si>
  <si>
    <t>13</t>
  </si>
  <si>
    <t>EC.14118 Database Platform Refresh 19-20 -REV4</t>
  </si>
  <si>
    <t>EC.14209 Substation Improvements for System Black Conditions rev 3</t>
  </si>
  <si>
    <t>EC.14214 Transmission Line Access Track Upgrade rev3 (based on 10km access track at F1810)</t>
  </si>
  <si>
    <t>EC.14215 Para 275kV 50MVar Reactor - Copy</t>
  </si>
  <si>
    <t>EC.11602 Tailem Bend CB Upgrade  rev 1</t>
  </si>
  <si>
    <t>EC.11862 VOIP Network Refresh Level 3b</t>
  </si>
  <si>
    <t>B</t>
  </si>
  <si>
    <t>EC.14131 Motorised Isolator LOPA Improvement rev1</t>
  </si>
  <si>
    <t>EC.14174 Templers Plant Limit Increase - (scope for EC14174 only)</t>
  </si>
  <si>
    <t>EC.14188 Electranet Warehousing and Storage rev1</t>
  </si>
  <si>
    <t>EC.14190 Yorke Peninsula Telecoms Bearer -rev 1</t>
  </si>
  <si>
    <t>EC.14191 Davenport - Cultana Telecoms Bearer</t>
  </si>
  <si>
    <t>EC.14198 Substation Access Roads and Drainage Upgrade rev 6 (full option)</t>
  </si>
  <si>
    <t>EC.14199 East Terrace, Northfield and Kilburn Emergency Transformer Deployment Preparation rev 3</t>
  </si>
  <si>
    <t>EC.14218 Spencer Gulf Emergency Restoration Response - Overhead Line - Southern Route - Preparatory Works</t>
  </si>
  <si>
    <t>EC.14133 ESCRI SA - Rev 4</t>
  </si>
  <si>
    <t>Rev 4</t>
  </si>
  <si>
    <t>EC.11002 NCIPAP Tungkillo Stage 2 ( Tailem Bend to Cherry Gardens ) rev 13</t>
  </si>
  <si>
    <t>in Mthly RAB Calc</t>
  </si>
  <si>
    <t>Actual/
Success</t>
  </si>
  <si>
    <t>Date Capitalised</t>
  </si>
  <si>
    <t>Increase Regulated Inventory Stoc</t>
  </si>
  <si>
    <t>T Bend - Snuggery Real Time Rating</t>
  </si>
  <si>
    <t>10713</t>
  </si>
  <si>
    <t>Short term accommodation project</t>
  </si>
  <si>
    <t>Success</t>
  </si>
  <si>
    <t>11187</t>
  </si>
  <si>
    <t>Test Equipment 2010-2011</t>
  </si>
  <si>
    <t>Inventory Purchases 2010/11</t>
  </si>
  <si>
    <t>Clare North New SDH Radio Link</t>
  </si>
  <si>
    <t>Enter/Sys (SAP) System Improvem</t>
  </si>
  <si>
    <t>HR PMP Full Solution</t>
  </si>
  <si>
    <t>Morph. Vale East Low Rated Plant</t>
  </si>
  <si>
    <t>Furn. &amp; Gen. Bldg Upgrades - 09/10</t>
  </si>
  <si>
    <t>Inventory Purchases 2009/10</t>
  </si>
  <si>
    <t>Pool Car Replacement</t>
  </si>
  <si>
    <t>12101</t>
  </si>
  <si>
    <t>14068</t>
  </si>
  <si>
    <t>14126</t>
  </si>
  <si>
    <t>14127</t>
  </si>
  <si>
    <t>14130</t>
  </si>
  <si>
    <t>300 Pirie Street L1 West Upgrade</t>
  </si>
  <si>
    <t>11606</t>
  </si>
  <si>
    <t>11661</t>
  </si>
  <si>
    <t>11741</t>
  </si>
  <si>
    <t>11900</t>
  </si>
  <si>
    <t>11907</t>
  </si>
  <si>
    <t>11994</t>
  </si>
  <si>
    <t>12004</t>
  </si>
  <si>
    <t>12005</t>
  </si>
  <si>
    <t>12014</t>
  </si>
  <si>
    <t>12017</t>
  </si>
  <si>
    <t>12021</t>
  </si>
  <si>
    <t>12072</t>
  </si>
  <si>
    <t>12094</t>
  </si>
  <si>
    <t>12115</t>
  </si>
  <si>
    <t>12203</t>
  </si>
  <si>
    <t>12210</t>
  </si>
  <si>
    <t>12211</t>
  </si>
  <si>
    <t>12330</t>
  </si>
  <si>
    <t>12334</t>
  </si>
  <si>
    <t>12335</t>
  </si>
  <si>
    <t>12336</t>
  </si>
  <si>
    <t>12337</t>
  </si>
  <si>
    <t>12390</t>
  </si>
  <si>
    <t>12400</t>
  </si>
  <si>
    <t>12401</t>
  </si>
  <si>
    <t>12402</t>
  </si>
  <si>
    <t>12403</t>
  </si>
  <si>
    <t>12404</t>
  </si>
  <si>
    <t>12405</t>
  </si>
  <si>
    <t>12406</t>
  </si>
  <si>
    <t>12408</t>
  </si>
  <si>
    <t>12500</t>
  </si>
  <si>
    <t>12601</t>
  </si>
  <si>
    <t>12701</t>
  </si>
  <si>
    <t>12804</t>
  </si>
  <si>
    <t>14019</t>
  </si>
  <si>
    <t>14023</t>
  </si>
  <si>
    <t>14025</t>
  </si>
  <si>
    <t>14026</t>
  </si>
  <si>
    <t>14027</t>
  </si>
  <si>
    <t>14028</t>
  </si>
  <si>
    <t>14031</t>
  </si>
  <si>
    <t>14032</t>
  </si>
  <si>
    <t>14033</t>
  </si>
  <si>
    <t>14034</t>
  </si>
  <si>
    <t>14035</t>
  </si>
  <si>
    <t>14037</t>
  </si>
  <si>
    <t>14042</t>
  </si>
  <si>
    <t>14043</t>
  </si>
  <si>
    <t>14045</t>
  </si>
  <si>
    <t>14046</t>
  </si>
  <si>
    <t>14047</t>
  </si>
  <si>
    <t>14049</t>
  </si>
  <si>
    <t>14050</t>
  </si>
  <si>
    <t>14051</t>
  </si>
  <si>
    <t>14056</t>
  </si>
  <si>
    <t>14057</t>
  </si>
  <si>
    <t>14060</t>
  </si>
  <si>
    <t>14061</t>
  </si>
  <si>
    <t>14062</t>
  </si>
  <si>
    <t>14065</t>
  </si>
  <si>
    <t>14066</t>
  </si>
  <si>
    <t>14067</t>
  </si>
  <si>
    <t>14069</t>
  </si>
  <si>
    <t>14070</t>
  </si>
  <si>
    <t>14071</t>
  </si>
  <si>
    <t>14074</t>
  </si>
  <si>
    <t>14075</t>
  </si>
  <si>
    <t>14077</t>
  </si>
  <si>
    <t>14079</t>
  </si>
  <si>
    <t>14085</t>
  </si>
  <si>
    <t>14086</t>
  </si>
  <si>
    <t>14087</t>
  </si>
  <si>
    <t>14090</t>
  </si>
  <si>
    <t>14091</t>
  </si>
  <si>
    <t>14092</t>
  </si>
  <si>
    <t>14099</t>
  </si>
  <si>
    <t>14102</t>
  </si>
  <si>
    <t>14103</t>
  </si>
  <si>
    <t>14104</t>
  </si>
  <si>
    <t>14106</t>
  </si>
  <si>
    <t>14110</t>
  </si>
  <si>
    <t>14111</t>
  </si>
  <si>
    <t>14112</t>
  </si>
  <si>
    <t>14113</t>
  </si>
  <si>
    <t>14115</t>
  </si>
  <si>
    <t>14116</t>
  </si>
  <si>
    <t>14117</t>
  </si>
  <si>
    <t>14118</t>
  </si>
  <si>
    <t>14155</t>
  </si>
  <si>
    <t>14165</t>
  </si>
  <si>
    <t>14167</t>
  </si>
  <si>
    <t>14176</t>
  </si>
  <si>
    <t>14180</t>
  </si>
  <si>
    <t>14182</t>
  </si>
  <si>
    <t>14055</t>
  </si>
  <si>
    <t>Torrens Island North Substation Tie Bus Installation rev2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</si>
  <si>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</si>
  <si>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</si>
  <si>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</si>
  <si>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</si>
  <si>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</si>
  <si>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</si>
  <si>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</si>
  <si>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</si>
  <si>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</si>
  <si>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14156</t>
  </si>
  <si>
    <t>14157</t>
  </si>
  <si>
    <t>TIPS - Para No4 F1902  275 kV Line Insulator Systems Refurbishment - Rev 1</t>
  </si>
  <si>
    <t>14158</t>
  </si>
  <si>
    <t>14159</t>
  </si>
  <si>
    <t>14160</t>
  </si>
  <si>
    <t>14161</t>
  </si>
  <si>
    <t>14162</t>
  </si>
  <si>
    <t>14163</t>
  </si>
  <si>
    <t>14202</t>
  </si>
  <si>
    <t>14205</t>
  </si>
  <si>
    <t>Secondary Systems Product Evaluation 2018-2023</t>
  </si>
  <si>
    <t>14209</t>
  </si>
  <si>
    <t>Substation Improvements for System Black Conditions rev 3</t>
  </si>
  <si>
    <t>14214</t>
  </si>
  <si>
    <t>Transmission Line Access Track Upgrade rev3 (based on 10km access track at F1810)</t>
  </si>
  <si>
    <t>14215</t>
  </si>
  <si>
    <t>Para 275kV 50MVar Reactor - Copy</t>
  </si>
  <si>
    <t>14216</t>
  </si>
  <si>
    <t>Blythe West 275kV 50MVar Reactor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</si>
  <si>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</si>
  <si>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</si>
  <si>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</si>
  <si>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</si>
  <si>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</si>
  <si>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</si>
  <si>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</si>
  <si>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</si>
  <si>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</si>
  <si>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</si>
  <si>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VLU Formula</t>
  </si>
  <si>
    <t>R4 NCIPAP</t>
  </si>
  <si>
    <t>Not required for Reset Submission</t>
  </si>
  <si>
    <t>Manual Adjustment</t>
  </si>
  <si>
    <t>Labour escalation factors derived form Success Estimator commodity report</t>
  </si>
  <si>
    <t>Linked to "Project Labour Content" worksheet</t>
  </si>
  <si>
    <t>Not listed</t>
  </si>
  <si>
    <t>Capitalised/Actual</t>
  </si>
  <si>
    <t>=VLOOKUP(RIGHT(A20,5),'Q:\Planning &amp; Finance\Month End Reporting\Monthly RAB calc\F17\[161201 F17 WIP for RAB calc v2.xlsx]Project splits'!$C$5:$C$783,1,FALSE)</t>
  </si>
  <si>
    <t>EC.11816F18</t>
  </si>
  <si>
    <t>Part capitalisation splits applied</t>
  </si>
  <si>
    <t>Total F17-F23</t>
  </si>
  <si>
    <t>Revised Rates</t>
  </si>
  <si>
    <t>INCURRED $Nominal</t>
  </si>
  <si>
    <t>COMMISSIONED $Nominal</t>
  </si>
  <si>
    <t>Nil</t>
  </si>
  <si>
    <t>Ex Ante</t>
  </si>
  <si>
    <t>$m Real (June 2018) incl 1/2 cpi</t>
  </si>
  <si>
    <t>Communications - other (post 2018)</t>
  </si>
  <si>
    <t>Cum cpi to 2023 for commissioned calc (col AA)</t>
  </si>
  <si>
    <t>Labour %</t>
  </si>
  <si>
    <t>Success Estimator Commodities report</t>
  </si>
  <si>
    <t>Use for labour content where no specific project detail is available</t>
  </si>
  <si>
    <t>Commissioned by Year</t>
  </si>
  <si>
    <t>Last spend year $</t>
  </si>
  <si>
    <t>Project splits VLU</t>
  </si>
  <si>
    <t>Success VLU</t>
  </si>
  <si>
    <t>Check totals</t>
  </si>
  <si>
    <t>Capitalisation year</t>
  </si>
  <si>
    <t>Before Provisions adjustment $m Nominal</t>
  </si>
  <si>
    <t>Provisions adjustment $m Nominal</t>
  </si>
  <si>
    <t>After Provisions adjustment $m Nominal</t>
  </si>
  <si>
    <t>Estimate(s)</t>
  </si>
  <si>
    <t>Total Nominal 2017-2023</t>
  </si>
  <si>
    <t xml:space="preserve">Incurred spend 2017-2023 is set to </t>
  </si>
  <si>
    <t>&lt;==Forecast cpi 2017/18-2022/23</t>
  </si>
  <si>
    <t>Cum labour escalator</t>
  </si>
  <si>
    <t>Ave. 2019-23</t>
  </si>
  <si>
    <t xml:space="preserve">cpi built into initial estimate data </t>
  </si>
  <si>
    <t>Inputs for Roll Forward Model</t>
  </si>
  <si>
    <t>Inputs for PTRM</t>
  </si>
  <si>
    <t>Table of Contents</t>
  </si>
  <si>
    <t>For RFM &amp; PTRM</t>
  </si>
  <si>
    <t>Incurred 2.5% cpi</t>
  </si>
  <si>
    <t>Commissioned Extra</t>
  </si>
  <si>
    <t>Project splits</t>
  </si>
  <si>
    <t>Project labour content</t>
  </si>
  <si>
    <t>RFM &amp; PTRM format &amp; adjust for provision movments</t>
  </si>
  <si>
    <t>Asset class splits</t>
  </si>
  <si>
    <t>Spare</t>
  </si>
  <si>
    <t>Labour Escalation</t>
  </si>
  <si>
    <t>Check to "Commissioned"</t>
  </si>
  <si>
    <t>Per "Commissioned"</t>
  </si>
  <si>
    <t>Labour escalators and project labour content.</t>
  </si>
  <si>
    <t>Asset class allocations from Success Estimator estimating system</t>
  </si>
  <si>
    <t>Model Inputs - PTRM</t>
  </si>
  <si>
    <t>Model Inputs - RFM</t>
  </si>
  <si>
    <t>Project commissioning by year with asset class allocations (pivot table)</t>
  </si>
  <si>
    <t>Balance of projects already partly capitalised.  These have been excluded from the "Commissioned" worksheet</t>
  </si>
  <si>
    <t>Success Asset Classes</t>
  </si>
  <si>
    <t>Easements</t>
  </si>
  <si>
    <t>Security/ Compliance</t>
  </si>
  <si>
    <t>CPI Discounter</t>
  </si>
  <si>
    <t>TOTAL</t>
  </si>
  <si>
    <t>Capex Forecast Summary</t>
  </si>
  <si>
    <t>Category - $m Nominal</t>
  </si>
  <si>
    <t>Category - $m Real 2017-18</t>
  </si>
  <si>
    <t>Estimate basis</t>
  </si>
  <si>
    <t>based upon actual historical costs for similar projects</t>
  </si>
  <si>
    <t>derived directly from competitive tender processes</t>
  </si>
  <si>
    <t>based upon competitive tender processes for similar projects</t>
  </si>
  <si>
    <t>based upon estimates obtained from contractors or manufacturers</t>
  </si>
  <si>
    <t>This colour denotes projects which have capitalisations in more than one year.  The projects have been split to facilitate this.</t>
  </si>
  <si>
    <t>Add 1/2 cpi for $m Real June 2018</t>
  </si>
  <si>
    <t>Capex 15yr View</t>
  </si>
  <si>
    <t xml:space="preserve">Set to 0 (nominal) for RFM/PTRM table inputs </t>
  </si>
  <si>
    <t>Incurred 2.5% cpi - base total</t>
  </si>
  <si>
    <t>Incurred capex spend workings, capitalisation dates and asset class allocations.</t>
  </si>
  <si>
    <t>Original capex forecast data.  This assumes 2.5% cpi which is adjusted to the proposal cpi of 1.97% on the "Incurred" worksheet.</t>
  </si>
  <si>
    <t>Other project asset class allocations.</t>
  </si>
  <si>
    <t>Capex summary tables 2009-2023</t>
  </si>
  <si>
    <t>Asset Class allocations =====&gt;</t>
  </si>
  <si>
    <t>Note: Historic incurred spend data are not comprehensive.  Annual historic spend is shown for projects which are active in financial years 2016 to 2023.</t>
  </si>
  <si>
    <t>Note: Communications - other (post 2018).  New class proposed with 10 year life.  Assets were previously allocated to "Communications - other", 15 year life.</t>
  </si>
  <si>
    <t>Transmission Line Refit 2018-2023</t>
  </si>
  <si>
    <t>Revised Rates 07-Mar 2017 2 dec pl - PROPOSAL</t>
  </si>
  <si>
    <t>Average Labour Cost Rate</t>
  </si>
  <si>
    <t>EC.10643</t>
  </si>
  <si>
    <t>Line Ratings Tool</t>
  </si>
  <si>
    <t>EC.14004</t>
  </si>
  <si>
    <t>Wind Risk Model Development</t>
  </si>
  <si>
    <t>EC.14221</t>
  </si>
  <si>
    <t>Davenport - Pimba 132 kV line Low Span U</t>
  </si>
  <si>
    <t>EC.14222</t>
  </si>
  <si>
    <t>Group Corporate Financial Model Replace.</t>
  </si>
  <si>
    <t>EC.14227</t>
  </si>
  <si>
    <t>F1919 &amp; F1920 Tower Replacement</t>
  </si>
  <si>
    <t>Transmission Line refit 2018-2023</t>
  </si>
  <si>
    <t>WIP Project</t>
  </si>
  <si>
    <t>14004</t>
  </si>
  <si>
    <t>14221</t>
  </si>
  <si>
    <t>14222</t>
  </si>
  <si>
    <t>14227</t>
  </si>
  <si>
    <t>Not in AHS</t>
  </si>
  <si>
    <t>44133</t>
  </si>
  <si>
    <t>WIP at Jun 2017</t>
  </si>
  <si>
    <t>Project</t>
  </si>
  <si>
    <t>$</t>
  </si>
  <si>
    <t>WBS element</t>
  </si>
  <si>
    <t>Bk.val.FY end</t>
  </si>
  <si>
    <t>South East Substation Secondary System R</t>
  </si>
  <si>
    <t>Asset Data Governance Framework and Tool</t>
  </si>
  <si>
    <t>EC.12101.D</t>
  </si>
  <si>
    <t>DEFINITION</t>
  </si>
  <si>
    <t>IT Hardware Refresh Maintain 17-18</t>
  </si>
  <si>
    <t>Network Operations Software 2017-19</t>
  </si>
  <si>
    <t>Templers West 275kV Reactor</t>
  </si>
  <si>
    <t>EC.11134.1.002</t>
  </si>
  <si>
    <t>Ph1 Business Requirements</t>
  </si>
  <si>
    <t>EC.11134.1</t>
  </si>
  <si>
    <t>Project Costs - Prior to JUNE 2014</t>
  </si>
  <si>
    <t>EC.11134.2</t>
  </si>
  <si>
    <t>Project Costs - After JUNE 2014 Restart</t>
  </si>
  <si>
    <t>EC.11625</t>
  </si>
  <si>
    <t>Mount Barker 2nd 225MV.A 275/66kV Transf</t>
  </si>
  <si>
    <t>Yorke Peninsula Reinforcement</t>
  </si>
  <si>
    <t>Para 275kV Secondary Systems &amp; Minor Pri</t>
  </si>
  <si>
    <t>EC.11425</t>
  </si>
  <si>
    <t>Riverland Reactive Support Stage 1 (Mona</t>
  </si>
  <si>
    <t>Mt Barker Triple Circuit Easement Expans</t>
  </si>
  <si>
    <t>Intranet Platform Refresh 17-18</t>
  </si>
  <si>
    <t>SA Over-Frequency Generation Shedding (O</t>
  </si>
  <si>
    <t>Temporary Transmission Structures Acquis</t>
  </si>
  <si>
    <t>EC.14190.1</t>
  </si>
  <si>
    <t>Phase 0</t>
  </si>
  <si>
    <t>Supply Chain Management</t>
  </si>
  <si>
    <t>Substation Environmental Investigation</t>
  </si>
  <si>
    <t>CWIP</t>
  </si>
  <si>
    <t>Commissioned w Prov n Adjustment</t>
  </si>
  <si>
    <t>Reg Accounts</t>
  </si>
  <si>
    <t>Reg accs - Reset</t>
  </si>
  <si>
    <t>Incl Provn Cr Adjustment</t>
  </si>
  <si>
    <t>F17 Capitalised per Reg Accounts</t>
  </si>
  <si>
    <t>Total F18-F23</t>
  </si>
  <si>
    <t>EC.14198F19</t>
  </si>
  <si>
    <t xml:space="preserve">Estimate data for revenue proposal was forecast in February 2017 and applied 2.5% cpi annually from 2017/18 onwards.  The revised revenue proposal continues to be based on that forecast.
This </t>
  </si>
  <si>
    <t>Incurred spend up to 2017 is always $Nominal</t>
  </si>
  <si>
    <t>CLSD-Furniture and Building Upg 2015-16</t>
  </si>
  <si>
    <t>WIP at Jun 2016</t>
  </si>
  <si>
    <t>CWIP at Jun 2017</t>
  </si>
  <si>
    <t>EC.40880</t>
  </si>
  <si>
    <t>EC.40904</t>
  </si>
  <si>
    <t>EC.89998</t>
  </si>
  <si>
    <t>Heywood-Tungkillo 300MW Interconnection</t>
  </si>
  <si>
    <t>Millbrook Substation Replacement</t>
  </si>
  <si>
    <t>Integrated Budgeting &amp; Forecasting (BPC)</t>
  </si>
  <si>
    <t>Applications Integration</t>
  </si>
  <si>
    <t>Integrated Project and Resource Modeling</t>
  </si>
  <si>
    <t>South East Fibre Interfaces</t>
  </si>
  <si>
    <t>Osborne SCADA Upgrade Implementation</t>
  </si>
  <si>
    <t>Clearing Account Project</t>
  </si>
  <si>
    <t>CWIP at June 2016</t>
  </si>
  <si>
    <t>No capitalisation at June 2016</t>
  </si>
  <si>
    <t>Part cost of vehicle capitalised $10,000</t>
  </si>
  <si>
    <t>Cum cpi to $2017/18</t>
  </si>
  <si>
    <t>Escalated inventory at June 2016</t>
  </si>
  <si>
    <t>Escalated inventory at June 2017</t>
  </si>
  <si>
    <t>Old</t>
  </si>
  <si>
    <t>New</t>
  </si>
  <si>
    <t>EC.14180F20</t>
  </si>
  <si>
    <t>Pimba Telecoms Bearer</t>
  </si>
  <si>
    <t>EC.14180F21</t>
  </si>
  <si>
    <t>EC.14221F21</t>
  </si>
  <si>
    <t>EC.14221F22</t>
  </si>
  <si>
    <t>Total commissioned F17</t>
  </si>
  <si>
    <t>Includes NCIPAP</t>
  </si>
  <si>
    <t>Excludes NCIPAP</t>
  </si>
  <si>
    <t>Adjust labour esacalation for 2018-2023 project spend reallocations</t>
  </si>
  <si>
    <t>Initial project forecast data assumes 2.5% cpi.  This is amended to 2.13% on the "Incurred" worksheet</t>
  </si>
  <si>
    <t>1st commiss. year</t>
  </si>
  <si>
    <t>And projects part-capitalised in 2018</t>
  </si>
  <si>
    <t>Adjusted</t>
  </si>
  <si>
    <t>Contingent - Other</t>
  </si>
  <si>
    <t>Projects with capitalisations in more than one year.  These projects have been split to facilitate this.</t>
  </si>
  <si>
    <t>Projects with capitalisations in more than one year</t>
  </si>
  <si>
    <t>Extra</t>
  </si>
  <si>
    <t>Future</t>
  </si>
  <si>
    <t>Network AErial Laser Survey - rev 2 BP072013</t>
  </si>
  <si>
    <t>Actual capitalisation</t>
  </si>
  <si>
    <t>Check total F18-F23</t>
  </si>
  <si>
    <t>Provisions F18-F23</t>
  </si>
  <si>
    <t xml:space="preserve">hyj </t>
  </si>
  <si>
    <t>Incurred spend from 2017-2023 is $Nominal when cell A21 is set to 0 and $Real 2017/18 when Cell A21 is set to 1</t>
  </si>
  <si>
    <t xml:space="preserve">&lt;===Proposal (1), Revised Proposal (2) Labour escalator </t>
  </si>
  <si>
    <t>Agreed to Regulatory Financial Report</t>
  </si>
  <si>
    <t>This worksheet shows projects capitalised up to Jun 2017 but with ongoing spend which will be capitalised annually.  Adjusted for CWIP WIP balances.</t>
  </si>
  <si>
    <t>IT</t>
  </si>
  <si>
    <t>&lt;===$17/18 Real = 1; $Nominal = 0 (Applies from 2017)</t>
  </si>
  <si>
    <t>Ex NCIPAP 4 W'oo East to Rob'town 132kv Upr</t>
  </si>
  <si>
    <t>Ex NCIPAP 1 Riverland 132 kV Line Uprating</t>
  </si>
  <si>
    <t>Revised Labour Escalator - Final decision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</si>
</sst>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(* #,##0.00_);_(* \(#,##0.00\);_(* &quot;-&quot;??_);_(@_)"/>
    <numFmt numFmtId="165" formatCode="#,##0\ ;\(#,##0\)"/>
    <numFmt numFmtId="166" formatCode="###,000"/>
    <numFmt numFmtId="167" formatCode="0.0%"/>
    <numFmt numFmtId="168" formatCode="#,##0.000\ ;\(#,##0.000\)"/>
    <numFmt numFmtId="169" formatCode="0.000"/>
    <numFmt numFmtId="170" formatCode="0.000%"/>
    <numFmt numFmtId="171" formatCode="#,##0.000"/>
    <numFmt numFmtId="172" formatCode="0.0000%"/>
    <numFmt numFmtId="173" formatCode="_(&quot;$&quot;* #,##0.00_);_(&quot;$&quot;* \(#,##0.00\);_(&quot;$&quot;* &quot;-&quot;??_);_(@_)"/>
    <numFmt numFmtId="174" formatCode="0.0000"/>
    <numFmt numFmtId="175" formatCode="d/mm/yy;@"/>
    <numFmt numFmtId="176" formatCode="[$-10409]&quot;$&quot;#,##0.00"/>
    <numFmt numFmtId="177" formatCode="_(#,##0.00%_);\(#,##0.00%\);_(&quot;-&quot;_)"/>
    <numFmt numFmtId="178" formatCode="#,##0.00000\ ;\(#,##0.00000\)"/>
    <numFmt numFmtId="179" formatCode="0.0"/>
    <numFmt numFmtId="180" formatCode="#,##0.00\ ;\(#,##0.00\)"/>
    <numFmt numFmtId="181" formatCode="d/mm/yyyy;@"/>
    <numFmt numFmtId="182" formatCode="0.00000000000000%"/>
  </numFmts>
  <fonts count="8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11"/>
      <color rgb="FF0000FF"/>
      <name val="Calibri"/>
      <family val="2"/>
      <scheme val="minor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b/>
      <sz val="9"/>
      <color indexed="81"/>
      <name val="Tahoma"/>
      <family val="2"/>
    </font>
    <font>
      <sz val="8"/>
      <color rgb="FF0000FF"/>
      <name val="Verdana"/>
      <family val="2"/>
    </font>
    <font>
      <sz val="9"/>
      <color indexed="81"/>
      <name val="Tahoma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8"/>
      <color rgb="FFFF0000"/>
      <name val="Verdana"/>
      <family val="2"/>
    </font>
    <font>
      <sz val="11"/>
      <color theme="1"/>
      <name val="Arial"/>
      <family val="2"/>
    </font>
    <font>
      <sz val="18"/>
      <color indexed="8"/>
      <name val="Tahoma"/>
      <family val="2"/>
    </font>
    <font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1.95"/>
      <color indexed="8"/>
      <name val="Arial"/>
      <family val="2"/>
    </font>
    <font>
      <sz val="10"/>
      <name val="Arial"/>
      <family val="2"/>
    </font>
    <font>
      <sz val="8"/>
      <color rgb="FF000000"/>
      <name val="Arial"/>
      <family val="2"/>
    </font>
    <font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theme="0"/>
      <name val="Arial"/>
      <family val="2"/>
    </font>
    <font>
      <sz val="8"/>
      <color rgb="FF0000FF"/>
      <name val="Arial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8"/>
      <color theme="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0"/>
      <name val="Arial"/>
      <family val="2"/>
    </font>
    <font>
      <b/>
      <sz val="9"/>
      <name val="Verdana"/>
      <family val="2"/>
    </font>
    <font>
      <b/>
      <sz val="11"/>
      <color rgb="FFFF0000"/>
      <name val="Arial"/>
      <family val="2"/>
    </font>
    <font>
      <sz val="8"/>
      <color theme="0"/>
      <name val="Verdana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Verdana"/>
      <family val="2"/>
    </font>
    <font>
      <i/>
      <sz val="8"/>
      <color rgb="FF0000FF"/>
      <name val="Verdana"/>
      <family val="2"/>
    </font>
    <font>
      <sz val="8"/>
      <color rgb="FF00B0F0"/>
      <name val="Verdana"/>
      <family val="2"/>
    </font>
    <font>
      <sz val="8"/>
      <color theme="1"/>
      <name val="Verdana"/>
    </font>
    <font>
      <sz val="8"/>
      <color rgb="FF0000FF"/>
      <name val="Verdana"/>
    </font>
    <font>
      <b/>
      <sz val="8"/>
      <color rgb="FF0000FF"/>
      <name val="Verdana"/>
    </font>
  </fonts>
  <fills count="40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99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indexed="0"/>
      </patternFill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13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 style="thick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ck">
        <color auto="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ck">
        <color auto="1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 style="thick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10"/>
      </left>
      <right style="hair">
        <color indexed="10"/>
      </right>
      <top/>
      <bottom style="hair">
        <color indexed="10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10"/>
      </left>
      <right style="hair">
        <color indexed="10"/>
      </right>
      <top/>
      <bottom/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ck">
        <color auto="1"/>
      </right>
      <top style="medium">
        <color indexed="64"/>
      </top>
      <bottom style="thin">
        <color theme="3" tint="-0.24994659260841701"/>
      </bottom>
      <diagonal/>
    </border>
    <border>
      <left/>
      <right/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indexed="64"/>
      </right>
      <top style="medium">
        <color indexed="64"/>
      </top>
      <bottom style="thin">
        <color theme="3" tint="-0.2499465926084170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indexed="64"/>
      </top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ck">
        <color auto="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medium">
        <color theme="3" tint="-0.24994659260841701"/>
      </left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/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6" fillId="0" borderId="0"/>
    <xf numFmtId="0" fontId="19" fillId="0" borderId="0"/>
    <xf numFmtId="0" fontId="20" fillId="0" borderId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0" fontId="25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2" borderId="25" applyNumberFormat="0" applyAlignment="0" applyProtection="0">
      <alignment horizontal="left" vertical="center" indent="1"/>
    </xf>
    <xf numFmtId="166" fontId="14" fillId="0" borderId="25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6" fillId="15" borderId="0" applyNumberFormat="0" applyBorder="0" applyAlignment="0" applyProtection="0"/>
    <xf numFmtId="0" fontId="37" fillId="17" borderId="0">
      <alignment vertical="center"/>
      <protection locked="0"/>
    </xf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" fillId="0" borderId="0"/>
    <xf numFmtId="0" fontId="14" fillId="2" borderId="48" applyNumberFormat="0" applyAlignment="0" applyProtection="0">
      <alignment horizontal="left" vertical="center" indent="1"/>
    </xf>
    <xf numFmtId="166" fontId="15" fillId="3" borderId="48" applyNumberFormat="0" applyAlignment="0" applyProtection="0">
      <alignment horizontal="left" vertical="center" indent="1"/>
    </xf>
    <xf numFmtId="166" fontId="15" fillId="0" borderId="49" applyNumberFormat="0" applyProtection="0">
      <alignment horizontal="right" vertical="center"/>
    </xf>
    <xf numFmtId="0" fontId="9" fillId="0" borderId="0"/>
    <xf numFmtId="17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7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6" fontId="15" fillId="3" borderId="48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6" fillId="0" borderId="0"/>
    <xf numFmtId="0" fontId="3" fillId="0" borderId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0" fillId="0" borderId="0" applyNumberFormat="0" applyFill="0" applyBorder="0" applyAlignment="0" applyProtection="0"/>
  </cellStyleXfs>
  <cellXfs count="930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5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3" borderId="2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5" fontId="15" fillId="0" borderId="3" xfId="4" applyNumberFormat="1" applyFont="1">
      <alignment horizontal="right" vertical="center"/>
    </xf>
    <xf numFmtId="165" fontId="15" fillId="0" borderId="4" xfId="4" applyNumberFormat="1" applyFont="1" applyBorder="1">
      <alignment horizontal="right" vertical="center"/>
    </xf>
    <xf numFmtId="165" fontId="15" fillId="5" borderId="4" xfId="4" applyNumberFormat="1" applyFont="1" applyFill="1" applyBorder="1">
      <alignment horizontal="right" vertical="center"/>
    </xf>
    <xf numFmtId="0" fontId="21" fillId="8" borderId="0" xfId="7" applyFont="1" applyFill="1" applyAlignment="1">
      <alignment horizontal="center" vertical="center" wrapText="1"/>
    </xf>
    <xf numFmtId="0" fontId="21" fillId="8" borderId="0" xfId="8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24" fillId="0" borderId="0" xfId="0" applyFont="1"/>
    <xf numFmtId="165" fontId="23" fillId="0" borderId="0" xfId="0" applyNumberFormat="1" applyFont="1"/>
    <xf numFmtId="0" fontId="2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29" fillId="0" borderId="0" xfId="0" applyFont="1"/>
    <xf numFmtId="0" fontId="12" fillId="0" borderId="0" xfId="0" applyFont="1" applyAlignment="1">
      <alignment horizontal="center" vertical="center"/>
    </xf>
    <xf numFmtId="167" fontId="12" fillId="0" borderId="0" xfId="1" applyNumberFormat="1" applyFont="1"/>
    <xf numFmtId="10" fontId="12" fillId="0" borderId="0" xfId="1" applyNumberFormat="1" applyFont="1"/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0" fontId="30" fillId="8" borderId="0" xfId="7" applyFont="1" applyFill="1" applyAlignment="1">
      <alignment horizontal="center" vertical="center" wrapText="1"/>
    </xf>
    <xf numFmtId="0" fontId="30" fillId="8" borderId="0" xfId="8" applyFont="1" applyFill="1" applyAlignment="1">
      <alignment horizontal="center" vertical="center" wrapText="1"/>
    </xf>
    <xf numFmtId="165" fontId="12" fillId="0" borderId="0" xfId="1" applyNumberFormat="1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6" fillId="0" borderId="0" xfId="5"/>
    <xf numFmtId="0" fontId="12" fillId="11" borderId="0" xfId="0" applyFont="1" applyFill="1" applyAlignment="1">
      <alignment horizontal="center" vertical="center" wrapText="1"/>
    </xf>
    <xf numFmtId="43" fontId="16" fillId="12" borderId="0" xfId="0" applyNumberFormat="1" applyFont="1" applyFill="1" applyBorder="1" applyAlignment="1"/>
    <xf numFmtId="0" fontId="12" fillId="9" borderId="0" xfId="0" applyFont="1" applyFill="1" applyBorder="1"/>
    <xf numFmtId="165" fontId="12" fillId="9" borderId="0" xfId="0" applyNumberFormat="1" applyFont="1" applyFill="1" applyBorder="1"/>
    <xf numFmtId="0" fontId="12" fillId="9" borderId="12" xfId="0" applyFont="1" applyFill="1" applyBorder="1"/>
    <xf numFmtId="0" fontId="12" fillId="9" borderId="13" xfId="0" applyFont="1" applyFill="1" applyBorder="1"/>
    <xf numFmtId="0" fontId="26" fillId="9" borderId="12" xfId="0" applyFont="1" applyFill="1" applyBorder="1" applyAlignment="1">
      <alignment horizontal="right"/>
    </xf>
    <xf numFmtId="0" fontId="26" fillId="9" borderId="14" xfId="0" applyFont="1" applyFill="1" applyBorder="1" applyAlignment="1">
      <alignment horizontal="right"/>
    </xf>
    <xf numFmtId="0" fontId="12" fillId="9" borderId="16" xfId="0" applyFont="1" applyFill="1" applyBorder="1"/>
    <xf numFmtId="165" fontId="12" fillId="9" borderId="10" xfId="0" applyNumberFormat="1" applyFont="1" applyFill="1" applyBorder="1"/>
    <xf numFmtId="165" fontId="12" fillId="9" borderId="11" xfId="0" applyNumberFormat="1" applyFont="1" applyFill="1" applyBorder="1"/>
    <xf numFmtId="165" fontId="12" fillId="9" borderId="12" xfId="0" applyNumberFormat="1" applyFont="1" applyFill="1" applyBorder="1"/>
    <xf numFmtId="165" fontId="12" fillId="9" borderId="14" xfId="0" applyNumberFormat="1" applyFont="1" applyFill="1" applyBorder="1"/>
    <xf numFmtId="165" fontId="12" fillId="9" borderId="15" xfId="0" applyNumberFormat="1" applyFont="1" applyFill="1" applyBorder="1"/>
    <xf numFmtId="0" fontId="32" fillId="0" borderId="0" xfId="0" applyFont="1"/>
    <xf numFmtId="165" fontId="32" fillId="0" borderId="0" xfId="0" applyNumberFormat="1" applyFont="1"/>
    <xf numFmtId="165" fontId="12" fillId="8" borderId="0" xfId="0" applyNumberFormat="1" applyFont="1" applyFill="1"/>
    <xf numFmtId="0" fontId="12" fillId="8" borderId="0" xfId="0" applyFont="1" applyFill="1"/>
    <xf numFmtId="165" fontId="12" fillId="9" borderId="24" xfId="0" applyNumberFormat="1" applyFont="1" applyFill="1" applyBorder="1"/>
    <xf numFmtId="165" fontId="12" fillId="9" borderId="20" xfId="0" applyNumberFormat="1" applyFont="1" applyFill="1" applyBorder="1"/>
    <xf numFmtId="165" fontId="13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2" fillId="0" borderId="17" xfId="0" applyNumberFormat="1" applyFont="1" applyBorder="1"/>
    <xf numFmtId="165" fontId="12" fillId="0" borderId="0" xfId="0" applyNumberFormat="1" applyFont="1" applyAlignment="1">
      <alignment vertical="center"/>
    </xf>
    <xf numFmtId="165" fontId="12" fillId="11" borderId="0" xfId="0" applyNumberFormat="1" applyFont="1" applyFill="1" applyAlignment="1">
      <alignment horizontal="right"/>
    </xf>
    <xf numFmtId="165" fontId="16" fillId="0" borderId="0" xfId="5" applyNumberFormat="1"/>
    <xf numFmtId="0" fontId="12" fillId="8" borderId="0" xfId="0" applyFont="1" applyFill="1" applyAlignment="1">
      <alignment wrapText="1"/>
    </xf>
    <xf numFmtId="0" fontId="12" fillId="8" borderId="0" xfId="0" applyFont="1" applyFill="1" applyAlignment="1">
      <alignment vertical="center"/>
    </xf>
    <xf numFmtId="9" fontId="12" fillId="0" borderId="0" xfId="1" applyFont="1"/>
    <xf numFmtId="10" fontId="28" fillId="6" borderId="7" xfId="0" applyNumberFormat="1" applyFont="1" applyFill="1" applyBorder="1" applyAlignment="1">
      <alignment horizontal="center"/>
    </xf>
    <xf numFmtId="0" fontId="32" fillId="18" borderId="0" xfId="0" applyFont="1" applyFill="1"/>
    <xf numFmtId="0" fontId="12" fillId="18" borderId="0" xfId="0" applyFont="1" applyFill="1"/>
    <xf numFmtId="10" fontId="32" fillId="18" borderId="0" xfId="1" applyNumberFormat="1" applyFont="1" applyFill="1" applyBorder="1"/>
    <xf numFmtId="10" fontId="12" fillId="18" borderId="0" xfId="1" applyNumberFormat="1" applyFont="1" applyFill="1"/>
    <xf numFmtId="10" fontId="12" fillId="18" borderId="0" xfId="0" applyNumberFormat="1" applyFont="1" applyFill="1"/>
    <xf numFmtId="10" fontId="12" fillId="18" borderId="0" xfId="1" applyNumberFormat="1" applyFont="1" applyFill="1" applyBorder="1"/>
    <xf numFmtId="10" fontId="32" fillId="18" borderId="21" xfId="1" applyNumberFormat="1" applyFont="1" applyFill="1" applyBorder="1"/>
    <xf numFmtId="10" fontId="13" fillId="18" borderId="0" xfId="1" applyNumberFormat="1" applyFont="1" applyFill="1" applyBorder="1"/>
    <xf numFmtId="170" fontId="13" fillId="18" borderId="0" xfId="1" applyNumberFormat="1" applyFont="1" applyFill="1" applyBorder="1"/>
    <xf numFmtId="10" fontId="32" fillId="18" borderId="21" xfId="1" applyNumberFormat="1" applyFont="1" applyFill="1" applyBorder="1" applyAlignment="1">
      <alignment vertical="center"/>
    </xf>
    <xf numFmtId="0" fontId="15" fillId="3" borderId="48" xfId="29" quotePrefix="1" applyNumberFormat="1" applyFont="1" applyFill="1" applyBorder="1" applyAlignment="1"/>
    <xf numFmtId="165" fontId="13" fillId="0" borderId="0" xfId="1" applyNumberFormat="1" applyFont="1" applyFill="1" applyBorder="1"/>
    <xf numFmtId="165" fontId="12" fillId="0" borderId="0" xfId="0" applyNumberFormat="1" applyFont="1" applyFill="1"/>
    <xf numFmtId="172" fontId="12" fillId="0" borderId="0" xfId="0" applyNumberFormat="1" applyFont="1"/>
    <xf numFmtId="10" fontId="12" fillId="0" borderId="0" xfId="0" applyNumberFormat="1" applyFont="1"/>
    <xf numFmtId="0" fontId="26" fillId="18" borderId="0" xfId="0" applyFont="1" applyFill="1"/>
    <xf numFmtId="0" fontId="43" fillId="23" borderId="0" xfId="0" applyFont="1" applyFill="1" applyAlignment="1">
      <alignment vertical="center"/>
    </xf>
    <xf numFmtId="0" fontId="39" fillId="23" borderId="0" xfId="0" applyFont="1" applyFill="1" applyAlignment="1">
      <alignment horizontal="right" vertical="center"/>
    </xf>
    <xf numFmtId="0" fontId="39" fillId="23" borderId="0" xfId="0" applyFont="1" applyFill="1" applyAlignment="1">
      <alignment horizontal="center" vertical="center" wrapText="1"/>
    </xf>
    <xf numFmtId="9" fontId="12" fillId="18" borderId="0" xfId="1" applyFont="1" applyFill="1" applyBorder="1"/>
    <xf numFmtId="0" fontId="12" fillId="0" borderId="0" xfId="0" applyFont="1" applyBorder="1"/>
    <xf numFmtId="165" fontId="12" fillId="0" borderId="0" xfId="0" applyNumberFormat="1" applyFont="1" applyBorder="1" applyAlignment="1">
      <alignment vertical="center"/>
    </xf>
    <xf numFmtId="0" fontId="32" fillId="18" borderId="0" xfId="0" applyFont="1" applyFill="1" applyBorder="1"/>
    <xf numFmtId="165" fontId="12" fillId="0" borderId="0" xfId="0" applyNumberFormat="1" applyFont="1" applyBorder="1"/>
    <xf numFmtId="0" fontId="15" fillId="4" borderId="57" xfId="3" quotePrefix="1" applyNumberFormat="1" applyFont="1" applyFill="1" applyBorder="1" applyAlignment="1">
      <alignment horizontal="center" vertical="center" wrapText="1"/>
    </xf>
    <xf numFmtId="165" fontId="12" fillId="0" borderId="50" xfId="0" applyNumberFormat="1" applyFont="1" applyBorder="1" applyAlignment="1">
      <alignment vertical="center"/>
    </xf>
    <xf numFmtId="165" fontId="12" fillId="9" borderId="50" xfId="0" applyNumberFormat="1" applyFont="1" applyFill="1" applyBorder="1"/>
    <xf numFmtId="10" fontId="12" fillId="18" borderId="50" xfId="1" applyNumberFormat="1" applyFont="1" applyFill="1" applyBorder="1"/>
    <xf numFmtId="165" fontId="12" fillId="0" borderId="50" xfId="0" applyNumberFormat="1" applyFont="1" applyBorder="1"/>
    <xf numFmtId="0" fontId="15" fillId="4" borderId="59" xfId="3" quotePrefix="1" applyNumberFormat="1" applyFont="1" applyFill="1" applyBorder="1" applyAlignment="1">
      <alignment horizontal="center" vertical="center" wrapText="1"/>
    </xf>
    <xf numFmtId="165" fontId="12" fillId="0" borderId="61" xfId="0" applyNumberFormat="1" applyFont="1" applyBorder="1"/>
    <xf numFmtId="165" fontId="12" fillId="9" borderId="51" xfId="0" applyNumberFormat="1" applyFont="1" applyFill="1" applyBorder="1"/>
    <xf numFmtId="165" fontId="12" fillId="9" borderId="56" xfId="0" applyNumberFormat="1" applyFont="1" applyFill="1" applyBorder="1"/>
    <xf numFmtId="0" fontId="15" fillId="4" borderId="57" xfId="3" quotePrefix="1" applyNumberFormat="1" applyFont="1" applyFill="1" applyBorder="1" applyAlignment="1">
      <alignment horizontal="center"/>
    </xf>
    <xf numFmtId="165" fontId="15" fillId="5" borderId="62" xfId="4" applyNumberFormat="1" applyFont="1" applyFill="1" applyBorder="1">
      <alignment horizontal="right" vertical="center"/>
    </xf>
    <xf numFmtId="165" fontId="13" fillId="0" borderId="50" xfId="1" applyNumberFormat="1" applyFont="1" applyFill="1" applyBorder="1" applyAlignment="1">
      <alignment horizontal="center"/>
    </xf>
    <xf numFmtId="165" fontId="12" fillId="9" borderId="63" xfId="0" applyNumberFormat="1" applyFont="1" applyFill="1" applyBorder="1"/>
    <xf numFmtId="165" fontId="12" fillId="9" borderId="64" xfId="0" applyNumberFormat="1" applyFont="1" applyFill="1" applyBorder="1"/>
    <xf numFmtId="10" fontId="32" fillId="18" borderId="50" xfId="1" applyNumberFormat="1" applyFont="1" applyFill="1" applyBorder="1"/>
    <xf numFmtId="10" fontId="32" fillId="18" borderId="58" xfId="1" applyNumberFormat="1" applyFont="1" applyFill="1" applyBorder="1" applyAlignment="1">
      <alignment vertical="center"/>
    </xf>
    <xf numFmtId="170" fontId="13" fillId="18" borderId="50" xfId="1" applyNumberFormat="1" applyFont="1" applyFill="1" applyBorder="1"/>
    <xf numFmtId="0" fontId="15" fillId="4" borderId="59" xfId="3" quotePrefix="1" applyNumberFormat="1" applyFont="1" applyFill="1" applyBorder="1" applyAlignment="1">
      <alignment horizontal="center"/>
    </xf>
    <xf numFmtId="165" fontId="15" fillId="5" borderId="60" xfId="4" applyNumberFormat="1" applyFont="1" applyFill="1" applyBorder="1">
      <alignment horizontal="right" vertical="center"/>
    </xf>
    <xf numFmtId="0" fontId="15" fillId="4" borderId="2" xfId="3" quotePrefix="1" applyNumberFormat="1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0" xfId="0" applyFont="1" applyFill="1" applyBorder="1"/>
    <xf numFmtId="0" fontId="12" fillId="0" borderId="39" xfId="0" applyFont="1" applyBorder="1"/>
    <xf numFmtId="0" fontId="12" fillId="0" borderId="40" xfId="0" applyFont="1" applyBorder="1"/>
    <xf numFmtId="0" fontId="12" fillId="0" borderId="32" xfId="0" applyFont="1" applyBorder="1"/>
    <xf numFmtId="165" fontId="12" fillId="0" borderId="0" xfId="0" applyNumberFormat="1" applyFont="1" applyAlignment="1">
      <alignment horizontal="left"/>
    </xf>
    <xf numFmtId="0" fontId="17" fillId="7" borderId="54" xfId="5" applyFont="1" applyFill="1" applyBorder="1" applyAlignment="1" applyProtection="1">
      <alignment vertical="top" readingOrder="1"/>
      <protection locked="0"/>
    </xf>
    <xf numFmtId="0" fontId="16" fillId="0" borderId="55" xfId="5" applyBorder="1" applyAlignment="1" applyProtection="1">
      <alignment vertical="top" wrapText="1"/>
      <protection locked="0"/>
    </xf>
    <xf numFmtId="0" fontId="42" fillId="0" borderId="0" xfId="5" applyFont="1" applyAlignment="1" applyProtection="1">
      <alignment horizontal="left" vertical="top" readingOrder="1"/>
      <protection locked="0"/>
    </xf>
    <xf numFmtId="0" fontId="16" fillId="0" borderId="0" xfId="5" applyAlignment="1">
      <alignment horizontal="left"/>
    </xf>
    <xf numFmtId="0" fontId="18" fillId="0" borderId="44" xfId="5" applyFont="1" applyBorder="1" applyAlignment="1" applyProtection="1">
      <alignment vertical="top" wrapText="1" readingOrder="1"/>
      <protection locked="0"/>
    </xf>
    <xf numFmtId="175" fontId="16" fillId="0" borderId="0" xfId="5" applyNumberFormat="1" applyAlignment="1">
      <alignment horizontal="center" readingOrder="1"/>
    </xf>
    <xf numFmtId="0" fontId="4" fillId="0" borderId="0" xfId="5" applyFont="1" applyAlignment="1">
      <alignment horizontal="center" vertical="center"/>
    </xf>
    <xf numFmtId="49" fontId="4" fillId="0" borderId="0" xfId="5" applyNumberFormat="1" applyFont="1" applyAlignment="1">
      <alignment horizontal="center" vertical="center"/>
    </xf>
    <xf numFmtId="0" fontId="4" fillId="0" borderId="0" xfId="44"/>
    <xf numFmtId="0" fontId="4" fillId="0" borderId="0" xfId="44" applyAlignment="1">
      <alignment horizontal="center"/>
    </xf>
    <xf numFmtId="0" fontId="22" fillId="8" borderId="0" xfId="47" applyFont="1" applyFill="1" applyAlignment="1">
      <alignment horizontal="center" vertical="center" wrapText="1"/>
    </xf>
    <xf numFmtId="0" fontId="17" fillId="10" borderId="66" xfId="47" applyFont="1" applyFill="1" applyBorder="1" applyAlignment="1" applyProtection="1">
      <alignment horizontal="center" vertical="center" wrapText="1" readingOrder="1"/>
      <protection locked="0"/>
    </xf>
    <xf numFmtId="0" fontId="17" fillId="10" borderId="66" xfId="47" applyFont="1" applyFill="1" applyBorder="1" applyAlignment="1" applyProtection="1">
      <alignment vertical="center" wrapText="1" readingOrder="1"/>
      <protection locked="0"/>
    </xf>
    <xf numFmtId="0" fontId="46" fillId="8" borderId="0" xfId="47" applyFill="1" applyAlignment="1">
      <alignment horizontal="center" vertical="center"/>
    </xf>
    <xf numFmtId="0" fontId="4" fillId="0" borderId="0" xfId="44" applyAlignment="1">
      <alignment horizontal="center" vertical="center" wrapText="1"/>
    </xf>
    <xf numFmtId="0" fontId="21" fillId="22" borderId="0" xfId="8" applyFont="1" applyFill="1"/>
    <xf numFmtId="0" fontId="34" fillId="22" borderId="8" xfId="44" applyFont="1" applyFill="1" applyBorder="1" applyAlignment="1">
      <alignment horizontal="center" vertical="center"/>
    </xf>
    <xf numFmtId="9" fontId="21" fillId="22" borderId="8" xfId="13" applyFont="1" applyFill="1" applyBorder="1" applyAlignment="1">
      <alignment vertical="center"/>
    </xf>
    <xf numFmtId="177" fontId="21" fillId="22" borderId="8" xfId="13" applyNumberFormat="1" applyFont="1" applyFill="1" applyBorder="1" applyAlignment="1">
      <alignment vertical="center"/>
    </xf>
    <xf numFmtId="177" fontId="34" fillId="22" borderId="8" xfId="13" applyNumberFormat="1" applyFont="1" applyFill="1" applyBorder="1" applyAlignment="1">
      <alignment horizontal="center" vertical="center"/>
    </xf>
    <xf numFmtId="0" fontId="34" fillId="0" borderId="0" xfId="44" applyFont="1"/>
    <xf numFmtId="165" fontId="34" fillId="0" borderId="0" xfId="44" applyNumberFormat="1" applyFont="1"/>
    <xf numFmtId="0" fontId="21" fillId="22" borderId="67" xfId="8" applyFont="1" applyFill="1" applyBorder="1"/>
    <xf numFmtId="0" fontId="34" fillId="22" borderId="67" xfId="8" applyFont="1" applyFill="1" applyBorder="1" applyAlignment="1">
      <alignment horizontal="center" vertical="center" wrapText="1"/>
    </xf>
    <xf numFmtId="0" fontId="47" fillId="22" borderId="67" xfId="8" applyFont="1" applyFill="1" applyBorder="1" applyAlignment="1">
      <alignment horizontal="left" vertical="center"/>
    </xf>
    <xf numFmtId="0" fontId="34" fillId="22" borderId="67" xfId="44" applyFont="1" applyFill="1" applyBorder="1" applyAlignment="1">
      <alignment horizontal="center" vertical="center"/>
    </xf>
    <xf numFmtId="9" fontId="21" fillId="22" borderId="67" xfId="45" applyFont="1" applyFill="1" applyBorder="1" applyAlignment="1">
      <alignment vertical="center"/>
    </xf>
    <xf numFmtId="49" fontId="21" fillId="22" borderId="67" xfId="8" applyNumberFormat="1" applyFont="1" applyFill="1" applyBorder="1" applyAlignment="1">
      <alignment horizontal="center" vertical="center"/>
    </xf>
    <xf numFmtId="0" fontId="21" fillId="22" borderId="67" xfId="8" applyFont="1" applyFill="1" applyBorder="1" applyAlignment="1">
      <alignment vertical="center" wrapText="1"/>
    </xf>
    <xf numFmtId="0" fontId="34" fillId="22" borderId="67" xfId="44" applyFont="1" applyFill="1" applyBorder="1" applyAlignment="1">
      <alignment vertical="center"/>
    </xf>
    <xf numFmtId="0" fontId="34" fillId="22" borderId="68" xfId="44" applyFont="1" applyFill="1" applyBorder="1" applyAlignment="1">
      <alignment horizontal="center" vertical="center"/>
    </xf>
    <xf numFmtId="0" fontId="34" fillId="22" borderId="68" xfId="44" applyFont="1" applyFill="1" applyBorder="1" applyAlignment="1">
      <alignment vertical="center"/>
    </xf>
    <xf numFmtId="0" fontId="21" fillId="22" borderId="69" xfId="8" applyFont="1" applyFill="1" applyBorder="1"/>
    <xf numFmtId="0" fontId="34" fillId="22" borderId="70" xfId="8" applyFont="1" applyFill="1" applyBorder="1" applyAlignment="1">
      <alignment horizontal="center" vertical="center" wrapText="1"/>
    </xf>
    <xf numFmtId="0" fontId="47" fillId="22" borderId="70" xfId="8" applyFont="1" applyFill="1" applyBorder="1" applyAlignment="1">
      <alignment horizontal="left" vertical="center"/>
    </xf>
    <xf numFmtId="0" fontId="34" fillId="22" borderId="8" xfId="8" applyFont="1" applyFill="1" applyBorder="1" applyAlignment="1">
      <alignment horizontal="center" vertical="center" wrapText="1"/>
    </xf>
    <xf numFmtId="0" fontId="47" fillId="22" borderId="8" xfId="8" applyFont="1" applyFill="1" applyBorder="1" applyAlignment="1">
      <alignment horizontal="left" vertical="center"/>
    </xf>
    <xf numFmtId="0" fontId="34" fillId="22" borderId="68" xfId="8" applyFont="1" applyFill="1" applyBorder="1" applyAlignment="1">
      <alignment horizontal="center" vertical="center" wrapText="1"/>
    </xf>
    <xf numFmtId="0" fontId="47" fillId="22" borderId="68" xfId="8" applyFont="1" applyFill="1" applyBorder="1" applyAlignment="1">
      <alignment horizontal="left" vertical="center"/>
    </xf>
    <xf numFmtId="49" fontId="21" fillId="22" borderId="68" xfId="8" applyNumberFormat="1" applyFont="1" applyFill="1" applyBorder="1" applyAlignment="1">
      <alignment horizontal="center" vertical="center"/>
    </xf>
    <xf numFmtId="0" fontId="21" fillId="22" borderId="68" xfId="8" applyFont="1" applyFill="1" applyBorder="1" applyAlignment="1">
      <alignment vertical="center" wrapText="1"/>
    </xf>
    <xf numFmtId="0" fontId="34" fillId="22" borderId="70" xfId="44" applyFont="1" applyFill="1" applyBorder="1" applyAlignment="1">
      <alignment horizontal="center" vertical="center"/>
    </xf>
    <xf numFmtId="9" fontId="21" fillId="22" borderId="70" xfId="45" applyFont="1" applyFill="1" applyBorder="1" applyAlignment="1">
      <alignment vertical="center"/>
    </xf>
    <xf numFmtId="9" fontId="21" fillId="22" borderId="8" xfId="45" applyFont="1" applyFill="1" applyBorder="1" applyAlignment="1">
      <alignment vertical="center"/>
    </xf>
    <xf numFmtId="0" fontId="48" fillId="22" borderId="68" xfId="8" applyFont="1" applyFill="1" applyBorder="1" applyAlignment="1" applyProtection="1">
      <alignment horizontal="center" vertical="center" wrapText="1"/>
      <protection locked="0"/>
    </xf>
    <xf numFmtId="0" fontId="48" fillId="22" borderId="68" xfId="8" applyFont="1" applyFill="1" applyBorder="1" applyAlignment="1" applyProtection="1">
      <alignment vertical="center" wrapText="1"/>
      <protection locked="0"/>
    </xf>
    <xf numFmtId="0" fontId="48" fillId="22" borderId="67" xfId="8" applyFont="1" applyFill="1" applyBorder="1" applyAlignment="1" applyProtection="1">
      <alignment horizontal="center" vertical="center" wrapText="1"/>
      <protection locked="0"/>
    </xf>
    <xf numFmtId="0" fontId="48" fillId="22" borderId="67" xfId="8" applyFont="1" applyFill="1" applyBorder="1" applyAlignment="1" applyProtection="1">
      <alignment vertical="center" wrapText="1"/>
      <protection locked="0"/>
    </xf>
    <xf numFmtId="9" fontId="21" fillId="22" borderId="68" xfId="45" applyFont="1" applyFill="1" applyBorder="1" applyAlignment="1">
      <alignment vertical="center"/>
    </xf>
    <xf numFmtId="0" fontId="21" fillId="22" borderId="71" xfId="8" applyFont="1" applyFill="1" applyBorder="1"/>
    <xf numFmtId="0" fontId="34" fillId="22" borderId="68" xfId="12" applyFont="1" applyFill="1" applyBorder="1" applyAlignment="1">
      <alignment horizontal="center" vertical="center"/>
    </xf>
    <xf numFmtId="0" fontId="34" fillId="22" borderId="68" xfId="12" applyFont="1" applyFill="1" applyBorder="1" applyAlignment="1">
      <alignment vertical="center"/>
    </xf>
    <xf numFmtId="0" fontId="34" fillId="22" borderId="67" xfId="8" applyFont="1" applyFill="1" applyBorder="1" applyAlignment="1">
      <alignment vertical="center"/>
    </xf>
    <xf numFmtId="14" fontId="21" fillId="22" borderId="67" xfId="8" applyNumberFormat="1" applyFont="1" applyFill="1" applyBorder="1" applyAlignment="1">
      <alignment horizontal="center"/>
    </xf>
    <xf numFmtId="0" fontId="34" fillId="22" borderId="67" xfId="12" applyFont="1" applyFill="1" applyBorder="1" applyAlignment="1">
      <alignment horizontal="center" vertical="center"/>
    </xf>
    <xf numFmtId="0" fontId="34" fillId="22" borderId="67" xfId="12" applyFont="1" applyFill="1" applyBorder="1" applyAlignment="1">
      <alignment vertical="center"/>
    </xf>
    <xf numFmtId="0" fontId="21" fillId="22" borderId="67" xfId="8" applyFont="1" applyFill="1" applyBorder="1" applyAlignment="1">
      <alignment horizontal="center"/>
    </xf>
    <xf numFmtId="0" fontId="21" fillId="22" borderId="67" xfId="8" applyFont="1" applyFill="1" applyBorder="1" applyAlignment="1">
      <alignment horizontal="center" vertical="center"/>
    </xf>
    <xf numFmtId="0" fontId="21" fillId="22" borderId="67" xfId="8" applyFont="1" applyFill="1" applyBorder="1" applyAlignment="1">
      <alignment vertical="center"/>
    </xf>
    <xf numFmtId="0" fontId="21" fillId="22" borderId="0" xfId="8" applyFont="1" applyFill="1" applyBorder="1" applyAlignment="1">
      <alignment horizontal="center"/>
    </xf>
    <xf numFmtId="49" fontId="21" fillId="22" borderId="8" xfId="8" applyNumberFormat="1" applyFont="1" applyFill="1" applyBorder="1" applyAlignment="1">
      <alignment horizontal="center" vertical="center"/>
    </xf>
    <xf numFmtId="0" fontId="21" fillId="22" borderId="8" xfId="8" applyFont="1" applyFill="1" applyBorder="1" applyAlignment="1">
      <alignment vertical="center"/>
    </xf>
    <xf numFmtId="49" fontId="49" fillId="22" borderId="67" xfId="8" applyNumberFormat="1" applyFont="1" applyFill="1" applyBorder="1" applyAlignment="1">
      <alignment horizontal="center" vertical="center"/>
    </xf>
    <xf numFmtId="49" fontId="49" fillId="22" borderId="67" xfId="8" applyNumberFormat="1" applyFont="1" applyFill="1" applyBorder="1" applyAlignment="1">
      <alignment vertical="center"/>
    </xf>
    <xf numFmtId="14" fontId="21" fillId="22" borderId="0" xfId="8" applyNumberFormat="1" applyFont="1" applyFill="1" applyBorder="1" applyAlignment="1">
      <alignment horizontal="center"/>
    </xf>
    <xf numFmtId="0" fontId="48" fillId="22" borderId="8" xfId="8" applyFont="1" applyFill="1" applyBorder="1" applyAlignment="1" applyProtection="1">
      <alignment horizontal="center" vertical="center" wrapText="1"/>
      <protection locked="0"/>
    </xf>
    <xf numFmtId="0" fontId="48" fillId="22" borderId="8" xfId="8" applyFont="1" applyFill="1" applyBorder="1" applyAlignment="1" applyProtection="1">
      <alignment vertical="center" wrapText="1"/>
      <protection locked="0"/>
    </xf>
    <xf numFmtId="49" fontId="49" fillId="22" borderId="70" xfId="8" applyNumberFormat="1" applyFont="1" applyFill="1" applyBorder="1" applyAlignment="1">
      <alignment horizontal="center" vertical="center"/>
    </xf>
    <xf numFmtId="49" fontId="49" fillId="22" borderId="70" xfId="8" applyNumberFormat="1" applyFont="1" applyFill="1" applyBorder="1" applyAlignment="1">
      <alignment vertical="center"/>
    </xf>
    <xf numFmtId="49" fontId="21" fillId="22" borderId="70" xfId="8" applyNumberFormat="1" applyFont="1" applyFill="1" applyBorder="1" applyAlignment="1">
      <alignment horizontal="center" vertical="center"/>
    </xf>
    <xf numFmtId="0" fontId="21" fillId="22" borderId="70" xfId="8" applyFont="1" applyFill="1" applyBorder="1" applyAlignment="1">
      <alignment vertical="center" wrapText="1"/>
    </xf>
    <xf numFmtId="0" fontId="34" fillId="13" borderId="0" xfId="44" applyFont="1" applyFill="1" applyBorder="1"/>
    <xf numFmtId="0" fontId="21" fillId="13" borderId="0" xfId="8" applyFont="1" applyFill="1" applyBorder="1"/>
    <xf numFmtId="49" fontId="21" fillId="13" borderId="67" xfId="8" applyNumberFormat="1" applyFont="1" applyFill="1" applyBorder="1" applyAlignment="1">
      <alignment horizontal="center" vertical="center"/>
    </xf>
    <xf numFmtId="0" fontId="21" fillId="13" borderId="67" xfId="8" applyFont="1" applyFill="1" applyBorder="1" applyAlignment="1">
      <alignment vertical="center" wrapText="1"/>
    </xf>
    <xf numFmtId="177" fontId="21" fillId="13" borderId="67" xfId="8" applyNumberFormat="1" applyFont="1" applyFill="1" applyBorder="1" applyAlignment="1">
      <alignment vertical="center"/>
    </xf>
    <xf numFmtId="0" fontId="34" fillId="0" borderId="0" xfId="44" applyFont="1" applyFill="1"/>
    <xf numFmtId="0" fontId="48" fillId="13" borderId="8" xfId="8" applyFont="1" applyFill="1" applyBorder="1" applyAlignment="1" applyProtection="1">
      <alignment horizontal="center" vertical="center" wrapText="1"/>
      <protection locked="0"/>
    </xf>
    <xf numFmtId="0" fontId="48" fillId="13" borderId="8" xfId="8" applyFont="1" applyFill="1" applyBorder="1" applyAlignment="1" applyProtection="1">
      <alignment vertical="center" wrapText="1"/>
      <protection locked="0"/>
    </xf>
    <xf numFmtId="177" fontId="21" fillId="13" borderId="8" xfId="14" applyNumberFormat="1" applyFont="1" applyFill="1" applyBorder="1" applyAlignment="1">
      <alignment horizontal="right" vertical="center"/>
    </xf>
    <xf numFmtId="0" fontId="21" fillId="13" borderId="67" xfId="8" applyFont="1" applyFill="1" applyBorder="1"/>
    <xf numFmtId="49" fontId="21" fillId="13" borderId="70" xfId="8" applyNumberFormat="1" applyFont="1" applyFill="1" applyBorder="1" applyAlignment="1">
      <alignment horizontal="center" vertical="center"/>
    </xf>
    <xf numFmtId="0" fontId="21" fillId="13" borderId="70" xfId="8" applyFont="1" applyFill="1" applyBorder="1" applyAlignment="1">
      <alignment vertical="center" wrapText="1"/>
    </xf>
    <xf numFmtId="177" fontId="21" fillId="13" borderId="70" xfId="8" applyNumberFormat="1" applyFont="1" applyFill="1" applyBorder="1" applyAlignment="1">
      <alignment vertical="center"/>
    </xf>
    <xf numFmtId="0" fontId="34" fillId="13" borderId="8" xfId="8" applyFont="1" applyFill="1" applyBorder="1" applyAlignment="1">
      <alignment horizontal="center" vertical="center" wrapText="1"/>
    </xf>
    <xf numFmtId="0" fontId="47" fillId="13" borderId="8" xfId="8" applyFont="1" applyFill="1" applyBorder="1" applyAlignment="1">
      <alignment horizontal="left" vertical="center"/>
    </xf>
    <xf numFmtId="177" fontId="21" fillId="13" borderId="8" xfId="8" applyNumberFormat="1" applyFont="1" applyFill="1" applyBorder="1" applyAlignment="1">
      <alignment vertical="center"/>
    </xf>
    <xf numFmtId="0" fontId="48" fillId="13" borderId="67" xfId="8" applyFont="1" applyFill="1" applyBorder="1" applyAlignment="1" applyProtection="1">
      <alignment horizontal="center" vertical="center" wrapText="1"/>
      <protection locked="0"/>
    </xf>
    <xf numFmtId="0" fontId="48" fillId="13" borderId="67" xfId="8" applyFont="1" applyFill="1" applyBorder="1" applyAlignment="1" applyProtection="1">
      <alignment vertical="center" wrapText="1"/>
      <protection locked="0"/>
    </xf>
    <xf numFmtId="177" fontId="21" fillId="13" borderId="67" xfId="45" applyNumberFormat="1" applyFont="1" applyFill="1" applyBorder="1" applyAlignment="1">
      <alignment vertical="center"/>
    </xf>
    <xf numFmtId="0" fontId="48" fillId="13" borderId="70" xfId="8" applyFont="1" applyFill="1" applyBorder="1" applyAlignment="1" applyProtection="1">
      <alignment horizontal="center" vertical="center" wrapText="1"/>
      <protection locked="0"/>
    </xf>
    <xf numFmtId="0" fontId="48" fillId="13" borderId="70" xfId="8" applyFont="1" applyFill="1" applyBorder="1" applyAlignment="1" applyProtection="1">
      <alignment vertical="center" wrapText="1"/>
      <protection locked="0"/>
    </xf>
    <xf numFmtId="0" fontId="34" fillId="13" borderId="8" xfId="44" applyFont="1" applyFill="1" applyBorder="1" applyAlignment="1">
      <alignment horizontal="center" vertical="center"/>
    </xf>
    <xf numFmtId="9" fontId="21" fillId="13" borderId="8" xfId="45" applyFont="1" applyFill="1" applyBorder="1" applyAlignment="1">
      <alignment vertical="center"/>
    </xf>
    <xf numFmtId="177" fontId="21" fillId="13" borderId="8" xfId="45" applyNumberFormat="1" applyFont="1" applyFill="1" applyBorder="1" applyAlignment="1">
      <alignment vertical="center"/>
    </xf>
    <xf numFmtId="177" fontId="21" fillId="13" borderId="8" xfId="47" applyNumberFormat="1" applyFont="1" applyFill="1" applyBorder="1" applyAlignment="1">
      <alignment vertical="center"/>
    </xf>
    <xf numFmtId="0" fontId="34" fillId="13" borderId="67" xfId="8" applyFont="1" applyFill="1" applyBorder="1" applyAlignment="1">
      <alignment horizontal="center" vertical="center" wrapText="1"/>
    </xf>
    <xf numFmtId="0" fontId="47" fillId="13" borderId="67" xfId="8" applyFont="1" applyFill="1" applyBorder="1" applyAlignment="1">
      <alignment horizontal="left" vertical="center"/>
    </xf>
    <xf numFmtId="49" fontId="21" fillId="13" borderId="68" xfId="8" applyNumberFormat="1" applyFont="1" applyFill="1" applyBorder="1" applyAlignment="1">
      <alignment horizontal="center" vertical="center"/>
    </xf>
    <xf numFmtId="0" fontId="21" fillId="13" borderId="68" xfId="8" applyFont="1" applyFill="1" applyBorder="1" applyAlignment="1">
      <alignment vertical="center" wrapText="1"/>
    </xf>
    <xf numFmtId="177" fontId="21" fillId="13" borderId="68" xfId="8" applyNumberFormat="1" applyFont="1" applyFill="1" applyBorder="1" applyAlignment="1">
      <alignment vertical="center"/>
    </xf>
    <xf numFmtId="0" fontId="21" fillId="9" borderId="0" xfId="8" applyFont="1" applyFill="1" applyBorder="1" applyAlignment="1">
      <alignment horizontal="center"/>
    </xf>
    <xf numFmtId="177" fontId="21" fillId="9" borderId="68" xfId="8" applyNumberFormat="1" applyFont="1" applyFill="1" applyBorder="1" applyAlignment="1">
      <alignment vertical="center"/>
    </xf>
    <xf numFmtId="0" fontId="21" fillId="9" borderId="72" xfId="8" applyFont="1" applyFill="1" applyBorder="1" applyAlignment="1">
      <alignment horizontal="center"/>
    </xf>
    <xf numFmtId="49" fontId="21" fillId="13" borderId="8" xfId="8" applyNumberFormat="1" applyFont="1" applyFill="1" applyBorder="1" applyAlignment="1">
      <alignment horizontal="center" vertical="center"/>
    </xf>
    <xf numFmtId="0" fontId="21" fillId="13" borderId="8" xfId="8" applyFont="1" applyFill="1" applyBorder="1" applyAlignment="1">
      <alignment vertical="center" wrapText="1"/>
    </xf>
    <xf numFmtId="177" fontId="21" fillId="13" borderId="70" xfId="45" applyNumberFormat="1" applyFont="1" applyFill="1" applyBorder="1" applyAlignment="1">
      <alignment vertical="center"/>
    </xf>
    <xf numFmtId="0" fontId="21" fillId="13" borderId="67" xfId="8" applyFont="1" applyFill="1" applyBorder="1" applyAlignment="1">
      <alignment horizontal="center" vertical="center"/>
    </xf>
    <xf numFmtId="0" fontId="21" fillId="13" borderId="67" xfId="8" applyFont="1" applyFill="1" applyBorder="1" applyAlignment="1">
      <alignment vertical="center"/>
    </xf>
    <xf numFmtId="177" fontId="21" fillId="13" borderId="67" xfId="14" applyNumberFormat="1" applyFont="1" applyFill="1" applyBorder="1" applyAlignment="1">
      <alignment horizontal="center" vertical="center"/>
    </xf>
    <xf numFmtId="0" fontId="34" fillId="13" borderId="67" xfId="8" applyFont="1" applyFill="1" applyBorder="1" applyAlignment="1">
      <alignment vertical="center"/>
    </xf>
    <xf numFmtId="177" fontId="21" fillId="13" borderId="67" xfId="14" applyNumberFormat="1" applyFont="1" applyFill="1" applyBorder="1" applyAlignment="1">
      <alignment vertical="center"/>
    </xf>
    <xf numFmtId="0" fontId="34" fillId="13" borderId="70" xfId="8" applyFont="1" applyFill="1" applyBorder="1" applyAlignment="1">
      <alignment horizontal="center" vertical="center" wrapText="1"/>
    </xf>
    <xf numFmtId="0" fontId="47" fillId="13" borderId="70" xfId="8" applyFont="1" applyFill="1" applyBorder="1" applyAlignment="1">
      <alignment horizontal="left" vertical="center"/>
    </xf>
    <xf numFmtId="0" fontId="21" fillId="9" borderId="67" xfId="8" applyFont="1" applyFill="1" applyBorder="1" applyAlignment="1">
      <alignment horizontal="center"/>
    </xf>
    <xf numFmtId="0" fontId="21" fillId="9" borderId="67" xfId="8" applyFont="1" applyFill="1" applyBorder="1"/>
    <xf numFmtId="0" fontId="48" fillId="9" borderId="67" xfId="8" applyFont="1" applyFill="1" applyBorder="1" applyAlignment="1" applyProtection="1">
      <alignment horizontal="center" vertical="center" wrapText="1"/>
      <protection locked="0"/>
    </xf>
    <xf numFmtId="0" fontId="48" fillId="9" borderId="67" xfId="8" applyFont="1" applyFill="1" applyBorder="1" applyAlignment="1" applyProtection="1">
      <alignment vertical="center" wrapText="1"/>
      <protection locked="0"/>
    </xf>
    <xf numFmtId="177" fontId="21" fillId="9" borderId="67" xfId="8" applyNumberFormat="1" applyFont="1" applyFill="1" applyBorder="1" applyAlignment="1">
      <alignment vertical="center"/>
    </xf>
    <xf numFmtId="0" fontId="21" fillId="13" borderId="71" xfId="8" applyFont="1" applyFill="1" applyBorder="1"/>
    <xf numFmtId="0" fontId="21" fillId="9" borderId="71" xfId="8" applyFont="1" applyFill="1" applyBorder="1" applyAlignment="1">
      <alignment horizontal="center"/>
    </xf>
    <xf numFmtId="49" fontId="34" fillId="13" borderId="67" xfId="8" applyNumberFormat="1" applyFont="1" applyFill="1" applyBorder="1" applyAlignment="1">
      <alignment horizontal="center" vertical="center"/>
    </xf>
    <xf numFmtId="177" fontId="21" fillId="9" borderId="70" xfId="8" applyNumberFormat="1" applyFont="1" applyFill="1" applyBorder="1" applyAlignment="1">
      <alignment vertical="center"/>
    </xf>
    <xf numFmtId="0" fontId="48" fillId="13" borderId="68" xfId="8" applyFont="1" applyFill="1" applyBorder="1" applyAlignment="1" applyProtection="1">
      <alignment horizontal="center" vertical="center" wrapText="1"/>
      <protection locked="0"/>
    </xf>
    <xf numFmtId="0" fontId="48" fillId="13" borderId="68" xfId="8" applyFont="1" applyFill="1" applyBorder="1" applyAlignment="1" applyProtection="1">
      <alignment vertical="center" wrapText="1"/>
      <protection locked="0"/>
    </xf>
    <xf numFmtId="0" fontId="21" fillId="13" borderId="72" xfId="8" applyFont="1" applyFill="1" applyBorder="1"/>
    <xf numFmtId="0" fontId="21" fillId="13" borderId="67" xfId="8" applyFont="1" applyFill="1" applyBorder="1" applyAlignment="1">
      <alignment horizontal="center"/>
    </xf>
    <xf numFmtId="14" fontId="21" fillId="13" borderId="67" xfId="8" applyNumberFormat="1" applyFont="1" applyFill="1" applyBorder="1" applyAlignment="1">
      <alignment horizontal="center"/>
    </xf>
    <xf numFmtId="0" fontId="21" fillId="13" borderId="73" xfId="8" applyFont="1" applyFill="1" applyBorder="1"/>
    <xf numFmtId="0" fontId="21" fillId="9" borderId="71" xfId="8" applyFont="1" applyFill="1" applyBorder="1"/>
    <xf numFmtId="0" fontId="34" fillId="9" borderId="68" xfId="8" applyFont="1" applyFill="1" applyBorder="1" applyAlignment="1">
      <alignment horizontal="center" vertical="center" wrapText="1"/>
    </xf>
    <xf numFmtId="0" fontId="47" fillId="9" borderId="68" xfId="8" applyFont="1" applyFill="1" applyBorder="1" applyAlignment="1">
      <alignment horizontal="left" vertical="center"/>
    </xf>
    <xf numFmtId="49" fontId="34" fillId="13" borderId="67" xfId="44" applyNumberFormat="1" applyFont="1" applyFill="1" applyBorder="1" applyAlignment="1">
      <alignment horizontal="center" vertical="center"/>
    </xf>
    <xf numFmtId="49" fontId="48" fillId="13" borderId="67" xfId="47" applyNumberFormat="1" applyFont="1" applyFill="1" applyBorder="1" applyAlignment="1">
      <alignment vertical="center"/>
    </xf>
    <xf numFmtId="0" fontId="21" fillId="13" borderId="72" xfId="8" applyFont="1" applyFill="1" applyBorder="1" applyAlignment="1">
      <alignment horizontal="center"/>
    </xf>
    <xf numFmtId="0" fontId="21" fillId="13" borderId="69" xfId="8" applyFont="1" applyFill="1" applyBorder="1"/>
    <xf numFmtId="0" fontId="21" fillId="9" borderId="69" xfId="8" applyFont="1" applyFill="1" applyBorder="1" applyAlignment="1">
      <alignment horizontal="center"/>
    </xf>
    <xf numFmtId="0" fontId="21" fillId="20" borderId="67" xfId="8" applyFont="1" applyFill="1" applyBorder="1"/>
    <xf numFmtId="177" fontId="21" fillId="20" borderId="70" xfId="8" applyNumberFormat="1" applyFont="1" applyFill="1" applyBorder="1" applyAlignment="1">
      <alignment vertical="center"/>
    </xf>
    <xf numFmtId="0" fontId="21" fillId="20" borderId="72" xfId="8" applyFont="1" applyFill="1" applyBorder="1"/>
    <xf numFmtId="0" fontId="34" fillId="20" borderId="67" xfId="8" applyFont="1" applyFill="1" applyBorder="1" applyAlignment="1">
      <alignment horizontal="center" vertical="center" wrapText="1"/>
    </xf>
    <xf numFmtId="0" fontId="47" fillId="20" borderId="67" xfId="8" applyFont="1" applyFill="1" applyBorder="1" applyAlignment="1">
      <alignment horizontal="left" vertical="center"/>
    </xf>
    <xf numFmtId="177" fontId="21" fillId="20" borderId="67" xfId="8" applyNumberFormat="1" applyFont="1" applyFill="1" applyBorder="1" applyAlignment="1">
      <alignment vertical="center"/>
    </xf>
    <xf numFmtId="0" fontId="34" fillId="13" borderId="67" xfId="44" applyFont="1" applyFill="1" applyBorder="1" applyAlignment="1">
      <alignment horizontal="center" vertical="center"/>
    </xf>
    <xf numFmtId="9" fontId="21" fillId="13" borderId="67" xfId="45" applyFont="1" applyFill="1" applyBorder="1" applyAlignment="1">
      <alignment vertical="center"/>
    </xf>
    <xf numFmtId="177" fontId="21" fillId="13" borderId="70" xfId="47" applyNumberFormat="1" applyFont="1" applyFill="1" applyBorder="1" applyAlignment="1">
      <alignment vertical="center"/>
    </xf>
    <xf numFmtId="177" fontId="21" fillId="13" borderId="67" xfId="14" applyNumberFormat="1" applyFont="1" applyFill="1" applyBorder="1" applyAlignment="1">
      <alignment horizontal="right" vertical="center"/>
    </xf>
    <xf numFmtId="0" fontId="49" fillId="9" borderId="67" xfId="8" applyFont="1" applyFill="1" applyBorder="1" applyAlignment="1" applyProtection="1">
      <alignment horizontal="center" vertical="center" wrapText="1"/>
      <protection locked="0"/>
    </xf>
    <xf numFmtId="0" fontId="49" fillId="9" borderId="67" xfId="8" applyFont="1" applyFill="1" applyBorder="1" applyAlignment="1" applyProtection="1">
      <alignment vertical="center" wrapText="1"/>
      <protection locked="0"/>
    </xf>
    <xf numFmtId="0" fontId="48" fillId="20" borderId="67" xfId="8" applyFont="1" applyFill="1" applyBorder="1" applyAlignment="1" applyProtection="1">
      <alignment horizontal="center" vertical="center" wrapText="1"/>
      <protection locked="0"/>
    </xf>
    <xf numFmtId="0" fontId="48" fillId="20" borderId="67" xfId="8" applyFont="1" applyFill="1" applyBorder="1" applyAlignment="1" applyProtection="1">
      <alignment vertical="center" wrapText="1"/>
      <protection locked="0"/>
    </xf>
    <xf numFmtId="177" fontId="21" fillId="20" borderId="67" xfId="45" applyNumberFormat="1" applyFont="1" applyFill="1" applyBorder="1" applyAlignment="1">
      <alignment vertical="center"/>
    </xf>
    <xf numFmtId="0" fontId="21" fillId="9" borderId="73" xfId="8" applyFont="1" applyFill="1" applyBorder="1" applyAlignment="1">
      <alignment horizontal="center"/>
    </xf>
    <xf numFmtId="0" fontId="21" fillId="9" borderId="69" xfId="8" applyFont="1" applyFill="1" applyBorder="1"/>
    <xf numFmtId="49" fontId="34" fillId="9" borderId="70" xfId="44" applyNumberFormat="1" applyFont="1" applyFill="1" applyBorder="1" applyAlignment="1">
      <alignment horizontal="center" vertical="center"/>
    </xf>
    <xf numFmtId="49" fontId="48" fillId="9" borderId="70" xfId="47" applyNumberFormat="1" applyFont="1" applyFill="1" applyBorder="1" applyAlignment="1">
      <alignment vertical="center"/>
    </xf>
    <xf numFmtId="177" fontId="34" fillId="20" borderId="70" xfId="12" applyNumberFormat="1" applyFont="1" applyFill="1" applyBorder="1" applyAlignment="1">
      <alignment vertical="center"/>
    </xf>
    <xf numFmtId="0" fontId="21" fillId="20" borderId="0" xfId="8" applyFont="1" applyFill="1" applyBorder="1"/>
    <xf numFmtId="177" fontId="21" fillId="20" borderId="70" xfId="45" applyNumberFormat="1" applyFont="1" applyFill="1" applyBorder="1" applyAlignment="1">
      <alignment vertical="center"/>
    </xf>
    <xf numFmtId="0" fontId="21" fillId="13" borderId="0" xfId="8" applyFont="1" applyFill="1" applyBorder="1" applyAlignment="1">
      <alignment horizontal="center"/>
    </xf>
    <xf numFmtId="0" fontId="21" fillId="13" borderId="69" xfId="8" applyFont="1" applyFill="1" applyBorder="1" applyAlignment="1">
      <alignment horizontal="center"/>
    </xf>
    <xf numFmtId="0" fontId="21" fillId="13" borderId="73" xfId="8" applyFont="1" applyFill="1" applyBorder="1" applyAlignment="1">
      <alignment horizontal="center"/>
    </xf>
    <xf numFmtId="0" fontId="34" fillId="9" borderId="67" xfId="44" applyFont="1" applyFill="1" applyBorder="1" applyAlignment="1">
      <alignment horizontal="center" vertical="center"/>
    </xf>
    <xf numFmtId="0" fontId="34" fillId="9" borderId="67" xfId="44" applyFont="1" applyFill="1" applyBorder="1" applyAlignment="1">
      <alignment vertical="center"/>
    </xf>
    <xf numFmtId="0" fontId="48" fillId="9" borderId="8" xfId="8" applyFont="1" applyFill="1" applyBorder="1" applyAlignment="1" applyProtection="1">
      <alignment horizontal="center" vertical="center" wrapText="1"/>
      <protection locked="0"/>
    </xf>
    <xf numFmtId="0" fontId="48" fillId="9" borderId="8" xfId="8" applyFont="1" applyFill="1" applyBorder="1" applyAlignment="1" applyProtection="1">
      <alignment vertical="center" wrapText="1"/>
      <protection locked="0"/>
    </xf>
    <xf numFmtId="177" fontId="21" fillId="9" borderId="8" xfId="8" applyNumberFormat="1" applyFont="1" applyFill="1" applyBorder="1" applyAlignment="1">
      <alignment vertical="center"/>
    </xf>
    <xf numFmtId="14" fontId="21" fillId="9" borderId="67" xfId="8" applyNumberFormat="1" applyFont="1" applyFill="1" applyBorder="1" applyAlignment="1">
      <alignment horizontal="center"/>
    </xf>
    <xf numFmtId="49" fontId="21" fillId="9" borderId="67" xfId="8" applyNumberFormat="1" applyFont="1" applyFill="1" applyBorder="1" applyAlignment="1">
      <alignment horizontal="center" vertical="center"/>
    </xf>
    <xf numFmtId="0" fontId="21" fillId="9" borderId="67" xfId="8" applyFont="1" applyFill="1" applyBorder="1" applyAlignment="1">
      <alignment vertical="center"/>
    </xf>
    <xf numFmtId="14" fontId="21" fillId="13" borderId="73" xfId="8" applyNumberFormat="1" applyFont="1" applyFill="1" applyBorder="1" applyAlignment="1">
      <alignment horizontal="center"/>
    </xf>
    <xf numFmtId="0" fontId="21" fillId="13" borderId="71" xfId="8" applyFont="1" applyFill="1" applyBorder="1" applyAlignment="1">
      <alignment horizontal="center"/>
    </xf>
    <xf numFmtId="14" fontId="21" fillId="13" borderId="71" xfId="8" applyNumberFormat="1" applyFont="1" applyFill="1" applyBorder="1" applyAlignment="1">
      <alignment horizontal="center"/>
    </xf>
    <xf numFmtId="0" fontId="34" fillId="13" borderId="68" xfId="8" applyFont="1" applyFill="1" applyBorder="1" applyAlignment="1">
      <alignment horizontal="center" vertical="center" wrapText="1"/>
    </xf>
    <xf numFmtId="0" fontId="47" fillId="13" borderId="68" xfId="8" applyFont="1" applyFill="1" applyBorder="1" applyAlignment="1">
      <alignment horizontal="left" vertical="center"/>
    </xf>
    <xf numFmtId="0" fontId="48" fillId="9" borderId="70" xfId="8" applyFont="1" applyFill="1" applyBorder="1" applyAlignment="1" applyProtection="1">
      <alignment horizontal="center" vertical="center" wrapText="1"/>
      <protection locked="0"/>
    </xf>
    <xf numFmtId="0" fontId="48" fillId="9" borderId="70" xfId="8" applyFont="1" applyFill="1" applyBorder="1" applyAlignment="1" applyProtection="1">
      <alignment vertical="center" wrapText="1"/>
      <protection locked="0"/>
    </xf>
    <xf numFmtId="0" fontId="48" fillId="9" borderId="68" xfId="8" applyFont="1" applyFill="1" applyBorder="1" applyAlignment="1" applyProtection="1">
      <alignment horizontal="center" vertical="center" wrapText="1"/>
      <protection locked="0"/>
    </xf>
    <xf numFmtId="0" fontId="48" fillId="9" borderId="68" xfId="8" applyFont="1" applyFill="1" applyBorder="1" applyAlignment="1" applyProtection="1">
      <alignment vertical="center" wrapText="1"/>
      <protection locked="0"/>
    </xf>
    <xf numFmtId="0" fontId="21" fillId="13" borderId="8" xfId="8" applyFont="1" applyFill="1" applyBorder="1" applyAlignment="1" applyProtection="1">
      <alignment horizontal="center" vertical="center" wrapText="1"/>
      <protection locked="0"/>
    </xf>
    <xf numFmtId="0" fontId="34" fillId="13" borderId="67" xfId="44" applyFont="1" applyFill="1" applyBorder="1" applyAlignment="1">
      <alignment vertical="center"/>
    </xf>
    <xf numFmtId="0" fontId="50" fillId="9" borderId="67" xfId="8" applyFont="1" applyFill="1" applyBorder="1" applyAlignment="1">
      <alignment horizontal="center" vertical="center"/>
    </xf>
    <xf numFmtId="0" fontId="50" fillId="9" borderId="67" xfId="8" applyFont="1" applyFill="1" applyBorder="1" applyAlignment="1" applyProtection="1">
      <alignment horizontal="center" vertical="center" wrapText="1"/>
      <protection locked="0"/>
    </xf>
    <xf numFmtId="0" fontId="49" fillId="9" borderId="8" xfId="8" applyFont="1" applyFill="1" applyBorder="1" applyAlignment="1" applyProtection="1">
      <alignment horizontal="center" vertical="center" wrapText="1"/>
      <protection locked="0"/>
    </xf>
    <xf numFmtId="0" fontId="49" fillId="9" borderId="8" xfId="8" applyFont="1" applyFill="1" applyBorder="1" applyAlignment="1" applyProtection="1">
      <alignment vertical="center" wrapText="1"/>
      <protection locked="0"/>
    </xf>
    <xf numFmtId="14" fontId="21" fillId="9" borderId="0" xfId="8" applyNumberFormat="1" applyFont="1" applyFill="1" applyBorder="1" applyAlignment="1">
      <alignment horizontal="center"/>
    </xf>
    <xf numFmtId="0" fontId="34" fillId="9" borderId="67" xfId="8" applyFont="1" applyFill="1" applyBorder="1" applyAlignment="1">
      <alignment horizontal="center" vertical="center" wrapText="1"/>
    </xf>
    <xf numFmtId="0" fontId="47" fillId="9" borderId="67" xfId="8" applyFont="1" applyFill="1" applyBorder="1" applyAlignment="1">
      <alignment horizontal="left" vertical="center"/>
    </xf>
    <xf numFmtId="14" fontId="21" fillId="13" borderId="72" xfId="8" applyNumberFormat="1" applyFont="1" applyFill="1" applyBorder="1" applyAlignment="1">
      <alignment horizontal="center"/>
    </xf>
    <xf numFmtId="177" fontId="21" fillId="13" borderId="70" xfId="14" applyNumberFormat="1" applyFont="1" applyFill="1" applyBorder="1" applyAlignment="1">
      <alignment horizontal="right" vertical="center"/>
    </xf>
    <xf numFmtId="49" fontId="34" fillId="9" borderId="67" xfId="44" applyNumberFormat="1" applyFont="1" applyFill="1" applyBorder="1" applyAlignment="1">
      <alignment horizontal="center" vertical="center"/>
    </xf>
    <xf numFmtId="49" fontId="48" fillId="9" borderId="67" xfId="47" applyNumberFormat="1" applyFont="1" applyFill="1" applyBorder="1" applyAlignment="1">
      <alignment vertical="center"/>
    </xf>
    <xf numFmtId="177" fontId="21" fillId="13" borderId="68" xfId="45" applyNumberFormat="1" applyFont="1" applyFill="1" applyBorder="1" applyAlignment="1">
      <alignment vertical="center"/>
    </xf>
    <xf numFmtId="0" fontId="21" fillId="20" borderId="67" xfId="8" applyFont="1" applyFill="1" applyBorder="1" applyAlignment="1">
      <alignment horizontal="center"/>
    </xf>
    <xf numFmtId="0" fontId="21" fillId="20" borderId="71" xfId="8" applyFont="1" applyFill="1" applyBorder="1" applyAlignment="1">
      <alignment horizontal="center"/>
    </xf>
    <xf numFmtId="0" fontId="48" fillId="20" borderId="68" xfId="8" applyFont="1" applyFill="1" applyBorder="1" applyAlignment="1" applyProtection="1">
      <alignment horizontal="center" vertical="center" wrapText="1"/>
      <protection locked="0"/>
    </xf>
    <xf numFmtId="0" fontId="48" fillId="20" borderId="68" xfId="8" applyFont="1" applyFill="1" applyBorder="1" applyAlignment="1" applyProtection="1">
      <alignment vertical="center" wrapText="1"/>
      <protection locked="0"/>
    </xf>
    <xf numFmtId="49" fontId="34" fillId="20" borderId="67" xfId="44" applyNumberFormat="1" applyFont="1" applyFill="1" applyBorder="1" applyAlignment="1">
      <alignment horizontal="center" vertical="center"/>
    </xf>
    <xf numFmtId="49" fontId="48" fillId="20" borderId="67" xfId="47" applyNumberFormat="1" applyFont="1" applyFill="1" applyBorder="1" applyAlignment="1">
      <alignment vertical="center"/>
    </xf>
    <xf numFmtId="0" fontId="21" fillId="20" borderId="69" xfId="8" applyFont="1" applyFill="1" applyBorder="1" applyAlignment="1">
      <alignment horizontal="center"/>
    </xf>
    <xf numFmtId="49" fontId="34" fillId="20" borderId="70" xfId="44" applyNumberFormat="1" applyFont="1" applyFill="1" applyBorder="1" applyAlignment="1">
      <alignment horizontal="center" vertical="center"/>
    </xf>
    <xf numFmtId="49" fontId="48" fillId="20" borderId="70" xfId="47" applyNumberFormat="1" applyFont="1" applyFill="1" applyBorder="1" applyAlignment="1">
      <alignment vertical="center"/>
    </xf>
    <xf numFmtId="0" fontId="21" fillId="20" borderId="73" xfId="8" applyFont="1" applyFill="1" applyBorder="1" applyAlignment="1">
      <alignment horizontal="center"/>
    </xf>
    <xf numFmtId="49" fontId="48" fillId="20" borderId="8" xfId="47" applyNumberFormat="1" applyFont="1" applyFill="1" applyBorder="1" applyAlignment="1">
      <alignment horizontal="center" vertical="center"/>
    </xf>
    <xf numFmtId="49" fontId="48" fillId="20" borderId="8" xfId="47" applyNumberFormat="1" applyFont="1" applyFill="1" applyBorder="1" applyAlignment="1">
      <alignment vertical="center"/>
    </xf>
    <xf numFmtId="0" fontId="34" fillId="9" borderId="68" xfId="44" applyFont="1" applyFill="1" applyBorder="1" applyAlignment="1">
      <alignment horizontal="center" vertical="center"/>
    </xf>
    <xf numFmtId="0" fontId="34" fillId="9" borderId="68" xfId="44" applyFont="1" applyFill="1" applyBorder="1" applyAlignment="1">
      <alignment vertical="center"/>
    </xf>
    <xf numFmtId="49" fontId="48" fillId="20" borderId="70" xfId="47" applyNumberFormat="1" applyFont="1" applyFill="1" applyBorder="1" applyAlignment="1">
      <alignment horizontal="center" vertical="center"/>
    </xf>
    <xf numFmtId="0" fontId="48" fillId="13" borderId="67" xfId="8" quotePrefix="1" applyFont="1" applyFill="1" applyBorder="1" applyAlignment="1" applyProtection="1">
      <alignment horizontal="center" vertical="center" wrapText="1"/>
      <protection locked="0"/>
    </xf>
    <xf numFmtId="0" fontId="34" fillId="20" borderId="8" xfId="44" applyFont="1" applyFill="1" applyBorder="1" applyAlignment="1">
      <alignment horizontal="center" vertical="center"/>
    </xf>
    <xf numFmtId="0" fontId="34" fillId="9" borderId="70" xfId="44" applyFont="1" applyFill="1" applyBorder="1" applyAlignment="1">
      <alignment horizontal="center" vertical="center"/>
    </xf>
    <xf numFmtId="0" fontId="34" fillId="9" borderId="70" xfId="44" applyFont="1" applyFill="1" applyBorder="1" applyAlignment="1">
      <alignment vertical="center"/>
    </xf>
    <xf numFmtId="177" fontId="34" fillId="20" borderId="70" xfId="44" applyNumberFormat="1" applyFont="1" applyFill="1" applyBorder="1" applyAlignment="1">
      <alignment vertical="center"/>
    </xf>
    <xf numFmtId="177" fontId="21" fillId="20" borderId="70" xfId="47" applyNumberFormat="1" applyFont="1" applyFill="1" applyBorder="1" applyAlignment="1">
      <alignment vertical="center"/>
    </xf>
    <xf numFmtId="49" fontId="34" fillId="20" borderId="0" xfId="44" applyNumberFormat="1" applyFont="1" applyFill="1" applyBorder="1" applyAlignment="1">
      <alignment horizontal="center" vertical="center"/>
    </xf>
    <xf numFmtId="0" fontId="34" fillId="20" borderId="0" xfId="44" applyFont="1" applyFill="1" applyBorder="1" applyAlignment="1">
      <alignment vertical="center"/>
    </xf>
    <xf numFmtId="177" fontId="21" fillId="13" borderId="67" xfId="47" applyNumberFormat="1" applyFont="1" applyFill="1" applyBorder="1" applyAlignment="1">
      <alignment vertical="center"/>
    </xf>
    <xf numFmtId="49" fontId="21" fillId="13" borderId="0" xfId="8" applyNumberFormat="1" applyFont="1" applyFill="1" applyBorder="1" applyAlignment="1">
      <alignment horizontal="center" vertical="center"/>
    </xf>
    <xf numFmtId="0" fontId="21" fillId="13" borderId="0" xfId="8" applyFont="1" applyFill="1" applyBorder="1" applyAlignment="1">
      <alignment vertical="center" wrapText="1"/>
    </xf>
    <xf numFmtId="49" fontId="34" fillId="9" borderId="0" xfId="44" applyNumberFormat="1" applyFont="1" applyFill="1" applyAlignment="1">
      <alignment horizontal="center"/>
    </xf>
    <xf numFmtId="0" fontId="34" fillId="9" borderId="0" xfId="44" applyFont="1" applyFill="1"/>
    <xf numFmtId="0" fontId="34" fillId="13" borderId="67" xfId="44" applyFont="1" applyFill="1" applyBorder="1"/>
    <xf numFmtId="49" fontId="34" fillId="13" borderId="67" xfId="44" applyNumberFormat="1" applyFont="1" applyFill="1" applyBorder="1" applyAlignment="1">
      <alignment horizontal="center"/>
    </xf>
    <xf numFmtId="177" fontId="21" fillId="0" borderId="70" xfId="8" applyNumberFormat="1" applyFont="1" applyFill="1" applyBorder="1" applyAlignment="1">
      <alignment vertical="center"/>
    </xf>
    <xf numFmtId="177" fontId="12" fillId="13" borderId="67" xfId="46" applyNumberFormat="1" applyFont="1" applyFill="1" applyBorder="1"/>
    <xf numFmtId="49" fontId="50" fillId="9" borderId="0" xfId="44" applyNumberFormat="1" applyFont="1" applyFill="1" applyAlignment="1">
      <alignment horizontal="center"/>
    </xf>
    <xf numFmtId="0" fontId="34" fillId="20" borderId="67" xfId="44" applyFont="1" applyFill="1" applyBorder="1"/>
    <xf numFmtId="49" fontId="34" fillId="20" borderId="67" xfId="44" applyNumberFormat="1" applyFont="1" applyFill="1" applyBorder="1" applyAlignment="1">
      <alignment horizontal="center"/>
    </xf>
    <xf numFmtId="177" fontId="12" fillId="20" borderId="67" xfId="46" applyNumberFormat="1" applyFont="1" applyFill="1" applyBorder="1"/>
    <xf numFmtId="49" fontId="34" fillId="9" borderId="67" xfId="44" applyNumberFormat="1" applyFont="1" applyFill="1" applyBorder="1" applyAlignment="1">
      <alignment horizontal="center"/>
    </xf>
    <xf numFmtId="0" fontId="34" fillId="9" borderId="67" xfId="44" applyFont="1" applyFill="1" applyBorder="1"/>
    <xf numFmtId="49" fontId="34" fillId="9" borderId="8" xfId="44" applyNumberFormat="1" applyFont="1" applyFill="1" applyBorder="1" applyAlignment="1">
      <alignment horizontal="center"/>
    </xf>
    <xf numFmtId="0" fontId="34" fillId="9" borderId="8" xfId="44" applyFont="1" applyFill="1" applyBorder="1"/>
    <xf numFmtId="49" fontId="34" fillId="9" borderId="70" xfId="44" applyNumberFormat="1" applyFont="1" applyFill="1" applyBorder="1" applyAlignment="1">
      <alignment horizontal="center"/>
    </xf>
    <xf numFmtId="0" fontId="34" fillId="9" borderId="70" xfId="44" applyFont="1" applyFill="1" applyBorder="1"/>
    <xf numFmtId="49" fontId="49" fillId="9" borderId="0" xfId="44" applyNumberFormat="1" applyFont="1" applyFill="1" applyAlignment="1">
      <alignment horizontal="center"/>
    </xf>
    <xf numFmtId="0" fontId="49" fillId="9" borderId="0" xfId="44" applyFont="1" applyFill="1"/>
    <xf numFmtId="177" fontId="40" fillId="20" borderId="67" xfId="46" applyNumberFormat="1" applyFont="1" applyFill="1" applyBorder="1"/>
    <xf numFmtId="177" fontId="49" fillId="9" borderId="70" xfId="8" applyNumberFormat="1" applyFont="1" applyFill="1" applyBorder="1" applyAlignment="1">
      <alignment vertical="center"/>
    </xf>
    <xf numFmtId="49" fontId="34" fillId="22" borderId="67" xfId="44" applyNumberFormat="1" applyFont="1" applyFill="1" applyBorder="1"/>
    <xf numFmtId="177" fontId="21" fillId="22" borderId="70" xfId="8" applyNumberFormat="1" applyFont="1" applyFill="1" applyBorder="1" applyAlignment="1">
      <alignment vertical="center"/>
    </xf>
    <xf numFmtId="49" fontId="34" fillId="9" borderId="67" xfId="44" applyNumberFormat="1" applyFont="1" applyFill="1" applyBorder="1"/>
    <xf numFmtId="0" fontId="44" fillId="0" borderId="0" xfId="44" applyFont="1"/>
    <xf numFmtId="0" fontId="34" fillId="9" borderId="0" xfId="44" applyFont="1" applyFill="1" applyBorder="1"/>
    <xf numFmtId="49" fontId="34" fillId="9" borderId="0" xfId="44" applyNumberFormat="1" applyFont="1" applyFill="1" applyBorder="1" applyAlignment="1">
      <alignment horizontal="center"/>
    </xf>
    <xf numFmtId="177" fontId="21" fillId="9" borderId="0" xfId="8" applyNumberFormat="1" applyFont="1" applyFill="1" applyBorder="1" applyAlignment="1">
      <alignment vertical="center"/>
    </xf>
    <xf numFmtId="0" fontId="21" fillId="20" borderId="0" xfId="8" applyFont="1" applyFill="1" applyBorder="1" applyAlignment="1">
      <alignment horizontal="center"/>
    </xf>
    <xf numFmtId="0" fontId="34" fillId="20" borderId="67" xfId="44" applyFont="1" applyFill="1" applyBorder="1" applyAlignment="1">
      <alignment horizontal="left"/>
    </xf>
    <xf numFmtId="177" fontId="49" fillId="9" borderId="67" xfId="8" applyNumberFormat="1" applyFont="1" applyFill="1" applyBorder="1" applyAlignment="1">
      <alignment vertical="center"/>
    </xf>
    <xf numFmtId="177" fontId="49" fillId="9" borderId="7" xfId="8" applyNumberFormat="1" applyFont="1" applyFill="1" applyBorder="1" applyAlignment="1">
      <alignment vertical="center"/>
    </xf>
    <xf numFmtId="177" fontId="21" fillId="9" borderId="74" xfId="8" applyNumberFormat="1" applyFont="1" applyFill="1" applyBorder="1" applyAlignment="1">
      <alignment vertical="center"/>
    </xf>
    <xf numFmtId="177" fontId="21" fillId="9" borderId="75" xfId="8" applyNumberFormat="1" applyFont="1" applyFill="1" applyBorder="1" applyAlignment="1">
      <alignment vertical="center"/>
    </xf>
    <xf numFmtId="0" fontId="51" fillId="0" borderId="0" xfId="0" applyFont="1"/>
    <xf numFmtId="165" fontId="34" fillId="0" borderId="0" xfId="44" quotePrefix="1" applyNumberFormat="1" applyFont="1"/>
    <xf numFmtId="0" fontId="4" fillId="9" borderId="0" xfId="44" applyFill="1" applyAlignment="1">
      <alignment horizontal="center"/>
    </xf>
    <xf numFmtId="0" fontId="4" fillId="9" borderId="0" xfId="44" applyFill="1"/>
    <xf numFmtId="165" fontId="21" fillId="22" borderId="0" xfId="13" applyNumberFormat="1" applyFont="1" applyFill="1" applyBorder="1" applyAlignment="1">
      <alignment horizontal="center" vertical="center"/>
    </xf>
    <xf numFmtId="165" fontId="21" fillId="22" borderId="0" xfId="13" applyNumberFormat="1" applyFont="1" applyFill="1" applyBorder="1" applyAlignment="1">
      <alignment horizontal="left" vertical="center"/>
    </xf>
    <xf numFmtId="0" fontId="16" fillId="0" borderId="55" xfId="5" quotePrefix="1" applyBorder="1" applyAlignment="1" applyProtection="1">
      <alignment horizontal="right" vertical="top"/>
      <protection locked="0"/>
    </xf>
    <xf numFmtId="0" fontId="15" fillId="3" borderId="0" xfId="3" quotePrefix="1" applyNumberFormat="1" applyFont="1" applyBorder="1" applyAlignment="1"/>
    <xf numFmtId="10" fontId="12" fillId="0" borderId="0" xfId="1" applyNumberFormat="1" applyFont="1" applyFill="1"/>
    <xf numFmtId="177" fontId="49" fillId="22" borderId="8" xfId="13" applyNumberFormat="1" applyFont="1" applyFill="1" applyBorder="1" applyAlignment="1">
      <alignment vertical="center"/>
    </xf>
    <xf numFmtId="177" fontId="49" fillId="20" borderId="70" xfId="8" applyNumberFormat="1" applyFont="1" applyFill="1" applyBorder="1" applyAlignment="1">
      <alignment vertical="center"/>
    </xf>
    <xf numFmtId="0" fontId="41" fillId="0" borderId="0" xfId="0" applyFont="1"/>
    <xf numFmtId="0" fontId="52" fillId="0" borderId="0" xfId="0" applyFont="1" applyAlignment="1">
      <alignment horizontal="right"/>
    </xf>
    <xf numFmtId="0" fontId="53" fillId="0" borderId="0" xfId="0" applyFont="1" applyAlignment="1" applyProtection="1">
      <alignment vertical="top" readingOrder="1"/>
      <protection locked="0"/>
    </xf>
    <xf numFmtId="0" fontId="54" fillId="0" borderId="0" xfId="0" applyFont="1"/>
    <xf numFmtId="0" fontId="41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41" fillId="0" borderId="0" xfId="0" applyFont="1" applyFill="1"/>
    <xf numFmtId="0" fontId="48" fillId="0" borderId="52" xfId="0" applyFont="1" applyFill="1" applyBorder="1" applyAlignment="1" applyProtection="1">
      <alignment vertical="top" wrapText="1" readingOrder="1"/>
      <protection locked="0"/>
    </xf>
    <xf numFmtId="0" fontId="48" fillId="0" borderId="54" xfId="0" applyFont="1" applyFill="1" applyBorder="1" applyAlignment="1" applyProtection="1">
      <alignment vertical="top" readingOrder="1"/>
      <protection locked="0"/>
    </xf>
    <xf numFmtId="0" fontId="48" fillId="0" borderId="54" xfId="0" applyFont="1" applyFill="1" applyBorder="1" applyAlignment="1" applyProtection="1">
      <alignment vertical="top" wrapText="1" readingOrder="1"/>
      <protection locked="0"/>
    </xf>
    <xf numFmtId="0" fontId="48" fillId="0" borderId="54" xfId="0" applyFont="1" applyFill="1" applyBorder="1" applyAlignment="1" applyProtection="1">
      <alignment horizontal="center" vertical="center" wrapText="1" readingOrder="1"/>
      <protection locked="0"/>
    </xf>
    <xf numFmtId="0" fontId="48" fillId="0" borderId="54" xfId="0" applyFont="1" applyFill="1" applyBorder="1" applyAlignment="1" applyProtection="1">
      <alignment horizontal="center" vertical="center" wrapText="1"/>
      <protection locked="0"/>
    </xf>
    <xf numFmtId="0" fontId="41" fillId="0" borderId="53" xfId="0" applyFont="1" applyFill="1" applyBorder="1" applyAlignment="1" applyProtection="1">
      <alignment vertical="top" wrapText="1"/>
      <protection locked="0"/>
    </xf>
    <xf numFmtId="0" fontId="41" fillId="0" borderId="55" xfId="0" applyFont="1" applyFill="1" applyBorder="1" applyAlignment="1" applyProtection="1">
      <alignment vertical="top" wrapText="1"/>
      <protection locked="0"/>
    </xf>
    <xf numFmtId="0" fontId="48" fillId="0" borderId="52" xfId="0" applyFont="1" applyFill="1" applyBorder="1" applyAlignment="1" applyProtection="1">
      <alignment vertical="center" wrapText="1"/>
      <protection locked="0"/>
    </xf>
    <xf numFmtId="0" fontId="48" fillId="0" borderId="54" xfId="0" applyFont="1" applyFill="1" applyBorder="1" applyAlignment="1" applyProtection="1">
      <alignment vertical="center"/>
      <protection locked="0"/>
    </xf>
    <xf numFmtId="0" fontId="48" fillId="0" borderId="54" xfId="0" applyFont="1" applyFill="1" applyBorder="1" applyAlignment="1" applyProtection="1">
      <alignment vertical="center" wrapText="1"/>
      <protection locked="0"/>
    </xf>
    <xf numFmtId="0" fontId="56" fillId="9" borderId="23" xfId="0" applyFont="1" applyFill="1" applyBorder="1" applyAlignment="1">
      <alignment horizontal="center" vertical="center" wrapText="1"/>
    </xf>
    <xf numFmtId="0" fontId="12" fillId="20" borderId="33" xfId="0" applyFont="1" applyFill="1" applyBorder="1"/>
    <xf numFmtId="0" fontId="12" fillId="20" borderId="51" xfId="0" applyFont="1" applyFill="1" applyBorder="1" applyAlignment="1">
      <alignment horizontal="center"/>
    </xf>
    <xf numFmtId="0" fontId="12" fillId="20" borderId="35" xfId="0" applyFont="1" applyFill="1" applyBorder="1" applyAlignment="1">
      <alignment horizontal="center"/>
    </xf>
    <xf numFmtId="0" fontId="12" fillId="20" borderId="78" xfId="0" applyFont="1" applyFill="1" applyBorder="1"/>
    <xf numFmtId="0" fontId="12" fillId="20" borderId="21" xfId="0" applyFont="1" applyFill="1" applyBorder="1" applyAlignment="1">
      <alignment horizontal="center"/>
    </xf>
    <xf numFmtId="0" fontId="12" fillId="20" borderId="22" xfId="0" applyFont="1" applyFill="1" applyBorder="1" applyAlignment="1">
      <alignment horizontal="center"/>
    </xf>
    <xf numFmtId="165" fontId="12" fillId="8" borderId="0" xfId="0" applyNumberFormat="1" applyFont="1" applyFill="1" applyAlignment="1">
      <alignment horizontal="center" vertical="center"/>
    </xf>
    <xf numFmtId="0" fontId="12" fillId="20" borderId="79" xfId="0" applyFont="1" applyFill="1" applyBorder="1" applyAlignment="1">
      <alignment horizontal="center"/>
    </xf>
    <xf numFmtId="0" fontId="12" fillId="20" borderId="80" xfId="0" applyFont="1" applyFill="1" applyBorder="1" applyAlignment="1">
      <alignment horizontal="center"/>
    </xf>
    <xf numFmtId="0" fontId="12" fillId="20" borderId="81" xfId="0" applyFont="1" applyFill="1" applyBorder="1"/>
    <xf numFmtId="0" fontId="12" fillId="0" borderId="0" xfId="0" applyFont="1" applyFill="1"/>
    <xf numFmtId="165" fontId="16" fillId="0" borderId="0" xfId="5" applyNumberFormat="1" applyAlignment="1">
      <alignment horizontal="right" vertical="center" readingOrder="1"/>
    </xf>
    <xf numFmtId="10" fontId="16" fillId="0" borderId="0" xfId="13" applyNumberFormat="1" applyFont="1" applyAlignment="1">
      <alignment vertical="center" wrapText="1" readingOrder="1"/>
    </xf>
    <xf numFmtId="10" fontId="16" fillId="0" borderId="0" xfId="8" applyNumberFormat="1" applyFont="1" applyAlignment="1">
      <alignment vertical="center" readingOrder="1"/>
    </xf>
    <xf numFmtId="0" fontId="16" fillId="0" borderId="0" xfId="5" applyAlignment="1">
      <alignment vertical="center" readingOrder="1"/>
    </xf>
    <xf numFmtId="9" fontId="16" fillId="0" borderId="46" xfId="5" applyNumberFormat="1" applyFill="1" applyBorder="1" applyAlignment="1" applyProtection="1">
      <alignment horizontal="left" vertical="center" wrapText="1"/>
      <protection locked="0"/>
    </xf>
    <xf numFmtId="0" fontId="16" fillId="0" borderId="0" xfId="5" applyFill="1" applyAlignment="1">
      <alignment horizontal="left" vertical="center"/>
    </xf>
    <xf numFmtId="0" fontId="17" fillId="7" borderId="54" xfId="5" applyFont="1" applyFill="1" applyBorder="1" applyAlignment="1" applyProtection="1">
      <alignment horizontal="center" vertical="center" wrapText="1" readingOrder="1"/>
      <protection locked="0"/>
    </xf>
    <xf numFmtId="0" fontId="21" fillId="0" borderId="0" xfId="5" applyFont="1" applyAlignment="1">
      <alignment horizontal="center" vertical="center" wrapText="1"/>
    </xf>
    <xf numFmtId="0" fontId="16" fillId="0" borderId="0" xfId="5" applyAlignment="1">
      <alignment horizontal="center" vertical="center"/>
    </xf>
    <xf numFmtId="0" fontId="48" fillId="0" borderId="45" xfId="5" applyFont="1" applyBorder="1" applyAlignment="1" applyProtection="1">
      <alignment vertical="top" wrapText="1" readingOrder="1"/>
      <protection locked="0"/>
    </xf>
    <xf numFmtId="0" fontId="21" fillId="0" borderId="46" xfId="5" applyFont="1" applyBorder="1" applyAlignment="1" applyProtection="1">
      <alignment vertical="top" wrapText="1" readingOrder="1"/>
      <protection locked="0"/>
    </xf>
    <xf numFmtId="0" fontId="35" fillId="8" borderId="54" xfId="5" applyFont="1" applyFill="1" applyBorder="1" applyAlignment="1" applyProtection="1">
      <alignment horizontal="center" vertical="center" wrapText="1" readingOrder="1"/>
      <protection locked="0"/>
    </xf>
    <xf numFmtId="0" fontId="35" fillId="8" borderId="55" xfId="5" applyFont="1" applyFill="1" applyBorder="1" applyAlignment="1" applyProtection="1">
      <alignment horizontal="center" vertical="center" wrapText="1"/>
      <protection locked="0"/>
    </xf>
    <xf numFmtId="0" fontId="16" fillId="8" borderId="0" xfId="8" applyFont="1" applyFill="1" applyAlignment="1">
      <alignment horizontal="center" vertical="center" wrapText="1"/>
    </xf>
    <xf numFmtId="0" fontId="35" fillId="8" borderId="0" xfId="5" applyFont="1" applyFill="1" applyAlignment="1">
      <alignment horizontal="center" vertical="center" wrapText="1"/>
    </xf>
    <xf numFmtId="0" fontId="21" fillId="20" borderId="72" xfId="8" applyFont="1" applyFill="1" applyBorder="1" applyAlignment="1">
      <alignment horizontal="center"/>
    </xf>
    <xf numFmtId="0" fontId="21" fillId="20" borderId="72" xfId="8" applyFont="1" applyFill="1" applyBorder="1" applyAlignment="1">
      <alignment horizontal="left"/>
    </xf>
    <xf numFmtId="0" fontId="21" fillId="20" borderId="70" xfId="8" applyFont="1" applyFill="1" applyBorder="1" applyAlignment="1">
      <alignment horizontal="center" vertical="center"/>
    </xf>
    <xf numFmtId="0" fontId="21" fillId="20" borderId="70" xfId="8" applyFont="1" applyFill="1" applyBorder="1" applyAlignment="1">
      <alignment vertical="center"/>
    </xf>
    <xf numFmtId="177" fontId="21" fillId="20" borderId="70" xfId="14" applyNumberFormat="1" applyFont="1" applyFill="1" applyBorder="1" applyAlignment="1">
      <alignment horizontal="center" vertical="center"/>
    </xf>
    <xf numFmtId="0" fontId="48" fillId="20" borderId="70" xfId="8" applyFont="1" applyFill="1" applyBorder="1" applyAlignment="1" applyProtection="1">
      <alignment horizontal="center" vertical="center" wrapText="1"/>
      <protection locked="0"/>
    </xf>
    <xf numFmtId="0" fontId="48" fillId="20" borderId="70" xfId="8" applyFont="1" applyFill="1" applyBorder="1" applyAlignment="1" applyProtection="1">
      <alignment vertical="center" wrapText="1"/>
      <protection locked="0"/>
    </xf>
    <xf numFmtId="0" fontId="34" fillId="20" borderId="67" xfId="44" applyFont="1" applyFill="1" applyBorder="1" applyAlignment="1">
      <alignment horizontal="center" vertical="center"/>
    </xf>
    <xf numFmtId="0" fontId="34" fillId="20" borderId="67" xfId="44" applyFont="1" applyFill="1" applyBorder="1" applyAlignment="1">
      <alignment vertical="center"/>
    </xf>
    <xf numFmtId="0" fontId="34" fillId="20" borderId="8" xfId="12" applyFont="1" applyFill="1" applyBorder="1" applyAlignment="1">
      <alignment horizontal="center" vertical="center"/>
    </xf>
    <xf numFmtId="0" fontId="34" fillId="20" borderId="8" xfId="12" applyFont="1" applyFill="1" applyBorder="1" applyAlignment="1">
      <alignment vertical="center"/>
    </xf>
    <xf numFmtId="0" fontId="32" fillId="18" borderId="0" xfId="0" applyFont="1" applyFill="1" applyBorder="1" applyAlignment="1">
      <alignment horizontal="left" vertical="center"/>
    </xf>
    <xf numFmtId="0" fontId="12" fillId="9" borderId="82" xfId="0" applyFont="1" applyFill="1" applyBorder="1"/>
    <xf numFmtId="0" fontId="32" fillId="18" borderId="0" xfId="0" applyFont="1" applyFill="1" applyBorder="1" applyAlignment="1">
      <alignment horizontal="right"/>
    </xf>
    <xf numFmtId="0" fontId="32" fillId="18" borderId="0" xfId="0" applyFont="1" applyFill="1" applyBorder="1" applyAlignment="1">
      <alignment horizontal="right" vertical="center"/>
    </xf>
    <xf numFmtId="0" fontId="32" fillId="18" borderId="0" xfId="0" applyFont="1" applyFill="1" applyAlignment="1">
      <alignment horizontal="right"/>
    </xf>
    <xf numFmtId="0" fontId="55" fillId="8" borderId="54" xfId="0" applyFont="1" applyFill="1" applyBorder="1" applyAlignment="1" applyProtection="1">
      <alignment horizontal="center" vertical="center" wrapText="1"/>
      <protection locked="0"/>
    </xf>
    <xf numFmtId="165" fontId="48" fillId="0" borderId="84" xfId="0" applyNumberFormat="1" applyFont="1" applyFill="1" applyBorder="1" applyAlignment="1" applyProtection="1">
      <alignment vertical="center" wrapText="1"/>
      <protection locked="0"/>
    </xf>
    <xf numFmtId="165" fontId="48" fillId="0" borderId="84" xfId="0" applyNumberFormat="1" applyFont="1" applyFill="1" applyBorder="1" applyAlignment="1" applyProtection="1">
      <alignment vertical="top" wrapText="1" readingOrder="1"/>
      <protection locked="0"/>
    </xf>
    <xf numFmtId="165" fontId="34" fillId="0" borderId="6" xfId="0" applyNumberFormat="1" applyFont="1" applyBorder="1" applyAlignment="1">
      <alignment vertical="center"/>
    </xf>
    <xf numFmtId="9" fontId="34" fillId="0" borderId="6" xfId="13" applyFont="1" applyBorder="1" applyAlignment="1">
      <alignment horizontal="center" vertical="center"/>
    </xf>
    <xf numFmtId="165" fontId="34" fillId="0" borderId="6" xfId="0" applyNumberFormat="1" applyFont="1" applyBorder="1"/>
    <xf numFmtId="9" fontId="34" fillId="0" borderId="6" xfId="13" applyFont="1" applyBorder="1" applyAlignment="1">
      <alignment horizontal="center"/>
    </xf>
    <xf numFmtId="0" fontId="59" fillId="8" borderId="6" xfId="0" applyFont="1" applyFill="1" applyBorder="1" applyAlignment="1">
      <alignment horizontal="center" vertical="center" wrapText="1"/>
    </xf>
    <xf numFmtId="0" fontId="55" fillId="8" borderId="54" xfId="0" applyFont="1" applyFill="1" applyBorder="1" applyAlignment="1" applyProtection="1">
      <alignment horizontal="center" vertical="center" wrapText="1" readingOrder="1"/>
      <protection locked="0"/>
    </xf>
    <xf numFmtId="0" fontId="55" fillId="8" borderId="54" xfId="0" applyFont="1" applyFill="1" applyBorder="1" applyAlignment="1" applyProtection="1">
      <alignment horizontal="center" vertical="center" readingOrder="1"/>
      <protection locked="0"/>
    </xf>
    <xf numFmtId="0" fontId="55" fillId="8" borderId="84" xfId="0" applyFont="1" applyFill="1" applyBorder="1" applyAlignment="1" applyProtection="1">
      <alignment horizontal="center" vertical="center" wrapText="1" readingOrder="1"/>
      <protection locked="0"/>
    </xf>
    <xf numFmtId="0" fontId="59" fillId="20" borderId="39" xfId="0" applyFont="1" applyFill="1" applyBorder="1" applyAlignment="1">
      <alignment horizontal="left" vertical="center"/>
    </xf>
    <xf numFmtId="0" fontId="59" fillId="20" borderId="40" xfId="0" applyFont="1" applyFill="1" applyBorder="1" applyAlignment="1">
      <alignment horizontal="center" vertical="center"/>
    </xf>
    <xf numFmtId="0" fontId="59" fillId="20" borderId="40" xfId="0" applyFont="1" applyFill="1" applyBorder="1" applyAlignment="1">
      <alignment horizontal="center" vertical="center" wrapText="1"/>
    </xf>
    <xf numFmtId="0" fontId="59" fillId="19" borderId="76" xfId="0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left" vertical="center"/>
    </xf>
    <xf numFmtId="165" fontId="34" fillId="0" borderId="0" xfId="0" applyNumberFormat="1" applyFont="1" applyBorder="1" applyAlignment="1">
      <alignment vertical="center"/>
    </xf>
    <xf numFmtId="9" fontId="34" fillId="0" borderId="36" xfId="13" applyFont="1" applyBorder="1" applyAlignment="1">
      <alignment horizontal="center" vertical="center"/>
    </xf>
    <xf numFmtId="0" fontId="34" fillId="0" borderId="32" xfId="0" applyFont="1" applyBorder="1" applyAlignment="1">
      <alignment horizontal="left"/>
    </xf>
    <xf numFmtId="165" fontId="34" fillId="0" borderId="0" xfId="0" applyNumberFormat="1" applyFont="1" applyBorder="1"/>
    <xf numFmtId="9" fontId="34" fillId="0" borderId="36" xfId="13" applyFont="1" applyBorder="1" applyAlignment="1">
      <alignment horizontal="center"/>
    </xf>
    <xf numFmtId="0" fontId="59" fillId="20" borderId="32" xfId="0" applyFont="1" applyFill="1" applyBorder="1" applyAlignment="1">
      <alignment horizontal="left"/>
    </xf>
    <xf numFmtId="165" fontId="59" fillId="20" borderId="0" xfId="0" applyNumberFormat="1" applyFont="1" applyFill="1" applyBorder="1"/>
    <xf numFmtId="9" fontId="59" fillId="20" borderId="36" xfId="13" applyFont="1" applyFill="1" applyBorder="1" applyAlignment="1">
      <alignment horizontal="center"/>
    </xf>
    <xf numFmtId="0" fontId="34" fillId="0" borderId="42" xfId="0" applyFont="1" applyBorder="1" applyAlignment="1">
      <alignment horizontal="left" vertical="center"/>
    </xf>
    <xf numFmtId="0" fontId="34" fillId="0" borderId="77" xfId="0" applyFont="1" applyBorder="1" applyAlignment="1">
      <alignment vertical="center"/>
    </xf>
    <xf numFmtId="167" fontId="34" fillId="0" borderId="43" xfId="0" applyNumberFormat="1" applyFont="1" applyBorder="1" applyAlignment="1">
      <alignment horizontal="center" vertical="center"/>
    </xf>
    <xf numFmtId="0" fontId="12" fillId="9" borderId="51" xfId="0" applyFont="1" applyFill="1" applyBorder="1"/>
    <xf numFmtId="165" fontId="12" fillId="9" borderId="83" xfId="0" applyNumberFormat="1" applyFont="1" applyFill="1" applyBorder="1"/>
    <xf numFmtId="165" fontId="12" fillId="9" borderId="13" xfId="0" applyNumberFormat="1" applyFont="1" applyFill="1" applyBorder="1"/>
    <xf numFmtId="165" fontId="12" fillId="9" borderId="16" xfId="0" applyNumberFormat="1" applyFont="1" applyFill="1" applyBorder="1"/>
    <xf numFmtId="0" fontId="30" fillId="8" borderId="40" xfId="7" applyFont="1" applyFill="1" applyBorder="1" applyAlignment="1">
      <alignment horizontal="center" vertical="center" wrapText="1"/>
    </xf>
    <xf numFmtId="0" fontId="30" fillId="8" borderId="40" xfId="8" applyFont="1" applyFill="1" applyBorder="1" applyAlignment="1">
      <alignment horizontal="center" vertical="center" wrapText="1"/>
    </xf>
    <xf numFmtId="0" fontId="12" fillId="0" borderId="41" xfId="0" applyFont="1" applyBorder="1"/>
    <xf numFmtId="165" fontId="12" fillId="0" borderId="36" xfId="0" applyNumberFormat="1" applyFont="1" applyBorder="1"/>
    <xf numFmtId="165" fontId="12" fillId="0" borderId="77" xfId="0" applyNumberFormat="1" applyFont="1" applyBorder="1"/>
    <xf numFmtId="165" fontId="12" fillId="0" borderId="43" xfId="0" applyNumberFormat="1" applyFont="1" applyBorder="1"/>
    <xf numFmtId="0" fontId="30" fillId="0" borderId="0" xfId="0" applyFont="1" applyFill="1" applyBorder="1"/>
    <xf numFmtId="0" fontId="30" fillId="0" borderId="21" xfId="0" applyFont="1" applyFill="1" applyBorder="1" applyAlignment="1">
      <alignment horizontal="right"/>
    </xf>
    <xf numFmtId="0" fontId="12" fillId="0" borderId="78" xfId="0" applyFont="1" applyBorder="1"/>
    <xf numFmtId="0" fontId="30" fillId="0" borderId="21" xfId="0" applyFont="1" applyFill="1" applyBorder="1"/>
    <xf numFmtId="170" fontId="30" fillId="0" borderId="21" xfId="1" applyNumberFormat="1" applyFont="1" applyFill="1" applyBorder="1"/>
    <xf numFmtId="170" fontId="30" fillId="0" borderId="22" xfId="1" applyNumberFormat="1" applyFont="1" applyFill="1" applyBorder="1"/>
    <xf numFmtId="10" fontId="30" fillId="0" borderId="21" xfId="1" applyNumberFormat="1" applyFont="1" applyFill="1" applyBorder="1"/>
    <xf numFmtId="10" fontId="30" fillId="0" borderId="22" xfId="1" applyNumberFormat="1" applyFont="1" applyFill="1" applyBorder="1"/>
    <xf numFmtId="0" fontId="12" fillId="0" borderId="78" xfId="0" applyFont="1" applyFill="1" applyBorder="1"/>
    <xf numFmtId="10" fontId="12" fillId="0" borderId="21" xfId="0" applyNumberFormat="1" applyFont="1" applyFill="1" applyBorder="1"/>
    <xf numFmtId="10" fontId="12" fillId="0" borderId="21" xfId="1" applyNumberFormat="1" applyFont="1" applyFill="1" applyBorder="1"/>
    <xf numFmtId="10" fontId="12" fillId="0" borderId="22" xfId="1" applyNumberFormat="1" applyFont="1" applyFill="1" applyBorder="1"/>
    <xf numFmtId="0" fontId="12" fillId="0" borderId="21" xfId="0" applyFont="1" applyFill="1" applyBorder="1"/>
    <xf numFmtId="165" fontId="12" fillId="0" borderId="21" xfId="0" applyNumberFormat="1" applyFont="1" applyFill="1" applyBorder="1"/>
    <xf numFmtId="165" fontId="12" fillId="0" borderId="22" xfId="0" applyNumberFormat="1" applyFont="1" applyFill="1" applyBorder="1"/>
    <xf numFmtId="0" fontId="12" fillId="0" borderId="41" xfId="0" applyFont="1" applyBorder="1" applyAlignment="1">
      <alignment horizontal="center" vertical="center"/>
    </xf>
    <xf numFmtId="0" fontId="12" fillId="8" borderId="0" xfId="0" applyFont="1" applyFill="1" applyBorder="1"/>
    <xf numFmtId="165" fontId="12" fillId="8" borderId="36" xfId="0" applyNumberFormat="1" applyFont="1" applyFill="1" applyBorder="1"/>
    <xf numFmtId="0" fontId="12" fillId="0" borderId="42" xfId="0" applyFont="1" applyBorder="1" applyAlignment="1">
      <alignment horizontal="right"/>
    </xf>
    <xf numFmtId="0" fontId="12" fillId="8" borderId="39" xfId="0" applyFont="1" applyFill="1" applyBorder="1"/>
    <xf numFmtId="0" fontId="12" fillId="8" borderId="32" xfId="0" applyFont="1" applyFill="1" applyBorder="1" applyAlignment="1">
      <alignment horizontal="center"/>
    </xf>
    <xf numFmtId="0" fontId="12" fillId="8" borderId="42" xfId="0" applyFont="1" applyFill="1" applyBorder="1"/>
    <xf numFmtId="0" fontId="61" fillId="0" borderId="0" xfId="0" applyFont="1"/>
    <xf numFmtId="0" fontId="12" fillId="8" borderId="0" xfId="0" applyFont="1" applyFill="1" applyAlignment="1">
      <alignment horizontal="center" vertical="center" wrapText="1"/>
    </xf>
    <xf numFmtId="0" fontId="12" fillId="8" borderId="0" xfId="0" applyFont="1" applyFill="1" applyAlignment="1">
      <alignment horizontal="center" vertical="center"/>
    </xf>
    <xf numFmtId="0" fontId="12" fillId="8" borderId="32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0" fontId="12" fillId="8" borderId="36" xfId="0" applyFont="1" applyFill="1" applyBorder="1" applyAlignment="1">
      <alignment horizontal="center" vertical="center" wrapText="1"/>
    </xf>
    <xf numFmtId="0" fontId="63" fillId="0" borderId="0" xfId="0" applyFont="1"/>
    <xf numFmtId="0" fontId="26" fillId="0" borderId="0" xfId="0" applyFont="1" applyBorder="1"/>
    <xf numFmtId="165" fontId="15" fillId="25" borderId="3" xfId="4" applyNumberFormat="1" applyFont="1" applyFill="1">
      <alignment horizontal="right" vertical="center"/>
    </xf>
    <xf numFmtId="0" fontId="32" fillId="24" borderId="1" xfId="3" quotePrefix="1" applyNumberFormat="1" applyFont="1" applyFill="1" applyBorder="1" applyAlignment="1"/>
    <xf numFmtId="0" fontId="32" fillId="24" borderId="1" xfId="3" quotePrefix="1" applyNumberFormat="1" applyFont="1" applyFill="1" applyAlignment="1"/>
    <xf numFmtId="165" fontId="32" fillId="25" borderId="4" xfId="4" applyNumberFormat="1" applyFont="1" applyFill="1" applyBorder="1">
      <alignment horizontal="right" vertical="center"/>
    </xf>
    <xf numFmtId="165" fontId="32" fillId="25" borderId="60" xfId="4" applyNumberFormat="1" applyFont="1" applyFill="1" applyBorder="1">
      <alignment horizontal="right" vertical="center"/>
    </xf>
    <xf numFmtId="165" fontId="32" fillId="25" borderId="62" xfId="4" applyNumberFormat="1" applyFont="1" applyFill="1" applyBorder="1">
      <alignment horizontal="right" vertical="center"/>
    </xf>
    <xf numFmtId="0" fontId="32" fillId="25" borderId="0" xfId="0" applyFont="1" applyFill="1"/>
    <xf numFmtId="0" fontId="32" fillId="24" borderId="0" xfId="3" quotePrefix="1" applyNumberFormat="1" applyFont="1" applyFill="1" applyBorder="1" applyAlignment="1"/>
    <xf numFmtId="165" fontId="32" fillId="25" borderId="3" xfId="4" applyNumberFormat="1" applyFont="1" applyFill="1">
      <alignment horizontal="right" vertical="center"/>
    </xf>
    <xf numFmtId="0" fontId="64" fillId="20" borderId="0" xfId="0" applyFont="1" applyFill="1" applyAlignment="1">
      <alignment horizontal="center" vertical="top" wrapText="1"/>
    </xf>
    <xf numFmtId="170" fontId="64" fillId="20" borderId="0" xfId="1" applyNumberFormat="1" applyFont="1" applyFill="1" applyAlignment="1">
      <alignment horizontal="center"/>
    </xf>
    <xf numFmtId="167" fontId="64" fillId="20" borderId="0" xfId="1" applyNumberFormat="1" applyFont="1" applyFill="1" applyAlignment="1">
      <alignment horizontal="center"/>
    </xf>
    <xf numFmtId="0" fontId="12" fillId="0" borderId="41" xfId="0" applyFont="1" applyBorder="1" applyAlignment="1">
      <alignment horizontal="center"/>
    </xf>
    <xf numFmtId="0" fontId="12" fillId="0" borderId="32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165" fontId="12" fillId="0" borderId="32" xfId="0" applyNumberFormat="1" applyFont="1" applyBorder="1"/>
    <xf numFmtId="165" fontId="12" fillId="0" borderId="36" xfId="0" applyNumberFormat="1" applyFont="1" applyBorder="1" applyAlignment="1">
      <alignment horizontal="right"/>
    </xf>
    <xf numFmtId="165" fontId="12" fillId="0" borderId="42" xfId="0" applyNumberFormat="1" applyFont="1" applyBorder="1"/>
    <xf numFmtId="165" fontId="12" fillId="0" borderId="43" xfId="0" applyNumberFormat="1" applyFont="1" applyBorder="1" applyAlignment="1">
      <alignment horizontal="center"/>
    </xf>
    <xf numFmtId="165" fontId="15" fillId="25" borderId="4" xfId="4" applyNumberFormat="1" applyFont="1" applyFill="1" applyBorder="1">
      <alignment horizontal="right" vertical="center"/>
    </xf>
    <xf numFmtId="169" fontId="2" fillId="0" borderId="0" xfId="0" applyNumberFormat="1" applyFont="1"/>
    <xf numFmtId="169" fontId="2" fillId="0" borderId="0" xfId="0" applyNumberFormat="1" applyFont="1" applyAlignment="1">
      <alignment horizontal="right"/>
    </xf>
    <xf numFmtId="179" fontId="2" fillId="0" borderId="0" xfId="0" applyNumberFormat="1" applyFont="1" applyAlignment="1">
      <alignment horizontal="right"/>
    </xf>
    <xf numFmtId="0" fontId="65" fillId="26" borderId="0" xfId="0" applyFont="1" applyFill="1" applyAlignment="1">
      <alignment vertical="center" wrapText="1"/>
    </xf>
    <xf numFmtId="169" fontId="41" fillId="0" borderId="0" xfId="0" applyNumberFormat="1" applyFont="1"/>
    <xf numFmtId="179" fontId="41" fillId="0" borderId="0" xfId="0" applyNumberFormat="1" applyFont="1"/>
    <xf numFmtId="0" fontId="66" fillId="0" borderId="0" xfId="0" applyFont="1"/>
    <xf numFmtId="170" fontId="66" fillId="0" borderId="0" xfId="1" applyNumberFormat="1" applyFont="1"/>
    <xf numFmtId="170" fontId="66" fillId="0" borderId="0" xfId="0" applyNumberFormat="1" applyFont="1"/>
    <xf numFmtId="0" fontId="54" fillId="0" borderId="85" xfId="0" applyFont="1" applyBorder="1"/>
    <xf numFmtId="179" fontId="54" fillId="0" borderId="85" xfId="0" applyNumberFormat="1" applyFont="1" applyBorder="1"/>
    <xf numFmtId="0" fontId="22" fillId="0" borderId="85" xfId="0" applyFont="1" applyBorder="1"/>
    <xf numFmtId="1" fontId="67" fillId="26" borderId="0" xfId="0" applyNumberFormat="1" applyFont="1" applyFill="1" applyAlignment="1">
      <alignment vertical="center"/>
    </xf>
    <xf numFmtId="0" fontId="67" fillId="26" borderId="0" xfId="0" applyFont="1" applyFill="1" applyAlignment="1">
      <alignment vertical="center"/>
    </xf>
    <xf numFmtId="179" fontId="1" fillId="0" borderId="0" xfId="0" applyNumberFormat="1" applyFont="1"/>
    <xf numFmtId="0" fontId="1" fillId="0" borderId="0" xfId="0" applyFont="1" applyAlignment="1">
      <alignment horizontal="right"/>
    </xf>
    <xf numFmtId="169" fontId="1" fillId="0" borderId="0" xfId="0" applyNumberFormat="1" applyFont="1" applyAlignment="1">
      <alignment horizontal="right"/>
    </xf>
    <xf numFmtId="0" fontId="1" fillId="0" borderId="0" xfId="0" applyFont="1"/>
    <xf numFmtId="0" fontId="2" fillId="0" borderId="6" xfId="0" applyFont="1" applyBorder="1" applyAlignment="1">
      <alignment vertical="center"/>
    </xf>
    <xf numFmtId="2" fontId="25" fillId="6" borderId="6" xfId="0" applyNumberFormat="1" applyFont="1" applyFill="1" applyBorder="1" applyAlignment="1">
      <alignment horizontal="center" vertical="center"/>
    </xf>
    <xf numFmtId="2" fontId="38" fillId="6" borderId="6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22" fillId="0" borderId="6" xfId="0" applyFont="1" applyBorder="1" applyAlignment="1">
      <alignment horizontal="right" vertical="center"/>
    </xf>
    <xf numFmtId="0" fontId="22" fillId="0" borderId="6" xfId="0" applyFont="1" applyBorder="1" applyAlignment="1">
      <alignment vertical="center"/>
    </xf>
    <xf numFmtId="0" fontId="44" fillId="0" borderId="6" xfId="0" applyFont="1" applyBorder="1" applyAlignment="1">
      <alignment horizontal="right" vertical="center"/>
    </xf>
    <xf numFmtId="0" fontId="2" fillId="6" borderId="6" xfId="0" applyFont="1" applyFill="1" applyBorder="1" applyAlignment="1">
      <alignment vertical="center"/>
    </xf>
    <xf numFmtId="2" fontId="2" fillId="6" borderId="6" xfId="0" applyNumberFormat="1" applyFont="1" applyFill="1" applyBorder="1" applyAlignment="1">
      <alignment horizontal="center" vertical="center"/>
    </xf>
    <xf numFmtId="0" fontId="14" fillId="2" borderId="86" xfId="2" quotePrefix="1" applyNumberFormat="1" applyFont="1" applyBorder="1" applyAlignment="1">
      <alignment vertical="center"/>
    </xf>
    <xf numFmtId="0" fontId="14" fillId="2" borderId="87" xfId="2" quotePrefix="1" applyNumberFormat="1" applyFont="1" applyBorder="1" applyAlignment="1">
      <alignment vertical="center"/>
    </xf>
    <xf numFmtId="0" fontId="15" fillId="4" borderId="88" xfId="3" quotePrefix="1" applyNumberFormat="1" applyFont="1" applyFill="1" applyBorder="1" applyAlignment="1">
      <alignment horizontal="center" vertical="center" wrapText="1"/>
    </xf>
    <xf numFmtId="0" fontId="15" fillId="4" borderId="89" xfId="3" quotePrefix="1" applyNumberFormat="1" applyFont="1" applyFill="1" applyBorder="1" applyAlignment="1">
      <alignment horizontal="center" vertical="center" wrapText="1"/>
    </xf>
    <xf numFmtId="0" fontId="15" fillId="4" borderId="90" xfId="3" quotePrefix="1" applyNumberFormat="1" applyFont="1" applyFill="1" applyBorder="1" applyAlignment="1">
      <alignment horizontal="center" vertical="center" wrapText="1"/>
    </xf>
    <xf numFmtId="0" fontId="15" fillId="4" borderId="91" xfId="3" quotePrefix="1" applyNumberFormat="1" applyFont="1" applyFill="1" applyBorder="1" applyAlignment="1">
      <alignment horizontal="center" vertical="center" wrapText="1"/>
    </xf>
    <xf numFmtId="0" fontId="26" fillId="0" borderId="42" xfId="0" applyFont="1" applyBorder="1"/>
    <xf numFmtId="0" fontId="12" fillId="0" borderId="77" xfId="0" applyFont="1" applyBorder="1"/>
    <xf numFmtId="165" fontId="12" fillId="0" borderId="38" xfId="0" applyNumberFormat="1" applyFont="1" applyBorder="1"/>
    <xf numFmtId="165" fontId="12" fillId="0" borderId="0" xfId="0" quotePrefix="1" applyNumberFormat="1" applyFont="1" applyFill="1"/>
    <xf numFmtId="4" fontId="12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>
      <alignment horizontal="center"/>
    </xf>
    <xf numFmtId="15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165" fontId="40" fillId="0" borderId="0" xfId="0" quotePrefix="1" applyNumberFormat="1" applyFont="1" applyFill="1"/>
    <xf numFmtId="0" fontId="22" fillId="0" borderId="0" xfId="0" applyFont="1"/>
    <xf numFmtId="0" fontId="1" fillId="9" borderId="18" xfId="0" applyFont="1" applyFill="1" applyBorder="1"/>
    <xf numFmtId="0" fontId="1" fillId="9" borderId="19" xfId="0" applyFont="1" applyFill="1" applyBorder="1" applyAlignment="1">
      <alignment horizontal="center"/>
    </xf>
    <xf numFmtId="165" fontId="1" fillId="0" borderId="0" xfId="0" applyNumberFormat="1" applyFont="1"/>
    <xf numFmtId="10" fontId="1" fillId="0" borderId="0" xfId="1" applyNumberFormat="1" applyFont="1"/>
    <xf numFmtId="0" fontId="1" fillId="0" borderId="0" xfId="0" applyFont="1" applyAlignment="1">
      <alignment horizontal="center"/>
    </xf>
    <xf numFmtId="0" fontId="22" fillId="8" borderId="0" xfId="0" applyFont="1" applyFill="1"/>
    <xf numFmtId="0" fontId="22" fillId="8" borderId="0" xfId="0" applyFont="1" applyFill="1" applyAlignment="1">
      <alignment horizontal="center"/>
    </xf>
    <xf numFmtId="165" fontId="1" fillId="0" borderId="0" xfId="0" quotePrefix="1" applyNumberFormat="1" applyFont="1"/>
    <xf numFmtId="43" fontId="1" fillId="12" borderId="0" xfId="0" applyNumberFormat="1" applyFont="1" applyFill="1" applyBorder="1" applyAlignment="1"/>
    <xf numFmtId="165" fontId="1" fillId="21" borderId="0" xfId="0" quotePrefix="1" applyNumberFormat="1" applyFont="1" applyFill="1"/>
    <xf numFmtId="0" fontId="1" fillId="0" borderId="0" xfId="0" applyFont="1" applyBorder="1"/>
    <xf numFmtId="43" fontId="1" fillId="12" borderId="17" xfId="0" applyNumberFormat="1" applyFont="1" applyFill="1" applyBorder="1" applyAlignment="1"/>
    <xf numFmtId="165" fontId="1" fillId="13" borderId="26" xfId="0" applyNumberFormat="1" applyFont="1" applyFill="1" applyBorder="1"/>
    <xf numFmtId="165" fontId="1" fillId="13" borderId="17" xfId="0" applyNumberFormat="1" applyFont="1" applyFill="1" applyBorder="1"/>
    <xf numFmtId="165" fontId="1" fillId="13" borderId="27" xfId="0" applyNumberFormat="1" applyFont="1" applyFill="1" applyBorder="1"/>
    <xf numFmtId="165" fontId="1" fillId="5" borderId="26" xfId="0" applyNumberFormat="1" applyFont="1" applyFill="1" applyBorder="1"/>
    <xf numFmtId="165" fontId="1" fillId="5" borderId="17" xfId="0" applyNumberFormat="1" applyFont="1" applyFill="1" applyBorder="1"/>
    <xf numFmtId="165" fontId="1" fillId="5" borderId="27" xfId="0" applyNumberFormat="1" applyFont="1" applyFill="1" applyBorder="1"/>
    <xf numFmtId="165" fontId="1" fillId="0" borderId="0" xfId="0" applyNumberFormat="1" applyFont="1" applyBorder="1"/>
    <xf numFmtId="168" fontId="1" fillId="0" borderId="17" xfId="0" applyNumberFormat="1" applyFont="1" applyBorder="1"/>
    <xf numFmtId="0" fontId="1" fillId="13" borderId="14" xfId="0" applyFont="1" applyFill="1" applyBorder="1"/>
    <xf numFmtId="0" fontId="1" fillId="13" borderId="15" xfId="0" applyFont="1" applyFill="1" applyBorder="1"/>
    <xf numFmtId="165" fontId="1" fillId="13" borderId="16" xfId="0" applyNumberFormat="1" applyFont="1" applyFill="1" applyBorder="1"/>
    <xf numFmtId="0" fontId="1" fillId="5" borderId="14" xfId="0" applyFont="1" applyFill="1" applyBorder="1"/>
    <xf numFmtId="0" fontId="1" fillId="5" borderId="15" xfId="0" applyFont="1" applyFill="1" applyBorder="1"/>
    <xf numFmtId="165" fontId="1" fillId="5" borderId="16" xfId="0" applyNumberFormat="1" applyFont="1" applyFill="1" applyBorder="1"/>
    <xf numFmtId="168" fontId="1" fillId="0" borderId="0" xfId="0" applyNumberFormat="1" applyFont="1"/>
    <xf numFmtId="0" fontId="1" fillId="6" borderId="0" xfId="0" applyFont="1" applyFill="1"/>
    <xf numFmtId="0" fontId="22" fillId="8" borderId="0" xfId="0" applyFont="1" applyFill="1" applyBorder="1"/>
    <xf numFmtId="0" fontId="16" fillId="21" borderId="0" xfId="0" applyFont="1" applyFill="1"/>
    <xf numFmtId="165" fontId="1" fillId="11" borderId="0" xfId="0" applyNumberFormat="1" applyFont="1" applyFill="1" applyBorder="1"/>
    <xf numFmtId="165" fontId="1" fillId="11" borderId="0" xfId="0" applyNumberFormat="1" applyFont="1" applyFill="1"/>
    <xf numFmtId="0" fontId="1" fillId="11" borderId="0" xfId="0" applyFont="1" applyFill="1"/>
    <xf numFmtId="165" fontId="1" fillId="11" borderId="21" xfId="0" applyNumberFormat="1" applyFont="1" applyFill="1" applyBorder="1"/>
    <xf numFmtId="0" fontId="22" fillId="6" borderId="0" xfId="0" applyFont="1" applyFill="1"/>
    <xf numFmtId="165" fontId="22" fillId="6" borderId="0" xfId="0" applyNumberFormat="1" applyFont="1" applyFill="1"/>
    <xf numFmtId="168" fontId="1" fillId="13" borderId="26" xfId="0" applyNumberFormat="1" applyFont="1" applyFill="1" applyBorder="1"/>
    <xf numFmtId="171" fontId="1" fillId="0" borderId="0" xfId="0" applyNumberFormat="1" applyFont="1"/>
    <xf numFmtId="174" fontId="1" fillId="0" borderId="0" xfId="0" applyNumberFormat="1" applyFont="1"/>
    <xf numFmtId="178" fontId="1" fillId="0" borderId="0" xfId="1" applyNumberFormat="1" applyFont="1"/>
    <xf numFmtId="169" fontId="1" fillId="0" borderId="0" xfId="0" applyNumberFormat="1" applyFont="1"/>
    <xf numFmtId="169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14" borderId="28" xfId="0" applyFont="1" applyFill="1" applyBorder="1"/>
    <xf numFmtId="169" fontId="1" fillId="14" borderId="29" xfId="0" quotePrefix="1" applyNumberFormat="1" applyFont="1" applyFill="1" applyBorder="1" applyAlignment="1">
      <alignment horizontal="right"/>
    </xf>
    <xf numFmtId="169" fontId="1" fillId="14" borderId="30" xfId="0" quotePrefix="1" applyNumberFormat="1" applyFont="1" applyFill="1" applyBorder="1" applyAlignment="1">
      <alignment horizontal="right"/>
    </xf>
    <xf numFmtId="169" fontId="22" fillId="14" borderId="31" xfId="0" applyNumberFormat="1" applyFont="1" applyFill="1" applyBorder="1" applyAlignment="1">
      <alignment horizontal="right"/>
    </xf>
    <xf numFmtId="0" fontId="1" fillId="14" borderId="29" xfId="0" quotePrefix="1" applyFont="1" applyFill="1" applyBorder="1" applyAlignment="1">
      <alignment horizontal="right"/>
    </xf>
    <xf numFmtId="0" fontId="1" fillId="14" borderId="30" xfId="0" quotePrefix="1" applyFont="1" applyFill="1" applyBorder="1" applyAlignment="1">
      <alignment horizontal="right"/>
    </xf>
    <xf numFmtId="0" fontId="22" fillId="14" borderId="31" xfId="0" applyFont="1" applyFill="1" applyBorder="1" applyAlignment="1">
      <alignment horizontal="right"/>
    </xf>
    <xf numFmtId="0" fontId="1" fillId="13" borderId="32" xfId="0" applyFont="1" applyFill="1" applyBorder="1"/>
    <xf numFmtId="2" fontId="1" fillId="13" borderId="33" xfId="18" applyNumberFormat="1" applyFont="1" applyFill="1" applyBorder="1"/>
    <xf numFmtId="2" fontId="1" fillId="13" borderId="34" xfId="18" applyNumberFormat="1" applyFont="1" applyFill="1" applyBorder="1"/>
    <xf numFmtId="2" fontId="1" fillId="13" borderId="35" xfId="18" applyNumberFormat="1" applyFont="1" applyFill="1" applyBorder="1"/>
    <xf numFmtId="2" fontId="22" fillId="13" borderId="36" xfId="18" applyNumberFormat="1" applyFont="1" applyFill="1" applyBorder="1"/>
    <xf numFmtId="2" fontId="1" fillId="0" borderId="0" xfId="0" applyNumberFormat="1" applyFont="1"/>
    <xf numFmtId="2" fontId="1" fillId="13" borderId="12" xfId="18" applyNumberFormat="1" applyFont="1" applyFill="1" applyBorder="1"/>
    <xf numFmtId="2" fontId="1" fillId="13" borderId="0" xfId="18" applyNumberFormat="1" applyFont="1" applyFill="1" applyBorder="1"/>
    <xf numFmtId="2" fontId="1" fillId="13" borderId="13" xfId="18" applyNumberFormat="1" applyFont="1" applyFill="1" applyBorder="1"/>
    <xf numFmtId="0" fontId="1" fillId="14" borderId="37" xfId="0" applyFont="1" applyFill="1" applyBorder="1"/>
    <xf numFmtId="2" fontId="22" fillId="14" borderId="26" xfId="0" quotePrefix="1" applyNumberFormat="1" applyFont="1" applyFill="1" applyBorder="1" applyAlignment="1">
      <alignment horizontal="right"/>
    </xf>
    <xf numFmtId="2" fontId="22" fillId="14" borderId="17" xfId="0" quotePrefix="1" applyNumberFormat="1" applyFont="1" applyFill="1" applyBorder="1" applyAlignment="1">
      <alignment horizontal="right"/>
    </xf>
    <xf numFmtId="2" fontId="22" fillId="14" borderId="27" xfId="0" quotePrefix="1" applyNumberFormat="1" applyFont="1" applyFill="1" applyBorder="1" applyAlignment="1">
      <alignment horizontal="right"/>
    </xf>
    <xf numFmtId="2" fontId="22" fillId="14" borderId="38" xfId="0" quotePrefix="1" applyNumberFormat="1" applyFont="1" applyFill="1" applyBorder="1" applyAlignment="1">
      <alignment horizontal="right"/>
    </xf>
    <xf numFmtId="43" fontId="1" fillId="0" borderId="0" xfId="0" applyNumberFormat="1" applyFont="1"/>
    <xf numFmtId="43" fontId="1" fillId="14" borderId="29" xfId="0" quotePrefix="1" applyNumberFormat="1" applyFont="1" applyFill="1" applyBorder="1" applyAlignment="1">
      <alignment horizontal="right"/>
    </xf>
    <xf numFmtId="43" fontId="1" fillId="14" borderId="30" xfId="0" quotePrefix="1" applyNumberFormat="1" applyFont="1" applyFill="1" applyBorder="1" applyAlignment="1">
      <alignment horizontal="right"/>
    </xf>
    <xf numFmtId="43" fontId="22" fillId="14" borderId="31" xfId="0" applyNumberFormat="1" applyFont="1" applyFill="1" applyBorder="1" applyAlignment="1">
      <alignment horizontal="right"/>
    </xf>
    <xf numFmtId="0" fontId="58" fillId="0" borderId="6" xfId="0" applyFont="1" applyBorder="1" applyAlignment="1"/>
    <xf numFmtId="0" fontId="58" fillId="0" borderId="6" xfId="0" applyFont="1" applyBorder="1"/>
    <xf numFmtId="0" fontId="68" fillId="0" borderId="6" xfId="51" applyFont="1" applyBorder="1"/>
    <xf numFmtId="0" fontId="28" fillId="0" borderId="0" xfId="0" applyFont="1"/>
    <xf numFmtId="0" fontId="12" fillId="9" borderId="56" xfId="0" applyFont="1" applyFill="1" applyBorder="1"/>
    <xf numFmtId="0" fontId="32" fillId="25" borderId="9" xfId="0" applyFont="1" applyFill="1" applyBorder="1" applyAlignment="1">
      <alignment horizontal="center" vertical="center" wrapText="1"/>
    </xf>
    <xf numFmtId="10" fontId="28" fillId="5" borderId="6" xfId="0" applyNumberFormat="1" applyFont="1" applyFill="1" applyBorder="1" applyAlignment="1">
      <alignment horizontal="center"/>
    </xf>
    <xf numFmtId="0" fontId="28" fillId="5" borderId="6" xfId="0" applyFont="1" applyFill="1" applyBorder="1"/>
    <xf numFmtId="0" fontId="28" fillId="5" borderId="6" xfId="0" applyFont="1" applyFill="1" applyBorder="1" applyAlignment="1">
      <alignment horizontal="center"/>
    </xf>
    <xf numFmtId="0" fontId="15" fillId="4" borderId="6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32" fillId="0" borderId="0" xfId="1" applyFont="1" applyFill="1"/>
    <xf numFmtId="0" fontId="34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0" fontId="12" fillId="0" borderId="92" xfId="0" applyFont="1" applyBorder="1"/>
    <xf numFmtId="165" fontId="12" fillId="0" borderId="92" xfId="0" applyNumberFormat="1" applyFont="1" applyBorder="1" applyAlignment="1">
      <alignment vertical="center"/>
    </xf>
    <xf numFmtId="165" fontId="12" fillId="9" borderId="93" xfId="0" applyNumberFormat="1" applyFont="1" applyFill="1" applyBorder="1"/>
    <xf numFmtId="165" fontId="12" fillId="9" borderId="92" xfId="0" applyNumberFormat="1" applyFont="1" applyFill="1" applyBorder="1"/>
    <xf numFmtId="165" fontId="12" fillId="9" borderId="94" xfId="0" applyNumberFormat="1" applyFont="1" applyFill="1" applyBorder="1"/>
    <xf numFmtId="0" fontId="32" fillId="18" borderId="92" xfId="0" applyFont="1" applyFill="1" applyBorder="1"/>
    <xf numFmtId="10" fontId="12" fillId="18" borderId="92" xfId="1" applyNumberFormat="1" applyFont="1" applyFill="1" applyBorder="1"/>
    <xf numFmtId="10" fontId="32" fillId="18" borderId="95" xfId="1" applyNumberFormat="1" applyFont="1" applyFill="1" applyBorder="1"/>
    <xf numFmtId="170" fontId="13" fillId="18" borderId="92" xfId="1" applyNumberFormat="1" applyFont="1" applyFill="1" applyBorder="1"/>
    <xf numFmtId="10" fontId="13" fillId="0" borderId="92" xfId="1" applyNumberFormat="1" applyFont="1" applyFill="1" applyBorder="1"/>
    <xf numFmtId="165" fontId="12" fillId="0" borderId="92" xfId="0" applyNumberFormat="1" applyFont="1" applyBorder="1"/>
    <xf numFmtId="0" fontId="15" fillId="3" borderId="96" xfId="3" quotePrefix="1" applyNumberFormat="1" applyFont="1" applyBorder="1" applyAlignment="1">
      <alignment horizontal="center"/>
    </xf>
    <xf numFmtId="0" fontId="15" fillId="3" borderId="96" xfId="3" quotePrefix="1" applyNumberFormat="1" applyFont="1" applyBorder="1" applyAlignment="1">
      <alignment horizontal="center" vertical="center" wrapText="1"/>
    </xf>
    <xf numFmtId="165" fontId="15" fillId="0" borderId="97" xfId="4" applyNumberFormat="1" applyFont="1" applyBorder="1">
      <alignment horizontal="right" vertical="center"/>
    </xf>
    <xf numFmtId="165" fontId="32" fillId="25" borderId="97" xfId="4" applyNumberFormat="1" applyFont="1" applyFill="1" applyBorder="1">
      <alignment horizontal="right" vertical="center"/>
    </xf>
    <xf numFmtId="165" fontId="15" fillId="25" borderId="97" xfId="4" applyNumberFormat="1" applyFont="1" applyFill="1" applyBorder="1">
      <alignment horizontal="right" vertical="center"/>
    </xf>
    <xf numFmtId="0" fontId="70" fillId="0" borderId="0" xfId="0" applyFont="1"/>
    <xf numFmtId="165" fontId="1" fillId="8" borderId="26" xfId="0" applyNumberFormat="1" applyFont="1" applyFill="1" applyBorder="1"/>
    <xf numFmtId="0" fontId="1" fillId="0" borderId="0" xfId="0" applyFont="1" applyFill="1"/>
    <xf numFmtId="165" fontId="1" fillId="0" borderId="0" xfId="0" applyNumberFormat="1" applyFont="1" applyFill="1"/>
    <xf numFmtId="0" fontId="22" fillId="0" borderId="0" xfId="0" applyFont="1" applyFill="1"/>
    <xf numFmtId="165" fontId="22" fillId="0" borderId="0" xfId="0" applyNumberFormat="1" applyFont="1" applyFill="1"/>
    <xf numFmtId="165" fontId="1" fillId="8" borderId="0" xfId="0" quotePrefix="1" applyNumberFormat="1" applyFont="1" applyFill="1"/>
    <xf numFmtId="0" fontId="1" fillId="8" borderId="0" xfId="0" applyFont="1" applyFill="1"/>
    <xf numFmtId="0" fontId="15" fillId="27" borderId="1" xfId="3" quotePrefix="1" applyNumberFormat="1" applyFont="1" applyFill="1" applyBorder="1" applyAlignment="1"/>
    <xf numFmtId="165" fontId="16" fillId="0" borderId="98" xfId="5" applyNumberFormat="1" applyFont="1" applyFill="1" applyBorder="1" applyAlignment="1" applyProtection="1">
      <alignment vertical="center" wrapText="1" readingOrder="1"/>
      <protection locked="0"/>
    </xf>
    <xf numFmtId="177" fontId="21" fillId="22" borderId="68" xfId="13" applyNumberFormat="1" applyFont="1" applyFill="1" applyBorder="1" applyAlignment="1">
      <alignment vertical="center"/>
    </xf>
    <xf numFmtId="177" fontId="34" fillId="20" borderId="0" xfId="44" applyNumberFormat="1" applyFont="1" applyFill="1" applyBorder="1" applyAlignment="1">
      <alignment vertical="center"/>
    </xf>
    <xf numFmtId="177" fontId="21" fillId="13" borderId="0" xfId="8" applyNumberFormat="1" applyFont="1" applyFill="1" applyBorder="1" applyAlignment="1">
      <alignment vertical="center"/>
    </xf>
    <xf numFmtId="0" fontId="17" fillId="28" borderId="98" xfId="5" applyFont="1" applyFill="1" applyBorder="1" applyAlignment="1" applyProtection="1">
      <alignment horizontal="center" vertical="center" wrapText="1" readingOrder="1"/>
      <protection locked="0"/>
    </xf>
    <xf numFmtId="0" fontId="21" fillId="6" borderId="0" xfId="5" applyFont="1" applyFill="1" applyAlignment="1">
      <alignment horizontal="center" vertical="center" wrapText="1"/>
    </xf>
    <xf numFmtId="0" fontId="35" fillId="6" borderId="98" xfId="5" applyFont="1" applyFill="1" applyBorder="1" applyAlignment="1" applyProtection="1">
      <alignment horizontal="center" vertical="center" wrapText="1" readingOrder="1"/>
      <protection locked="0"/>
    </xf>
    <xf numFmtId="0" fontId="21" fillId="6" borderId="0" xfId="8" applyFont="1" applyFill="1" applyAlignment="1">
      <alignment horizontal="center" vertical="center" wrapText="1"/>
    </xf>
    <xf numFmtId="0" fontId="15" fillId="0" borderId="0" xfId="29" quotePrefix="1" applyNumberFormat="1" applyFont="1" applyFill="1" applyBorder="1" applyAlignment="1"/>
    <xf numFmtId="165" fontId="15" fillId="0" borderId="0" xfId="4" applyNumberFormat="1" applyFont="1" applyFill="1" applyBorder="1">
      <alignment horizontal="right" vertical="center"/>
    </xf>
    <xf numFmtId="165" fontId="15" fillId="0" borderId="50" xfId="4" applyNumberFormat="1" applyFont="1" applyFill="1" applyBorder="1">
      <alignment horizontal="right" vertical="center"/>
    </xf>
    <xf numFmtId="10" fontId="28" fillId="11" borderId="7" xfId="0" applyNumberFormat="1" applyFont="1" applyFill="1" applyBorder="1" applyAlignment="1">
      <alignment horizontal="center"/>
    </xf>
    <xf numFmtId="180" fontId="15" fillId="0" borderId="4" xfId="4" applyNumberFormat="1" applyFont="1" applyBorder="1">
      <alignment horizontal="right" vertical="center"/>
    </xf>
    <xf numFmtId="0" fontId="34" fillId="20" borderId="0" xfId="44" applyFont="1" applyFill="1" applyBorder="1" applyAlignment="1">
      <alignment horizontal="left"/>
    </xf>
    <xf numFmtId="0" fontId="34" fillId="20" borderId="0" xfId="44" applyFont="1" applyFill="1" applyBorder="1"/>
    <xf numFmtId="49" fontId="34" fillId="20" borderId="0" xfId="44" applyNumberFormat="1" applyFont="1" applyFill="1" applyBorder="1" applyAlignment="1">
      <alignment horizontal="center"/>
    </xf>
    <xf numFmtId="177" fontId="21" fillId="20" borderId="0" xfId="8" applyNumberFormat="1" applyFont="1" applyFill="1" applyBorder="1" applyAlignment="1">
      <alignment vertical="center"/>
    </xf>
    <xf numFmtId="177" fontId="34" fillId="22" borderId="0" xfId="13" applyNumberFormat="1" applyFont="1" applyFill="1" applyBorder="1" applyAlignment="1">
      <alignment horizontal="center" vertical="center"/>
    </xf>
    <xf numFmtId="0" fontId="34" fillId="20" borderId="67" xfId="44" applyFont="1" applyFill="1" applyBorder="1" applyAlignment="1">
      <alignment horizontal="center"/>
    </xf>
    <xf numFmtId="181" fontId="21" fillId="13" borderId="0" xfId="8" applyNumberFormat="1" applyFont="1" applyFill="1" applyBorder="1" applyAlignment="1">
      <alignment horizontal="center"/>
    </xf>
    <xf numFmtId="0" fontId="34" fillId="20" borderId="67" xfId="6" applyFont="1" applyFill="1" applyBorder="1" applyAlignment="1">
      <alignment horizontal="center"/>
    </xf>
    <xf numFmtId="49" fontId="34" fillId="20" borderId="67" xfId="6" applyNumberFormat="1" applyFont="1" applyFill="1" applyBorder="1" applyAlignment="1">
      <alignment horizontal="center"/>
    </xf>
    <xf numFmtId="0" fontId="34" fillId="20" borderId="67" xfId="6" applyFont="1" applyFill="1" applyBorder="1"/>
    <xf numFmtId="0" fontId="28" fillId="18" borderId="0" xfId="0" applyFont="1" applyFill="1" applyAlignment="1">
      <alignment horizontal="center"/>
    </xf>
    <xf numFmtId="165" fontId="0" fillId="0" borderId="0" xfId="0" applyNumberFormat="1"/>
    <xf numFmtId="0" fontId="72" fillId="6" borderId="0" xfId="8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22" fillId="19" borderId="99" xfId="0" applyFont="1" applyFill="1" applyBorder="1" applyAlignment="1">
      <alignment horizontal="left"/>
    </xf>
    <xf numFmtId="165" fontId="22" fillId="19" borderId="99" xfId="0" applyNumberFormat="1" applyFont="1" applyFill="1" applyBorder="1"/>
    <xf numFmtId="0" fontId="18" fillId="29" borderId="100" xfId="0" applyFont="1" applyFill="1" applyBorder="1"/>
    <xf numFmtId="49" fontId="18" fillId="30" borderId="100" xfId="0" applyNumberFormat="1" applyFont="1" applyFill="1" applyBorder="1"/>
    <xf numFmtId="49" fontId="18" fillId="31" borderId="100" xfId="0" applyNumberFormat="1" applyFont="1" applyFill="1" applyBorder="1"/>
    <xf numFmtId="165" fontId="18" fillId="30" borderId="100" xfId="0" applyNumberFormat="1" applyFont="1" applyFill="1" applyBorder="1"/>
    <xf numFmtId="0" fontId="73" fillId="16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28" fillId="32" borderId="1" xfId="3" quotePrefix="1" applyNumberFormat="1" applyFont="1" applyFill="1" applyBorder="1" applyAlignment="1"/>
    <xf numFmtId="0" fontId="28" fillId="32" borderId="1" xfId="3" quotePrefix="1" applyNumberFormat="1" applyFont="1" applyFill="1" applyAlignment="1"/>
    <xf numFmtId="0" fontId="15" fillId="33" borderId="1" xfId="3" quotePrefix="1" applyNumberFormat="1" applyFont="1" applyFill="1" applyBorder="1" applyAlignment="1"/>
    <xf numFmtId="165" fontId="74" fillId="0" borderId="0" xfId="0" applyNumberFormat="1" applyFont="1"/>
    <xf numFmtId="0" fontId="34" fillId="9" borderId="0" xfId="0" applyFont="1" applyFill="1" applyAlignment="1">
      <alignment horizontal="center" wrapText="1"/>
    </xf>
    <xf numFmtId="165" fontId="0" fillId="9" borderId="0" xfId="0" applyNumberFormat="1" applyFill="1"/>
    <xf numFmtId="0" fontId="0" fillId="9" borderId="0" xfId="0" applyFill="1" applyAlignment="1">
      <alignment horizontal="center" vertical="center" wrapText="1"/>
    </xf>
    <xf numFmtId="165" fontId="23" fillId="9" borderId="0" xfId="0" applyNumberFormat="1" applyFont="1" applyFill="1"/>
    <xf numFmtId="0" fontId="12" fillId="0" borderId="40" xfId="0" applyFont="1" applyBorder="1" applyAlignment="1">
      <alignment horizontal="center" vertical="center" wrapText="1"/>
    </xf>
    <xf numFmtId="165" fontId="12" fillId="0" borderId="40" xfId="0" applyNumberFormat="1" applyFont="1" applyBorder="1" applyAlignment="1">
      <alignment vertical="center"/>
    </xf>
    <xf numFmtId="49" fontId="18" fillId="30" borderId="101" xfId="0" applyNumberFormat="1" applyFont="1" applyFill="1" applyBorder="1"/>
    <xf numFmtId="49" fontId="18" fillId="30" borderId="102" xfId="0" applyNumberFormat="1" applyFont="1" applyFill="1" applyBorder="1"/>
    <xf numFmtId="49" fontId="18" fillId="6" borderId="102" xfId="0" applyNumberFormat="1" applyFont="1" applyFill="1" applyBorder="1"/>
    <xf numFmtId="49" fontId="18" fillId="30" borderId="103" xfId="0" applyNumberFormat="1" applyFont="1" applyFill="1" applyBorder="1"/>
    <xf numFmtId="49" fontId="18" fillId="31" borderId="104" xfId="0" applyNumberFormat="1" applyFont="1" applyFill="1" applyBorder="1"/>
    <xf numFmtId="49" fontId="18" fillId="6" borderId="100" xfId="0" applyNumberFormat="1" applyFont="1" applyFill="1" applyBorder="1"/>
    <xf numFmtId="49" fontId="18" fillId="31" borderId="105" xfId="0" applyNumberFormat="1" applyFont="1" applyFill="1" applyBorder="1"/>
    <xf numFmtId="165" fontId="18" fillId="30" borderId="104" xfId="0" applyNumberFormat="1" applyFont="1" applyFill="1" applyBorder="1"/>
    <xf numFmtId="165" fontId="18" fillId="6" borderId="100" xfId="0" applyNumberFormat="1" applyFont="1" applyFill="1" applyBorder="1"/>
    <xf numFmtId="165" fontId="18" fillId="30" borderId="105" xfId="0" applyNumberFormat="1" applyFont="1" applyFill="1" applyBorder="1"/>
    <xf numFmtId="10" fontId="12" fillId="18" borderId="0" xfId="0" applyNumberFormat="1" applyFont="1" applyFill="1" applyBorder="1"/>
    <xf numFmtId="10" fontId="12" fillId="18" borderId="92" xfId="0" applyNumberFormat="1" applyFont="1" applyFill="1" applyBorder="1"/>
    <xf numFmtId="165" fontId="15" fillId="3" borderId="1" xfId="3" quotePrefix="1" applyNumberFormat="1" applyFont="1" applyAlignment="1"/>
    <xf numFmtId="182" fontId="32" fillId="18" borderId="0" xfId="0" applyNumberFormat="1" applyFont="1" applyFill="1"/>
    <xf numFmtId="0" fontId="21" fillId="25" borderId="67" xfId="8" applyFont="1" applyFill="1" applyBorder="1"/>
    <xf numFmtId="0" fontId="34" fillId="25" borderId="67" xfId="44" applyFont="1" applyFill="1" applyBorder="1" applyAlignment="1">
      <alignment horizontal="center" vertical="center"/>
    </xf>
    <xf numFmtId="9" fontId="21" fillId="25" borderId="67" xfId="45" applyFont="1" applyFill="1" applyBorder="1" applyAlignment="1">
      <alignment vertical="center"/>
    </xf>
    <xf numFmtId="177" fontId="21" fillId="25" borderId="8" xfId="13" applyNumberFormat="1" applyFont="1" applyFill="1" applyBorder="1" applyAlignment="1">
      <alignment vertical="center"/>
    </xf>
    <xf numFmtId="177" fontId="21" fillId="34" borderId="8" xfId="13" applyNumberFormat="1" applyFont="1" applyFill="1" applyBorder="1" applyAlignment="1">
      <alignment vertical="center"/>
    </xf>
    <xf numFmtId="0" fontId="21" fillId="25" borderId="0" xfId="8" applyFont="1" applyFill="1"/>
    <xf numFmtId="0" fontId="34" fillId="25" borderId="70" xfId="44" applyFont="1" applyFill="1" applyBorder="1" applyAlignment="1">
      <alignment horizontal="center" vertical="center"/>
    </xf>
    <xf numFmtId="9" fontId="21" fillId="25" borderId="70" xfId="45" applyFont="1" applyFill="1" applyBorder="1" applyAlignment="1">
      <alignment vertical="center"/>
    </xf>
    <xf numFmtId="0" fontId="34" fillId="25" borderId="67" xfId="8" applyFont="1" applyFill="1" applyBorder="1" applyAlignment="1">
      <alignment horizontal="center" vertical="center" wrapText="1"/>
    </xf>
    <xf numFmtId="0" fontId="47" fillId="25" borderId="67" xfId="8" applyFont="1" applyFill="1" applyBorder="1" applyAlignment="1">
      <alignment horizontal="left" vertical="center"/>
    </xf>
    <xf numFmtId="0" fontId="34" fillId="25" borderId="68" xfId="44" applyFont="1" applyFill="1" applyBorder="1" applyAlignment="1">
      <alignment horizontal="center" vertical="center"/>
    </xf>
    <xf numFmtId="9" fontId="21" fillId="25" borderId="68" xfId="45" applyFont="1" applyFill="1" applyBorder="1" applyAlignment="1">
      <alignment vertical="center"/>
    </xf>
    <xf numFmtId="0" fontId="21" fillId="35" borderId="67" xfId="8" applyFont="1" applyFill="1" applyBorder="1"/>
    <xf numFmtId="0" fontId="34" fillId="35" borderId="67" xfId="8" applyFont="1" applyFill="1" applyBorder="1" applyAlignment="1">
      <alignment horizontal="center" vertical="center" wrapText="1"/>
    </xf>
    <xf numFmtId="0" fontId="47" fillId="35" borderId="67" xfId="8" applyFont="1" applyFill="1" applyBorder="1" applyAlignment="1">
      <alignment horizontal="left" vertical="center"/>
    </xf>
    <xf numFmtId="177" fontId="21" fillId="35" borderId="8" xfId="13" applyNumberFormat="1" applyFont="1" applyFill="1" applyBorder="1" applyAlignment="1">
      <alignment vertical="center"/>
    </xf>
    <xf numFmtId="14" fontId="21" fillId="25" borderId="67" xfId="8" applyNumberFormat="1" applyFont="1" applyFill="1" applyBorder="1" applyAlignment="1">
      <alignment horizontal="center"/>
    </xf>
    <xf numFmtId="0" fontId="21" fillId="25" borderId="0" xfId="8" applyFont="1" applyFill="1" applyBorder="1" applyAlignment="1">
      <alignment horizontal="center"/>
    </xf>
    <xf numFmtId="0" fontId="21" fillId="25" borderId="67" xfId="8" applyFont="1" applyFill="1" applyBorder="1" applyAlignment="1">
      <alignment horizontal="center"/>
    </xf>
    <xf numFmtId="14" fontId="21" fillId="25" borderId="0" xfId="8" applyNumberFormat="1" applyFont="1" applyFill="1" applyBorder="1" applyAlignment="1">
      <alignment horizontal="center"/>
    </xf>
    <xf numFmtId="0" fontId="34" fillId="25" borderId="8" xfId="44" applyFont="1" applyFill="1" applyBorder="1" applyAlignment="1">
      <alignment horizontal="center" vertical="center"/>
    </xf>
    <xf numFmtId="9" fontId="21" fillId="25" borderId="8" xfId="45" applyFont="1" applyFill="1" applyBorder="1" applyAlignment="1">
      <alignment vertical="center"/>
    </xf>
    <xf numFmtId="49" fontId="21" fillId="25" borderId="68" xfId="8" applyNumberFormat="1" applyFont="1" applyFill="1" applyBorder="1" applyAlignment="1">
      <alignment horizontal="center" vertical="center"/>
    </xf>
    <xf numFmtId="0" fontId="21" fillId="25" borderId="68" xfId="8" applyFont="1" applyFill="1" applyBorder="1" applyAlignment="1">
      <alignment vertical="center" wrapText="1"/>
    </xf>
    <xf numFmtId="0" fontId="48" fillId="25" borderId="67" xfId="8" applyFont="1" applyFill="1" applyBorder="1" applyAlignment="1" applyProtection="1">
      <alignment horizontal="center" vertical="center" wrapText="1"/>
      <protection locked="0"/>
    </xf>
    <xf numFmtId="0" fontId="48" fillId="25" borderId="67" xfId="8" applyFont="1" applyFill="1" applyBorder="1" applyAlignment="1" applyProtection="1">
      <alignment vertical="center" wrapText="1"/>
      <protection locked="0"/>
    </xf>
    <xf numFmtId="0" fontId="21" fillId="25" borderId="69" xfId="8" applyFont="1" applyFill="1" applyBorder="1"/>
    <xf numFmtId="0" fontId="34" fillId="25" borderId="70" xfId="8" applyFont="1" applyFill="1" applyBorder="1" applyAlignment="1">
      <alignment horizontal="center" vertical="center" wrapText="1"/>
    </xf>
    <xf numFmtId="0" fontId="47" fillId="25" borderId="70" xfId="8" applyFont="1" applyFill="1" applyBorder="1" applyAlignment="1">
      <alignment horizontal="left" vertical="center"/>
    </xf>
    <xf numFmtId="177" fontId="21" fillId="34" borderId="67" xfId="8" applyNumberFormat="1" applyFont="1" applyFill="1" applyBorder="1" applyAlignment="1">
      <alignment vertical="center"/>
    </xf>
    <xf numFmtId="0" fontId="21" fillId="25" borderId="72" xfId="8" applyFont="1" applyFill="1" applyBorder="1"/>
    <xf numFmtId="0" fontId="49" fillId="25" borderId="67" xfId="8" applyFont="1" applyFill="1" applyBorder="1" applyAlignment="1" applyProtection="1">
      <alignment horizontal="center" vertical="center" wrapText="1"/>
      <protection locked="0"/>
    </xf>
    <xf numFmtId="0" fontId="49" fillId="25" borderId="67" xfId="8" applyFont="1" applyFill="1" applyBorder="1" applyAlignment="1" applyProtection="1">
      <alignment vertical="center" wrapText="1"/>
      <protection locked="0"/>
    </xf>
    <xf numFmtId="0" fontId="34" fillId="25" borderId="67" xfId="12" applyFont="1" applyFill="1" applyBorder="1" applyAlignment="1">
      <alignment horizontal="center" vertical="center"/>
    </xf>
    <xf numFmtId="0" fontId="34" fillId="25" borderId="67" xfId="12" applyFont="1" applyFill="1" applyBorder="1" applyAlignment="1">
      <alignment vertical="center"/>
    </xf>
    <xf numFmtId="14" fontId="21" fillId="25" borderId="72" xfId="8" applyNumberFormat="1" applyFont="1" applyFill="1" applyBorder="1" applyAlignment="1">
      <alignment horizontal="center"/>
    </xf>
    <xf numFmtId="0" fontId="21" fillId="25" borderId="72" xfId="8" applyFont="1" applyFill="1" applyBorder="1" applyAlignment="1">
      <alignment horizontal="center"/>
    </xf>
    <xf numFmtId="177" fontId="49" fillId="34" borderId="67" xfId="8" applyNumberFormat="1" applyFont="1" applyFill="1" applyBorder="1" applyAlignment="1">
      <alignment vertical="center"/>
    </xf>
    <xf numFmtId="0" fontId="21" fillId="25" borderId="71" xfId="8" applyFont="1" applyFill="1" applyBorder="1" applyAlignment="1">
      <alignment horizontal="center"/>
    </xf>
    <xf numFmtId="0" fontId="48" fillId="25" borderId="68" xfId="8" applyFont="1" applyFill="1" applyBorder="1" applyAlignment="1" applyProtection="1">
      <alignment horizontal="center" vertical="center" wrapText="1"/>
      <protection locked="0"/>
    </xf>
    <xf numFmtId="0" fontId="48" fillId="25" borderId="68" xfId="8" applyFont="1" applyFill="1" applyBorder="1" applyAlignment="1" applyProtection="1">
      <alignment vertical="center" wrapText="1"/>
      <protection locked="0"/>
    </xf>
    <xf numFmtId="0" fontId="48" fillId="11" borderId="67" xfId="8" applyFont="1" applyFill="1" applyBorder="1" applyAlignment="1" applyProtection="1">
      <alignment horizontal="center" vertical="center" wrapText="1"/>
      <protection locked="0"/>
    </xf>
    <xf numFmtId="0" fontId="48" fillId="11" borderId="67" xfId="8" applyFont="1" applyFill="1" applyBorder="1" applyAlignment="1" applyProtection="1">
      <alignment vertical="center" wrapText="1"/>
      <protection locked="0"/>
    </xf>
    <xf numFmtId="177" fontId="21" fillId="11" borderId="67" xfId="45" applyNumberFormat="1" applyFont="1" applyFill="1" applyBorder="1" applyAlignment="1">
      <alignment vertical="center"/>
    </xf>
    <xf numFmtId="177" fontId="49" fillId="6" borderId="70" xfId="8" applyNumberFormat="1" applyFont="1" applyFill="1" applyBorder="1" applyAlignment="1">
      <alignment vertical="center"/>
    </xf>
    <xf numFmtId="0" fontId="21" fillId="25" borderId="73" xfId="8" applyFont="1" applyFill="1" applyBorder="1" applyAlignment="1">
      <alignment horizontal="center"/>
    </xf>
    <xf numFmtId="0" fontId="48" fillId="25" borderId="8" xfId="8" applyFont="1" applyFill="1" applyBorder="1" applyAlignment="1" applyProtection="1">
      <alignment horizontal="center" vertical="center" wrapText="1"/>
      <protection locked="0"/>
    </xf>
    <xf numFmtId="0" fontId="48" fillId="25" borderId="8" xfId="8" applyFont="1" applyFill="1" applyBorder="1" applyAlignment="1" applyProtection="1">
      <alignment vertical="center" wrapText="1"/>
      <protection locked="0"/>
    </xf>
    <xf numFmtId="177" fontId="21" fillId="34" borderId="70" xfId="8" applyNumberFormat="1" applyFont="1" applyFill="1" applyBorder="1" applyAlignment="1">
      <alignment vertical="center"/>
    </xf>
    <xf numFmtId="0" fontId="34" fillId="25" borderId="67" xfId="44" applyFont="1" applyFill="1" applyBorder="1" applyAlignment="1">
      <alignment vertical="center"/>
    </xf>
    <xf numFmtId="0" fontId="34" fillId="25" borderId="8" xfId="44" applyFont="1" applyFill="1" applyBorder="1" applyAlignment="1">
      <alignment vertical="center"/>
    </xf>
    <xf numFmtId="0" fontId="34" fillId="25" borderId="0" xfId="44" applyFont="1" applyFill="1" applyBorder="1" applyAlignment="1">
      <alignment horizontal="center" vertical="center"/>
    </xf>
    <xf numFmtId="0" fontId="34" fillId="25" borderId="0" xfId="44" applyFont="1" applyFill="1" applyBorder="1" applyAlignment="1">
      <alignment vertical="center"/>
    </xf>
    <xf numFmtId="0" fontId="34" fillId="25" borderId="0" xfId="44" applyFont="1" applyFill="1"/>
    <xf numFmtId="49" fontId="34" fillId="25" borderId="0" xfId="44" applyNumberFormat="1" applyFont="1" applyFill="1" applyAlignment="1">
      <alignment horizontal="center"/>
    </xf>
    <xf numFmtId="177" fontId="21" fillId="36" borderId="70" xfId="8" applyNumberFormat="1" applyFont="1" applyFill="1" applyBorder="1" applyAlignment="1">
      <alignment vertical="center"/>
    </xf>
    <xf numFmtId="177" fontId="40" fillId="36" borderId="67" xfId="46" applyNumberFormat="1" applyFont="1" applyFill="1" applyBorder="1"/>
    <xf numFmtId="49" fontId="34" fillId="11" borderId="0" xfId="44" applyNumberFormat="1" applyFont="1" applyFill="1" applyAlignment="1">
      <alignment horizontal="center"/>
    </xf>
    <xf numFmtId="0" fontId="34" fillId="11" borderId="0" xfId="44" applyFont="1" applyFill="1"/>
    <xf numFmtId="177" fontId="21" fillId="11" borderId="70" xfId="8" applyNumberFormat="1" applyFont="1" applyFill="1" applyBorder="1" applyAlignment="1">
      <alignment vertical="center"/>
    </xf>
    <xf numFmtId="49" fontId="34" fillId="11" borderId="67" xfId="44" applyNumberFormat="1" applyFont="1" applyFill="1" applyBorder="1" applyAlignment="1">
      <alignment horizontal="center"/>
    </xf>
    <xf numFmtId="0" fontId="34" fillId="11" borderId="67" xfId="44" applyFont="1" applyFill="1" applyBorder="1"/>
    <xf numFmtId="177" fontId="12" fillId="11" borderId="67" xfId="46" applyNumberFormat="1" applyFont="1" applyFill="1" applyBorder="1"/>
    <xf numFmtId="0" fontId="34" fillId="25" borderId="67" xfId="44" applyFont="1" applyFill="1" applyBorder="1"/>
    <xf numFmtId="49" fontId="49" fillId="25" borderId="67" xfId="44" applyNumberFormat="1" applyFont="1" applyFill="1" applyBorder="1" applyAlignment="1">
      <alignment horizontal="center"/>
    </xf>
    <xf numFmtId="0" fontId="49" fillId="25" borderId="67" xfId="44" applyFont="1" applyFill="1" applyBorder="1"/>
    <xf numFmtId="177" fontId="12" fillId="34" borderId="67" xfId="46" applyNumberFormat="1" applyFont="1" applyFill="1" applyBorder="1"/>
    <xf numFmtId="177" fontId="49" fillId="11" borderId="70" xfId="8" applyNumberFormat="1" applyFont="1" applyFill="1" applyBorder="1" applyAlignment="1">
      <alignment vertical="center"/>
    </xf>
    <xf numFmtId="170" fontId="71" fillId="11" borderId="0" xfId="1" applyNumberFormat="1" applyFont="1" applyFill="1" applyAlignment="1">
      <alignment horizontal="center"/>
    </xf>
    <xf numFmtId="165" fontId="1" fillId="37" borderId="0" xfId="0" quotePrefix="1" applyNumberFormat="1" applyFont="1" applyFill="1"/>
    <xf numFmtId="0" fontId="56" fillId="9" borderId="24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10" fontId="32" fillId="0" borderId="0" xfId="1" applyNumberFormat="1" applyFont="1" applyFill="1" applyBorder="1"/>
    <xf numFmtId="165" fontId="32" fillId="0" borderId="50" xfId="0" applyNumberFormat="1" applyFont="1" applyBorder="1"/>
    <xf numFmtId="165" fontId="32" fillId="0" borderId="0" xfId="0" applyNumberFormat="1" applyFont="1" applyBorder="1"/>
    <xf numFmtId="0" fontId="64" fillId="8" borderId="0" xfId="0" applyFont="1" applyFill="1" applyAlignment="1">
      <alignment horizontal="center" vertical="top" wrapText="1"/>
    </xf>
    <xf numFmtId="0" fontId="62" fillId="0" borderId="0" xfId="0" applyFont="1" applyAlignment="1">
      <alignment vertical="center"/>
    </xf>
    <xf numFmtId="0" fontId="32" fillId="8" borderId="0" xfId="8" applyFont="1" applyFill="1" applyAlignment="1">
      <alignment horizontal="center" vertical="center" wrapText="1"/>
    </xf>
    <xf numFmtId="0" fontId="15" fillId="3" borderId="1" xfId="3" quotePrefix="1" applyNumberFormat="1" applyFont="1" applyBorder="1" applyAlignment="1">
      <alignment horizontal="left"/>
    </xf>
    <xf numFmtId="10" fontId="71" fillId="0" borderId="0" xfId="1" applyNumberFormat="1" applyFont="1"/>
    <xf numFmtId="167" fontId="71" fillId="0" borderId="0" xfId="1" applyNumberFormat="1" applyFont="1"/>
    <xf numFmtId="167" fontId="75" fillId="11" borderId="0" xfId="1" applyNumberFormat="1" applyFont="1" applyFill="1"/>
    <xf numFmtId="167" fontId="71" fillId="11" borderId="0" xfId="1" applyNumberFormat="1" applyFont="1" applyFill="1"/>
    <xf numFmtId="0" fontId="71" fillId="0" borderId="0" xfId="0" applyFont="1"/>
    <xf numFmtId="0" fontId="71" fillId="11" borderId="0" xfId="0" applyFont="1" applyFill="1"/>
    <xf numFmtId="165" fontId="71" fillId="11" borderId="0" xfId="0" applyNumberFormat="1" applyFont="1" applyFill="1" applyAlignment="1">
      <alignment horizontal="right"/>
    </xf>
    <xf numFmtId="0" fontId="71" fillId="11" borderId="0" xfId="0" applyFont="1" applyFill="1" applyAlignment="1">
      <alignment horizontal="center"/>
    </xf>
    <xf numFmtId="170" fontId="71" fillId="11" borderId="0" xfId="0" applyNumberFormat="1" applyFont="1" applyFill="1" applyAlignment="1">
      <alignment horizontal="center"/>
    </xf>
    <xf numFmtId="0" fontId="64" fillId="20" borderId="0" xfId="0" applyFont="1" applyFill="1" applyAlignment="1">
      <alignment horizontal="center" vertical="center" wrapText="1"/>
    </xf>
    <xf numFmtId="0" fontId="32" fillId="24" borderId="6" xfId="3" quotePrefix="1" applyNumberFormat="1" applyFont="1" applyFill="1" applyBorder="1" applyAlignment="1"/>
    <xf numFmtId="0" fontId="14" fillId="2" borderId="107" xfId="2" quotePrefix="1" applyNumberFormat="1" applyFont="1" applyBorder="1" applyAlignment="1">
      <alignment vertical="center"/>
    </xf>
    <xf numFmtId="0" fontId="12" fillId="0" borderId="108" xfId="0" applyFont="1" applyBorder="1"/>
    <xf numFmtId="0" fontId="26" fillId="0" borderId="109" xfId="0" applyFont="1" applyBorder="1"/>
    <xf numFmtId="0" fontId="76" fillId="0" borderId="0" xfId="0" applyFont="1" applyBorder="1" applyAlignment="1">
      <alignment horizontal="right"/>
    </xf>
    <xf numFmtId="177" fontId="21" fillId="22" borderId="67" xfId="13" applyNumberFormat="1" applyFont="1" applyFill="1" applyBorder="1" applyAlignment="1">
      <alignment horizontal="center" vertical="center"/>
    </xf>
    <xf numFmtId="177" fontId="34" fillId="22" borderId="67" xfId="13" applyNumberFormat="1" applyFont="1" applyFill="1" applyBorder="1" applyAlignment="1">
      <alignment horizontal="center" vertical="center"/>
    </xf>
    <xf numFmtId="177" fontId="21" fillId="22" borderId="68" xfId="13" applyNumberFormat="1" applyFont="1" applyFill="1" applyBorder="1" applyAlignment="1">
      <alignment horizontal="center" vertical="center"/>
    </xf>
    <xf numFmtId="177" fontId="21" fillId="22" borderId="70" xfId="13" applyNumberFormat="1" applyFont="1" applyFill="1" applyBorder="1" applyAlignment="1">
      <alignment horizontal="center" vertical="center"/>
    </xf>
    <xf numFmtId="177" fontId="21" fillId="22" borderId="8" xfId="13" applyNumberFormat="1" applyFont="1" applyFill="1" applyBorder="1" applyAlignment="1">
      <alignment horizontal="center" vertical="center"/>
    </xf>
    <xf numFmtId="177" fontId="34" fillId="22" borderId="70" xfId="13" applyNumberFormat="1" applyFont="1" applyFill="1" applyBorder="1" applyAlignment="1">
      <alignment horizontal="center" vertical="center"/>
    </xf>
    <xf numFmtId="177" fontId="34" fillId="22" borderId="68" xfId="13" applyNumberFormat="1" applyFont="1" applyFill="1" applyBorder="1" applyAlignment="1">
      <alignment horizontal="center" vertical="center"/>
    </xf>
    <xf numFmtId="177" fontId="21" fillId="35" borderId="67" xfId="13" applyNumberFormat="1" applyFont="1" applyFill="1" applyBorder="1" applyAlignment="1">
      <alignment horizontal="center" vertical="center"/>
    </xf>
    <xf numFmtId="177" fontId="21" fillId="13" borderId="67" xfId="8" applyNumberFormat="1" applyFont="1" applyFill="1" applyBorder="1" applyAlignment="1">
      <alignment horizontal="center" vertical="center"/>
    </xf>
    <xf numFmtId="177" fontId="21" fillId="13" borderId="8" xfId="8" applyNumberFormat="1" applyFont="1" applyFill="1" applyBorder="1" applyAlignment="1">
      <alignment horizontal="right" vertical="center"/>
    </xf>
    <xf numFmtId="177" fontId="21" fillId="13" borderId="70" xfId="8" applyNumberFormat="1" applyFont="1" applyFill="1" applyBorder="1" applyAlignment="1">
      <alignment horizontal="center" vertical="center"/>
    </xf>
    <xf numFmtId="177" fontId="21" fillId="13" borderId="8" xfId="8" applyNumberFormat="1" applyFont="1" applyFill="1" applyBorder="1" applyAlignment="1">
      <alignment horizontal="center" vertical="center"/>
    </xf>
    <xf numFmtId="177" fontId="34" fillId="13" borderId="8" xfId="45" applyNumberFormat="1" applyFont="1" applyFill="1" applyBorder="1" applyAlignment="1">
      <alignment vertical="center"/>
    </xf>
    <xf numFmtId="177" fontId="21" fillId="13" borderId="68" xfId="8" applyNumberFormat="1" applyFont="1" applyFill="1" applyBorder="1" applyAlignment="1">
      <alignment horizontal="center" vertical="center"/>
    </xf>
    <xf numFmtId="177" fontId="21" fillId="20" borderId="70" xfId="8" applyNumberFormat="1" applyFont="1" applyFill="1" applyBorder="1" applyAlignment="1">
      <alignment horizontal="center" vertical="center"/>
    </xf>
    <xf numFmtId="177" fontId="21" fillId="20" borderId="67" xfId="8" applyNumberFormat="1" applyFont="1" applyFill="1" applyBorder="1" applyAlignment="1">
      <alignment horizontal="center" vertical="center"/>
    </xf>
    <xf numFmtId="177" fontId="34" fillId="13" borderId="70" xfId="45" applyNumberFormat="1" applyFont="1" applyFill="1" applyBorder="1" applyAlignment="1">
      <alignment vertical="center"/>
    </xf>
    <xf numFmtId="177" fontId="21" fillId="13" borderId="67" xfId="8" applyNumberFormat="1" applyFont="1" applyFill="1" applyBorder="1" applyAlignment="1">
      <alignment horizontal="right" vertical="center"/>
    </xf>
    <xf numFmtId="177" fontId="21" fillId="13" borderId="70" xfId="8" applyNumberFormat="1" applyFont="1" applyFill="1" applyBorder="1" applyAlignment="1">
      <alignment horizontal="right" vertical="center"/>
    </xf>
    <xf numFmtId="177" fontId="21" fillId="9" borderId="67" xfId="8" applyNumberFormat="1" applyFont="1" applyFill="1" applyBorder="1" applyAlignment="1">
      <alignment horizontal="center" vertical="center"/>
    </xf>
    <xf numFmtId="177" fontId="21" fillId="11" borderId="70" xfId="47" applyNumberFormat="1" applyFont="1" applyFill="1" applyBorder="1" applyAlignment="1">
      <alignment vertical="center"/>
    </xf>
    <xf numFmtId="177" fontId="21" fillId="20" borderId="0" xfId="47" applyNumberFormat="1" applyFont="1" applyFill="1" applyBorder="1" applyAlignment="1">
      <alignment vertical="center"/>
    </xf>
    <xf numFmtId="177" fontId="21" fillId="20" borderId="0" xfId="8" applyNumberFormat="1" applyFont="1" applyFill="1" applyBorder="1" applyAlignment="1">
      <alignment horizontal="center" vertical="center"/>
    </xf>
    <xf numFmtId="177" fontId="21" fillId="13" borderId="0" xfId="8" applyNumberFormat="1" applyFont="1" applyFill="1" applyBorder="1" applyAlignment="1">
      <alignment horizontal="center" vertical="center"/>
    </xf>
    <xf numFmtId="177" fontId="12" fillId="0" borderId="67" xfId="13" applyNumberFormat="1" applyFont="1" applyFill="1" applyBorder="1"/>
    <xf numFmtId="177" fontId="12" fillId="20" borderId="67" xfId="13" applyNumberFormat="1" applyFont="1" applyFill="1" applyBorder="1"/>
    <xf numFmtId="0" fontId="18" fillId="0" borderId="98" xfId="5" applyFont="1" applyBorder="1" applyAlignment="1" applyProtection="1">
      <alignment vertical="top" wrapText="1" readingOrder="1"/>
      <protection locked="0"/>
    </xf>
    <xf numFmtId="0" fontId="16" fillId="0" borderId="110" xfId="5" applyBorder="1" applyAlignment="1" applyProtection="1">
      <alignment vertical="top" wrapText="1"/>
      <protection locked="0"/>
    </xf>
    <xf numFmtId="175" fontId="18" fillId="0" borderId="98" xfId="5" applyNumberFormat="1" applyFont="1" applyBorder="1" applyAlignment="1" applyProtection="1">
      <alignment horizontal="center" vertical="top" wrapText="1" readingOrder="1"/>
      <protection locked="0"/>
    </xf>
    <xf numFmtId="0" fontId="18" fillId="0" borderId="98" xfId="5" applyFont="1" applyBorder="1" applyAlignment="1" applyProtection="1">
      <alignment horizontal="center" vertical="top" wrapText="1" readingOrder="1"/>
      <protection locked="0"/>
    </xf>
    <xf numFmtId="165" fontId="18" fillId="0" borderId="98" xfId="5" applyNumberFormat="1" applyFont="1" applyBorder="1" applyAlignment="1" applyProtection="1">
      <alignment vertical="top" wrapText="1" readingOrder="1"/>
      <protection locked="0"/>
    </xf>
    <xf numFmtId="165" fontId="44" fillId="6" borderId="98" xfId="5" applyNumberFormat="1" applyFont="1" applyFill="1" applyBorder="1" applyAlignment="1" applyProtection="1">
      <alignment vertical="top" wrapText="1" readingOrder="1"/>
      <protection locked="0"/>
    </xf>
    <xf numFmtId="0" fontId="18" fillId="11" borderId="98" xfId="5" applyFont="1" applyFill="1" applyBorder="1" applyAlignment="1" applyProtection="1">
      <alignment vertical="top" wrapText="1" readingOrder="1"/>
      <protection locked="0"/>
    </xf>
    <xf numFmtId="0" fontId="16" fillId="11" borderId="110" xfId="5" applyFill="1" applyBorder="1" applyAlignment="1" applyProtection="1">
      <alignment vertical="top" wrapText="1"/>
      <protection locked="0"/>
    </xf>
    <xf numFmtId="165" fontId="18" fillId="6" borderId="98" xfId="5" applyNumberFormat="1" applyFont="1" applyFill="1" applyBorder="1" applyAlignment="1" applyProtection="1">
      <alignment vertical="top" wrapText="1" readingOrder="1"/>
      <protection locked="0"/>
    </xf>
    <xf numFmtId="180" fontId="18" fillId="6" borderId="98" xfId="5" applyNumberFormat="1" applyFont="1" applyFill="1" applyBorder="1" applyAlignment="1" applyProtection="1">
      <alignment vertical="top" wrapText="1" readingOrder="1"/>
      <protection locked="0"/>
    </xf>
    <xf numFmtId="0" fontId="18" fillId="38" borderId="98" xfId="5" applyFont="1" applyFill="1" applyBorder="1" applyAlignment="1" applyProtection="1">
      <alignment vertical="top" wrapText="1" readingOrder="1"/>
      <protection locked="0"/>
    </xf>
    <xf numFmtId="165" fontId="18" fillId="38" borderId="98" xfId="5" applyNumberFormat="1" applyFont="1" applyFill="1" applyBorder="1" applyAlignment="1" applyProtection="1">
      <alignment vertical="top" wrapText="1" readingOrder="1"/>
      <protection locked="0"/>
    </xf>
    <xf numFmtId="165" fontId="18" fillId="39" borderId="98" xfId="5" applyNumberFormat="1" applyFont="1" applyFill="1" applyBorder="1" applyAlignment="1" applyProtection="1">
      <alignment vertical="top" wrapText="1" readingOrder="1"/>
      <protection locked="0"/>
    </xf>
    <xf numFmtId="176" fontId="18" fillId="0" borderId="98" xfId="5" applyNumberFormat="1" applyFont="1" applyBorder="1" applyAlignment="1" applyProtection="1">
      <alignment vertical="top" wrapText="1" readingOrder="1"/>
      <protection locked="0"/>
    </xf>
    <xf numFmtId="165" fontId="12" fillId="0" borderId="0" xfId="1" applyNumberFormat="1" applyFont="1" applyFill="1"/>
    <xf numFmtId="10" fontId="77" fillId="0" borderId="0" xfId="1" applyNumberFormat="1" applyFont="1"/>
    <xf numFmtId="165" fontId="1" fillId="0" borderId="0" xfId="0" quotePrefix="1" applyNumberFormat="1" applyFont="1" applyFill="1"/>
    <xf numFmtId="0" fontId="0" fillId="11" borderId="0" xfId="0" applyFill="1" applyAlignment="1">
      <alignment horizontal="right"/>
    </xf>
    <xf numFmtId="165" fontId="30" fillId="11" borderId="0" xfId="0" applyNumberFormat="1" applyFont="1" applyFill="1" applyAlignment="1">
      <alignment horizontal="right"/>
    </xf>
    <xf numFmtId="0" fontId="32" fillId="25" borderId="6" xfId="0" applyFont="1" applyFill="1" applyBorder="1" applyAlignment="1">
      <alignment horizontal="left" vertical="center" wrapText="1"/>
    </xf>
    <xf numFmtId="0" fontId="18" fillId="0" borderId="98" xfId="5" applyFont="1" applyFill="1" applyBorder="1" applyAlignment="1" applyProtection="1">
      <alignment vertical="top" wrapText="1" readingOrder="1"/>
      <protection locked="0"/>
    </xf>
    <xf numFmtId="0" fontId="16" fillId="0" borderId="65" xfId="5" applyFill="1" applyBorder="1" applyAlignment="1" applyProtection="1">
      <alignment vertical="top" wrapText="1"/>
      <protection locked="0"/>
    </xf>
    <xf numFmtId="165" fontId="12" fillId="0" borderId="0" xfId="0" applyNumberFormat="1" applyFont="1" applyAlignment="1">
      <alignment horizontal="right"/>
    </xf>
    <xf numFmtId="2" fontId="1" fillId="0" borderId="17" xfId="0" applyNumberFormat="1" applyFont="1" applyBorder="1"/>
    <xf numFmtId="169" fontId="22" fillId="13" borderId="36" xfId="18" applyNumberFormat="1" applyFont="1" applyFill="1" applyBorder="1"/>
    <xf numFmtId="169" fontId="22" fillId="14" borderId="38" xfId="0" quotePrefix="1" applyNumberFormat="1" applyFont="1" applyFill="1" applyBorder="1" applyAlignment="1">
      <alignment horizontal="right"/>
    </xf>
    <xf numFmtId="0" fontId="12" fillId="9" borderId="111" xfId="0" applyFont="1" applyFill="1" applyBorder="1"/>
    <xf numFmtId="0" fontId="12" fillId="9" borderId="112" xfId="0" applyFont="1" applyFill="1" applyBorder="1"/>
    <xf numFmtId="0" fontId="57" fillId="9" borderId="12" xfId="0" applyFont="1" applyFill="1" applyBorder="1" applyAlignment="1">
      <alignment horizontal="center"/>
    </xf>
    <xf numFmtId="0" fontId="28" fillId="5" borderId="6" xfId="0" applyFont="1" applyFill="1" applyBorder="1" applyAlignment="1">
      <alignment horizontal="center" vertical="center"/>
    </xf>
    <xf numFmtId="0" fontId="28" fillId="5" borderId="6" xfId="0" applyFont="1" applyFill="1" applyBorder="1" applyAlignment="1">
      <alignment vertical="center"/>
    </xf>
    <xf numFmtId="2" fontId="25" fillId="36" borderId="6" xfId="0" applyNumberFormat="1" applyFont="1" applyFill="1" applyBorder="1" applyAlignment="1">
      <alignment horizontal="center" vertical="center"/>
    </xf>
    <xf numFmtId="2" fontId="38" fillId="36" borderId="6" xfId="0" applyNumberFormat="1" applyFont="1" applyFill="1" applyBorder="1" applyAlignment="1">
      <alignment horizontal="center" vertical="center"/>
    </xf>
    <xf numFmtId="0" fontId="78" fillId="0" borderId="0" xfId="0" pivotButton="1" applyFont="1"/>
    <xf numFmtId="0" fontId="78" fillId="0" borderId="0" xfId="0" applyFont="1"/>
    <xf numFmtId="165" fontId="78" fillId="0" borderId="0" xfId="0" applyNumberFormat="1" applyFont="1"/>
    <xf numFmtId="0" fontId="78" fillId="0" borderId="0" xfId="0" pivotButton="1" applyFont="1" applyAlignment="1">
      <alignment wrapText="1"/>
    </xf>
    <xf numFmtId="0" fontId="78" fillId="0" borderId="0" xfId="0" applyFont="1" applyAlignment="1">
      <alignment vertical="center"/>
    </xf>
    <xf numFmtId="165" fontId="79" fillId="0" borderId="0" xfId="0" applyNumberFormat="1" applyFont="1"/>
    <xf numFmtId="165" fontId="78" fillId="0" borderId="0" xfId="0" applyNumberFormat="1" applyFont="1" applyFill="1"/>
    <xf numFmtId="0" fontId="78" fillId="0" borderId="0" xfId="0" applyFont="1" applyFill="1"/>
    <xf numFmtId="165" fontId="79" fillId="25" borderId="0" xfId="0" applyNumberFormat="1" applyFont="1" applyFill="1"/>
    <xf numFmtId="165" fontId="80" fillId="25" borderId="0" xfId="0" applyNumberFormat="1" applyFont="1" applyFill="1"/>
    <xf numFmtId="0" fontId="79" fillId="25" borderId="0" xfId="0" applyFont="1" applyFill="1"/>
    <xf numFmtId="0" fontId="79" fillId="0" borderId="0" xfId="0" applyFont="1"/>
    <xf numFmtId="0" fontId="34" fillId="0" borderId="0" xfId="0" applyFont="1" applyAlignment="1">
      <alignment horizontal="left" wrapText="1"/>
    </xf>
    <xf numFmtId="0" fontId="27" fillId="8" borderId="39" xfId="0" applyFont="1" applyFill="1" applyBorder="1" applyAlignment="1">
      <alignment horizontal="center"/>
    </xf>
    <xf numFmtId="0" fontId="27" fillId="8" borderId="40" xfId="0" applyFont="1" applyFill="1" applyBorder="1" applyAlignment="1">
      <alignment horizontal="center"/>
    </xf>
    <xf numFmtId="0" fontId="27" fillId="8" borderId="41" xfId="0" applyFont="1" applyFill="1" applyBorder="1" applyAlignment="1">
      <alignment horizontal="center"/>
    </xf>
    <xf numFmtId="0" fontId="12" fillId="9" borderId="12" xfId="0" applyFont="1" applyFill="1" applyBorder="1" applyAlignment="1">
      <alignment horizontal="left" wrapText="1"/>
    </xf>
    <xf numFmtId="0" fontId="12" fillId="9" borderId="13" xfId="0" applyFont="1" applyFill="1" applyBorder="1" applyAlignment="1">
      <alignment horizontal="left" wrapText="1"/>
    </xf>
    <xf numFmtId="0" fontId="56" fillId="0" borderId="0" xfId="0" applyFont="1" applyAlignment="1">
      <alignment horizontal="left" vertical="center" wrapText="1"/>
    </xf>
    <xf numFmtId="0" fontId="12" fillId="5" borderId="77" xfId="0" applyFont="1" applyFill="1" applyBorder="1" applyAlignment="1">
      <alignment horizontal="center"/>
    </xf>
    <xf numFmtId="0" fontId="12" fillId="5" borderId="106" xfId="0" applyFont="1" applyFill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69" fillId="0" borderId="32" xfId="0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horizontal="left" vertical="center" wrapText="1"/>
    </xf>
    <xf numFmtId="0" fontId="18" fillId="0" borderId="44" xfId="5" applyFont="1" applyBorder="1" applyAlignment="1" applyProtection="1">
      <alignment vertical="top" wrapText="1" readingOrder="1"/>
      <protection locked="0"/>
    </xf>
    <xf numFmtId="0" fontId="16" fillId="0" borderId="46" xfId="5" applyBorder="1" applyAlignment="1" applyProtection="1">
      <alignment vertical="top" wrapText="1"/>
      <protection locked="0"/>
    </xf>
    <xf numFmtId="0" fontId="48" fillId="0" borderId="44" xfId="5" applyFont="1" applyBorder="1" applyAlignment="1" applyProtection="1">
      <alignment vertical="top" wrapText="1" readingOrder="1"/>
      <protection locked="0"/>
    </xf>
    <xf numFmtId="0" fontId="21" fillId="0" borderId="46" xfId="5" applyFont="1" applyBorder="1" applyAlignment="1" applyProtection="1">
      <alignment vertical="top" wrapText="1"/>
      <protection locked="0"/>
    </xf>
    <xf numFmtId="0" fontId="17" fillId="7" borderId="54" xfId="5" applyFont="1" applyFill="1" applyBorder="1" applyAlignment="1" applyProtection="1">
      <alignment horizontal="center" vertical="center" wrapText="1" readingOrder="1"/>
      <protection locked="0"/>
    </xf>
    <xf numFmtId="0" fontId="16" fillId="0" borderId="55" xfId="5" applyBorder="1" applyAlignment="1" applyProtection="1">
      <alignment horizontal="center" vertical="center" wrapText="1"/>
      <protection locked="0"/>
    </xf>
    <xf numFmtId="0" fontId="45" fillId="7" borderId="44" xfId="5" applyFont="1" applyFill="1" applyBorder="1" applyAlignment="1" applyProtection="1">
      <alignment vertical="top" wrapText="1" readingOrder="1"/>
      <protection locked="0"/>
    </xf>
    <xf numFmtId="0" fontId="45" fillId="7" borderId="5" xfId="5" applyFont="1" applyFill="1" applyBorder="1" applyAlignment="1" applyProtection="1">
      <alignment vertical="top" wrapText="1" readingOrder="1"/>
      <protection locked="0"/>
    </xf>
    <xf numFmtId="0" fontId="16" fillId="0" borderId="47" xfId="5" applyBorder="1" applyAlignment="1" applyProtection="1">
      <alignment vertical="top" wrapText="1"/>
      <protection locked="0"/>
    </xf>
  </cellXfs>
  <cellStyles count="52">
    <cellStyle name="Comma" xfId="18" builtinId="3"/>
    <cellStyle name="Comma 2" xfId="33"/>
    <cellStyle name="Comma 2 2" xfId="38"/>
    <cellStyle name="Comma 2 3" xfId="25"/>
    <cellStyle name="Comma 2 3 10" xfId="26"/>
    <cellStyle name="Comma 2 4" xfId="50"/>
    <cellStyle name="Currency 2" xfId="32"/>
    <cellStyle name="Currency 2 2" xfId="37"/>
    <cellStyle name="Currency 2 3" xfId="49"/>
    <cellStyle name="Hyperlink" xfId="51" builtinId="8"/>
    <cellStyle name="Neutral 2" xfId="21"/>
    <cellStyle name="Normal" xfId="0" builtinId="0"/>
    <cellStyle name="Normal 2" xfId="5"/>
    <cellStyle name="Normal 2 2" xfId="24"/>
    <cellStyle name="Normal 2 2 2" xfId="12"/>
    <cellStyle name="Normal 2 3" xfId="8"/>
    <cellStyle name="Normal 2 4" xfId="7"/>
    <cellStyle name="Normal 2 7" xfId="23"/>
    <cellStyle name="Normal 3" xfId="11"/>
    <cellStyle name="Normal 3 19" xfId="19"/>
    <cellStyle name="Normal 3 4 17" xfId="31"/>
    <cellStyle name="Normal 3 4 17 2" xfId="36"/>
    <cellStyle name="Normal 3 4 17 3" xfId="48"/>
    <cellStyle name="Normal 4" xfId="9"/>
    <cellStyle name="Normal 5" xfId="27"/>
    <cellStyle name="Normal 5 2" xfId="39"/>
    <cellStyle name="Normal 6" xfId="34"/>
    <cellStyle name="Normal 7" xfId="6"/>
    <cellStyle name="Normal 7 17" xfId="44"/>
    <cellStyle name="Normal 7 2" xfId="43"/>
    <cellStyle name="Normal 8" xfId="40"/>
    <cellStyle name="Normal 9" xfId="47"/>
    <cellStyle name="Percent" xfId="1" builtinId="5"/>
    <cellStyle name="Percent 11" xfId="46"/>
    <cellStyle name="Percent 2" xfId="10"/>
    <cellStyle name="Percent 2 2 2" xfId="20"/>
    <cellStyle name="Percent 3" xfId="13"/>
    <cellStyle name="Percent 3 2" xfId="14"/>
    <cellStyle name="Percent 3 3" xfId="15"/>
    <cellStyle name="Percent 3 5" xfId="45"/>
    <cellStyle name="Percent 4" xfId="35"/>
    <cellStyle name="Percent 5" xfId="41"/>
    <cellStyle name="SAPDataCell" xfId="4"/>
    <cellStyle name="SAPDataCell 2" xfId="30"/>
    <cellStyle name="SAPDataTotalCell" xfId="17"/>
    <cellStyle name="SAPDimensionCell" xfId="2"/>
    <cellStyle name="SAPDimensionCell 2" xfId="28"/>
    <cellStyle name="SAPMemberCell" xfId="3"/>
    <cellStyle name="SAPMemberCell 2" xfId="29"/>
    <cellStyle name="SAPMemberCell 3" xfId="42"/>
    <cellStyle name="SAPMemberTotalCell" xfId="16"/>
    <cellStyle name="TableLvl3" xfId="22"/>
  </cellStyles>
  <dxfs count="603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color rgb="FF0000FF"/>
      </font>
      <fill>
        <patternFill patternType="solid">
          <fgColor indexed="64"/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rgb="FF0000FF"/>
      </font>
    </dxf>
    <dxf>
      <fill>
        <patternFill>
          <bgColor rgb="FFFFC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ill>
        <patternFill patternType="solid">
          <bgColor rgb="FFFFC000"/>
        </patternFill>
      </fill>
    </dxf>
    <dxf>
      <font>
        <color rgb="FF0000FF"/>
      </font>
    </dxf>
    <dxf>
      <font>
        <b/>
      </font>
    </dxf>
    <dxf>
      <font>
        <color rgb="FF0000FF"/>
      </font>
    </dxf>
    <dxf>
      <fill>
        <patternFill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165" formatCode="#,##0\ ;\(#,##0\)"/>
    </dxf>
  </dxfs>
  <tableStyles count="0" defaultTableStyle="TableStyleMedium2" defaultPivotStyle="PivotStyleLight16"/>
  <colors>
    <mruColors>
      <color rgb="FF0000FF"/>
      <color rgb="FFFFFF66"/>
      <color rgb="FFFF99CC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Profile 2009 to 2023 $m Real 2017-18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15yr View'!$B$22</c:f>
              <c:strCache>
                <c:ptCount val="1"/>
                <c:pt idx="0">
                  <c:v>Augmentation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View'!$C$22:$Q$22</c:f>
              <c:numCache>
                <c:formatCode>0.0</c:formatCode>
                <c:ptCount val="15"/>
                <c:pt idx="0">
                  <c:v>17.459226752033388</c:v>
                </c:pt>
                <c:pt idx="1">
                  <c:v>50.41765967042609</c:v>
                </c:pt>
                <c:pt idx="2">
                  <c:v>185.88985991527844</c:v>
                </c:pt>
                <c:pt idx="3">
                  <c:v>81.508045119244173</c:v>
                </c:pt>
                <c:pt idx="4">
                  <c:v>62.382861328124804</c:v>
                </c:pt>
                <c:pt idx="5">
                  <c:v>28.418786290322494</c:v>
                </c:pt>
                <c:pt idx="6">
                  <c:v>10.640099836142289</c:v>
                </c:pt>
                <c:pt idx="7">
                  <c:v>35.66973737273787</c:v>
                </c:pt>
                <c:pt idx="8">
                  <c:v>13.624777496249996</c:v>
                </c:pt>
                <c:pt idx="9">
                  <c:v>15.366261043184689</c:v>
                </c:pt>
                <c:pt idx="10">
                  <c:v>7.4421753558110506</c:v>
                </c:pt>
                <c:pt idx="11">
                  <c:v>2.0414548559727312</c:v>
                </c:pt>
                <c:pt idx="12">
                  <c:v>0.14316135600255209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6-4BE3-8575-18DFFDADEB8D}"/>
            </c:ext>
          </c:extLst>
        </c:ser>
        <c:ser>
          <c:idx val="1"/>
          <c:order val="1"/>
          <c:tx>
            <c:strRef>
              <c:f>'Capex 15yr View'!$B$23</c:f>
              <c:strCache>
                <c:ptCount val="1"/>
                <c:pt idx="0">
                  <c:v>Connection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View'!$C$23:$Q$23</c:f>
              <c:numCache>
                <c:formatCode>0.0</c:formatCode>
                <c:ptCount val="15"/>
                <c:pt idx="0">
                  <c:v>14.406914382796781</c:v>
                </c:pt>
                <c:pt idx="1">
                  <c:v>24.674995791643827</c:v>
                </c:pt>
                <c:pt idx="2">
                  <c:v>33.202824175225871</c:v>
                </c:pt>
                <c:pt idx="3">
                  <c:v>26.79251968552132</c:v>
                </c:pt>
                <c:pt idx="4">
                  <c:v>39.376416015624876</c:v>
                </c:pt>
                <c:pt idx="5">
                  <c:v>12.869370967741895</c:v>
                </c:pt>
                <c:pt idx="6">
                  <c:v>20.276956928838892</c:v>
                </c:pt>
                <c:pt idx="7">
                  <c:v>2.8361471189579395</c:v>
                </c:pt>
                <c:pt idx="8">
                  <c:v>3.8882523737499999</c:v>
                </c:pt>
                <c:pt idx="9">
                  <c:v>3.71965364999692E-2</c:v>
                </c:pt>
                <c:pt idx="10">
                  <c:v>8.4747629097360555E-2</c:v>
                </c:pt>
                <c:pt idx="11">
                  <c:v>1.2552218582304506</c:v>
                </c:pt>
                <c:pt idx="12">
                  <c:v>5.0041956810868848</c:v>
                </c:pt>
                <c:pt idx="13">
                  <c:v>6.3935410652565692E-3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6-4BE3-8575-18DFFDADEB8D}"/>
            </c:ext>
          </c:extLst>
        </c:ser>
        <c:ser>
          <c:idx val="2"/>
          <c:order val="2"/>
          <c:tx>
            <c:strRef>
              <c:f>'Capex 15yr View'!$B$24</c:f>
              <c:strCache>
                <c:ptCount val="1"/>
                <c:pt idx="0">
                  <c:v>Replacement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View'!$C$24:$Q$24</c:f>
              <c:numCache>
                <c:formatCode>0.0</c:formatCode>
                <c:ptCount val="15"/>
                <c:pt idx="0">
                  <c:v>67.51714960751373</c:v>
                </c:pt>
                <c:pt idx="1">
                  <c:v>41.520425610939128</c:v>
                </c:pt>
                <c:pt idx="2">
                  <c:v>22.058623673506464</c:v>
                </c:pt>
                <c:pt idx="3">
                  <c:v>53.132844945970554</c:v>
                </c:pt>
                <c:pt idx="4">
                  <c:v>76.872497558593508</c:v>
                </c:pt>
                <c:pt idx="5">
                  <c:v>69.848790322580427</c:v>
                </c:pt>
                <c:pt idx="6">
                  <c:v>60.130933988763864</c:v>
                </c:pt>
                <c:pt idx="7">
                  <c:v>77.546514680311716</c:v>
                </c:pt>
                <c:pt idx="8">
                  <c:v>77.240473221000002</c:v>
                </c:pt>
                <c:pt idx="9">
                  <c:v>65.421842479931655</c:v>
                </c:pt>
                <c:pt idx="10">
                  <c:v>34.016855843558126</c:v>
                </c:pt>
                <c:pt idx="11">
                  <c:v>34.95999494475673</c:v>
                </c:pt>
                <c:pt idx="12">
                  <c:v>36.883656105478352</c:v>
                </c:pt>
                <c:pt idx="13">
                  <c:v>41.323244742440558</c:v>
                </c:pt>
                <c:pt idx="14">
                  <c:v>19.098016684399312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6-4BE3-8575-18DFFDADEB8D}"/>
            </c:ext>
          </c:extLst>
        </c:ser>
        <c:ser>
          <c:idx val="3"/>
          <c:order val="3"/>
          <c:tx>
            <c:strRef>
              <c:f>'Capex 15yr View'!$B$25</c:f>
              <c:strCache>
                <c:ptCount val="1"/>
                <c:pt idx="0">
                  <c:v>Refurbishment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View'!$C$25:$Q$25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2.1943266129032186</c:v>
                </c:pt>
                <c:pt idx="6">
                  <c:v>10.658128511235924</c:v>
                </c:pt>
                <c:pt idx="7">
                  <c:v>25.707768928143398</c:v>
                </c:pt>
                <c:pt idx="8">
                  <c:v>20.157599057499997</c:v>
                </c:pt>
                <c:pt idx="9">
                  <c:v>16.683025950815161</c:v>
                </c:pt>
                <c:pt idx="10">
                  <c:v>10.006707636041199</c:v>
                </c:pt>
                <c:pt idx="11">
                  <c:v>38.359070034387194</c:v>
                </c:pt>
                <c:pt idx="12">
                  <c:v>49.126991481311045</c:v>
                </c:pt>
                <c:pt idx="13">
                  <c:v>42.939541130928191</c:v>
                </c:pt>
                <c:pt idx="14">
                  <c:v>21.823887547266427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D6-4BE3-8575-18DFFDADEB8D}"/>
            </c:ext>
          </c:extLst>
        </c:ser>
        <c:ser>
          <c:idx val="4"/>
          <c:order val="4"/>
          <c:tx>
            <c:strRef>
              <c:f>'Capex 15yr View'!$B$26</c:f>
              <c:strCache>
                <c:ptCount val="1"/>
                <c:pt idx="0">
                  <c:v>Easements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View'!$C$26:$Q$26</c:f>
              <c:numCache>
                <c:formatCode>0.0</c:formatCode>
                <c:ptCount val="15"/>
                <c:pt idx="0">
                  <c:v>1.465109937233571</c:v>
                </c:pt>
                <c:pt idx="1">
                  <c:v>0.23725957491965219</c:v>
                </c:pt>
                <c:pt idx="2">
                  <c:v>1.378663979594154</c:v>
                </c:pt>
                <c:pt idx="3">
                  <c:v>13.904978570966762</c:v>
                </c:pt>
                <c:pt idx="4">
                  <c:v>16.0381469726562</c:v>
                </c:pt>
                <c:pt idx="5">
                  <c:v>6.1370221774193361</c:v>
                </c:pt>
                <c:pt idx="6">
                  <c:v>5.9293130852059743</c:v>
                </c:pt>
                <c:pt idx="7">
                  <c:v>4.6945272758941625</c:v>
                </c:pt>
                <c:pt idx="8">
                  <c:v>7.3070217322499991</c:v>
                </c:pt>
                <c:pt idx="9">
                  <c:v>1.5862013316559429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D6-4BE3-8575-18DFFDADEB8D}"/>
            </c:ext>
          </c:extLst>
        </c:ser>
        <c:ser>
          <c:idx val="5"/>
          <c:order val="5"/>
          <c:tx>
            <c:strRef>
              <c:f>'Capex 15yr View'!$B$27</c:f>
              <c:strCache>
                <c:ptCount val="1"/>
                <c:pt idx="0">
                  <c:v>Security/ Compliance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View'!$C$27:$Q$27</c:f>
              <c:numCache>
                <c:formatCode>0.0</c:formatCode>
                <c:ptCount val="15"/>
                <c:pt idx="0">
                  <c:v>4.5174223064701771</c:v>
                </c:pt>
                <c:pt idx="1">
                  <c:v>9.4903829967860869</c:v>
                </c:pt>
                <c:pt idx="2">
                  <c:v>12.637753146279746</c:v>
                </c:pt>
                <c:pt idx="3">
                  <c:v>15.939853483791165</c:v>
                </c:pt>
                <c:pt idx="4">
                  <c:v>26.324682617187417</c:v>
                </c:pt>
                <c:pt idx="5">
                  <c:v>6.5453689516128826</c:v>
                </c:pt>
                <c:pt idx="6">
                  <c:v>3.2154672284644099</c:v>
                </c:pt>
                <c:pt idx="7">
                  <c:v>12.600942624170477</c:v>
                </c:pt>
                <c:pt idx="8">
                  <c:v>12.296446488999997</c:v>
                </c:pt>
                <c:pt idx="9">
                  <c:v>38.836548974328316</c:v>
                </c:pt>
                <c:pt idx="10">
                  <c:v>27.174089577507875</c:v>
                </c:pt>
                <c:pt idx="11">
                  <c:v>12.546519649978764</c:v>
                </c:pt>
                <c:pt idx="12">
                  <c:v>4.9199801157155498</c:v>
                </c:pt>
                <c:pt idx="13">
                  <c:v>3.4896039421177738</c:v>
                </c:pt>
                <c:pt idx="14">
                  <c:v>2.9661000076291768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D6-4BE3-8575-18DFFDADEB8D}"/>
            </c:ext>
          </c:extLst>
        </c:ser>
        <c:ser>
          <c:idx val="6"/>
          <c:order val="6"/>
          <c:tx>
            <c:strRef>
              <c:f>'Capex 15yr View'!$B$28</c:f>
              <c:strCache>
                <c:ptCount val="1"/>
                <c:pt idx="0">
                  <c:v>Inventory/Spares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View'!$C$28:$Q$28</c:f>
              <c:numCache>
                <c:formatCode>0.0</c:formatCode>
                <c:ptCount val="15"/>
                <c:pt idx="0">
                  <c:v>4.639514801239641</c:v>
                </c:pt>
                <c:pt idx="1">
                  <c:v>2.8471148990358262</c:v>
                </c:pt>
                <c:pt idx="2">
                  <c:v>2.5275506292559493</c:v>
                </c:pt>
                <c:pt idx="3">
                  <c:v>2.7131665504325388</c:v>
                </c:pt>
                <c:pt idx="4">
                  <c:v>4.5349243164062356</c:v>
                </c:pt>
                <c:pt idx="5">
                  <c:v>0.57920766129032075</c:v>
                </c:pt>
                <c:pt idx="6">
                  <c:v>2.2101034644194688</c:v>
                </c:pt>
                <c:pt idx="7">
                  <c:v>1.850442926106741</c:v>
                </c:pt>
                <c:pt idx="8">
                  <c:v>5.3022258619999993</c:v>
                </c:pt>
                <c:pt idx="9">
                  <c:v>3.5646900634171672</c:v>
                </c:pt>
                <c:pt idx="10">
                  <c:v>2.3145857475873481</c:v>
                </c:pt>
                <c:pt idx="11">
                  <c:v>2.3198244284395955</c:v>
                </c:pt>
                <c:pt idx="12">
                  <c:v>2.3041247643821898</c:v>
                </c:pt>
                <c:pt idx="13">
                  <c:v>2.3072105274755748</c:v>
                </c:pt>
                <c:pt idx="14">
                  <c:v>2.3089938168732069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D6-4BE3-8575-18DFFDADEB8D}"/>
            </c:ext>
          </c:extLst>
        </c:ser>
        <c:ser>
          <c:idx val="7"/>
          <c:order val="7"/>
          <c:tx>
            <c:strRef>
              <c:f>'Capex 15yr View'!$B$29</c:f>
              <c:strCache>
                <c:ptCount val="1"/>
                <c:pt idx="0">
                  <c:v>Information Technology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View'!$C$29:$Q$29</c:f>
              <c:numCache>
                <c:formatCode>0.0</c:formatCode>
                <c:ptCount val="15"/>
                <c:pt idx="0">
                  <c:v>7.8139196652457121</c:v>
                </c:pt>
                <c:pt idx="1">
                  <c:v>6.8805276726699125</c:v>
                </c:pt>
                <c:pt idx="2">
                  <c:v>8.386872542531103</c:v>
                </c:pt>
                <c:pt idx="3">
                  <c:v>8.704742682637729</c:v>
                </c:pt>
                <c:pt idx="4">
                  <c:v>14.047204589843705</c:v>
                </c:pt>
                <c:pt idx="5">
                  <c:v>13.341118951612861</c:v>
                </c:pt>
                <c:pt idx="6">
                  <c:v>7.5412887406366806</c:v>
                </c:pt>
                <c:pt idx="7">
                  <c:v>10.329588372089844</c:v>
                </c:pt>
                <c:pt idx="8">
                  <c:v>12.549472177250001</c:v>
                </c:pt>
                <c:pt idx="9">
                  <c:v>18.477660351864603</c:v>
                </c:pt>
                <c:pt idx="10">
                  <c:v>14.591460654300473</c:v>
                </c:pt>
                <c:pt idx="11">
                  <c:v>7.5597791225356419</c:v>
                </c:pt>
                <c:pt idx="12">
                  <c:v>9.0243003810774525</c:v>
                </c:pt>
                <c:pt idx="13">
                  <c:v>9.3775285148455492</c:v>
                </c:pt>
                <c:pt idx="14">
                  <c:v>6.545179230847733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D6-4BE3-8575-18DFFDADEB8D}"/>
            </c:ext>
          </c:extLst>
        </c:ser>
        <c:ser>
          <c:idx val="8"/>
          <c:order val="8"/>
          <c:tx>
            <c:strRef>
              <c:f>'Capex 15yr View'!$B$30</c:f>
              <c:strCache>
                <c:ptCount val="1"/>
                <c:pt idx="0">
                  <c:v>Facilities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View'!$C$30:$Q$30</c:f>
              <c:numCache>
                <c:formatCode>0.0</c:formatCode>
                <c:ptCount val="15"/>
                <c:pt idx="0">
                  <c:v>1.0988324529251783</c:v>
                </c:pt>
                <c:pt idx="1">
                  <c:v>3.3216340488751301</c:v>
                </c:pt>
                <c:pt idx="2">
                  <c:v>0.80422065476325644</c:v>
                </c:pt>
                <c:pt idx="3">
                  <c:v>1.3565832752162694</c:v>
                </c:pt>
                <c:pt idx="4">
                  <c:v>2.1015502929687435</c:v>
                </c:pt>
                <c:pt idx="5">
                  <c:v>1.3056350806451573</c:v>
                </c:pt>
                <c:pt idx="6">
                  <c:v>0.73387312734082166</c:v>
                </c:pt>
                <c:pt idx="7">
                  <c:v>0.91396325429643888</c:v>
                </c:pt>
                <c:pt idx="8">
                  <c:v>1.5665200767499998</c:v>
                </c:pt>
                <c:pt idx="9">
                  <c:v>9.5483773032397448</c:v>
                </c:pt>
                <c:pt idx="10">
                  <c:v>1.4840277364510743</c:v>
                </c:pt>
                <c:pt idx="11">
                  <c:v>1.1573772339010588</c:v>
                </c:pt>
                <c:pt idx="12">
                  <c:v>1.5074259580442442</c:v>
                </c:pt>
                <c:pt idx="13">
                  <c:v>1.129688081572545</c:v>
                </c:pt>
                <c:pt idx="14">
                  <c:v>0.66212193908671602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D6-4BE3-8575-18DFFDADEB8D}"/>
            </c:ext>
          </c:extLst>
        </c:ser>
        <c:ser>
          <c:idx val="9"/>
          <c:order val="9"/>
          <c:tx>
            <c:strRef>
              <c:f>'Capex 15yr View'!#REF!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D6-4BE3-8575-18DFFDAD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0946776"/>
        <c:axId val="730935800"/>
      </c:barChart>
      <c:catAx>
        <c:axId val="730946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935800"/>
        <c:crosses val="autoZero"/>
        <c:auto val="1"/>
        <c:lblAlgn val="ctr"/>
        <c:lblOffset val="100"/>
        <c:noMultiLvlLbl val="0"/>
      </c:catAx>
      <c:valAx>
        <c:axId val="730935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946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568324</xdr:colOff>
      <xdr:row>3</xdr:row>
      <xdr:rowOff>25400</xdr:rowOff>
    </xdr:from>
    <xdr:to>
      <xdr:col>26</xdr:col>
      <xdr:colOff>577849</xdr:colOff>
      <xdr:row>32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nk, David" refreshedDate="43194.61803125" createdVersion="5" refreshedVersion="6" minRefreshableVersion="3" recordCount="347">
  <cacheSource type="worksheet">
    <worksheetSource ref="A25:AI372" sheet="Incurred"/>
  </cacheSource>
  <cacheFields count="35">
    <cacheField name="Project Definition" numFmtId="0">
      <sharedItems count="347">
        <s v="EC.10161"/>
        <s v="EC.10344"/>
        <s v="EC.10370"/>
        <s v="EC.10424"/>
        <s v="EC.10503"/>
        <s v="EC.10505"/>
        <s v="EC.10509"/>
        <s v="EC.10517"/>
        <s v="EC.10615"/>
        <s v="EC.10703"/>
        <s v="EC.11101"/>
        <s v="EC.11104"/>
        <s v="EC.11109"/>
        <s v="EC.11110"/>
        <s v="EC.11112"/>
        <s v="EC.11132"/>
        <s v="EC.11134"/>
        <s v="EC.11139"/>
        <s v="EC.11201"/>
        <s v="EC.11208"/>
        <s v="EC.11209"/>
        <s v="EC.11216"/>
        <s v="EC.11217"/>
        <s v="EC.11218"/>
        <s v="EC.11220"/>
        <s v="EC.11234"/>
        <s v="EC.11236"/>
        <s v="EC.11239"/>
        <s v="EC.11242"/>
        <s v="EC.11302"/>
        <s v="EC.11316"/>
        <s v="EC.11330"/>
        <s v="EC.11379"/>
        <s v="EC.11380"/>
        <s v="EC.11383"/>
        <s v="EC.11384"/>
        <s v="EC.11386"/>
        <s v="EC.11390"/>
        <s v="EC.11398"/>
        <s v="EC.11399"/>
        <s v="EC.11426"/>
        <s v="EC.11434"/>
        <s v="EC.11435"/>
        <s v="EC.11437"/>
        <s v="EC.11439"/>
        <s v="EC.11441"/>
        <s v="EC.11444"/>
        <s v="EC.11445"/>
        <s v="EC.11446"/>
        <s v="EC.11447"/>
        <s v="EC.11449"/>
        <s v="EC.11451"/>
        <s v="EC.11452"/>
        <s v="EC.11454"/>
        <s v="EC.11461"/>
        <s v="EC.11463"/>
        <s v="EC.11470"/>
        <s v="EC.11471"/>
        <s v="EC.11504"/>
        <s v="EC.11505"/>
        <s v="EC.11509"/>
        <s v="EC.11513"/>
        <s v="EC.11516"/>
        <s v="EC.11523"/>
        <s v="EC.11526"/>
        <s v="EC.11528"/>
        <s v="EC.11533"/>
        <s v="EC.11543"/>
        <s v="EC.11549"/>
        <s v="EC.11551"/>
        <s v="EC.11553"/>
        <s v="EC.11558"/>
        <s v="EC.11559"/>
        <s v="EC.11560"/>
        <s v="EC.11562"/>
        <s v="EC.11566"/>
        <s v="EC.11567"/>
        <s v="EC.11575"/>
        <s v="EC.11576"/>
        <s v="EC.11581"/>
        <s v="EC.11594"/>
        <s v="EC.11602"/>
        <s v="EC.11606"/>
        <s v="EC.11610"/>
        <s v="EC.11615"/>
        <s v="EC.11618"/>
        <s v="EC.11619"/>
        <s v="EC.11623"/>
        <s v="EC.11624"/>
        <s v="EC.11630"/>
        <s v="EC.11645"/>
        <s v="EC.11646"/>
        <s v="EC.11648"/>
        <s v="EC.11649"/>
        <s v="EC.11650"/>
        <s v="EC.11652"/>
        <s v="EC.11656"/>
        <s v="EC.11659"/>
        <s v="EC.11660"/>
        <s v="EC.11661"/>
        <s v="EC.11662"/>
        <s v="EC.11670"/>
        <s v="EC.11671"/>
        <s v="EC.11672"/>
        <s v="EC.11673"/>
        <s v="EC.11681"/>
        <s v="EC.11694"/>
        <s v="EC.11709"/>
        <s v="EC.11712"/>
        <s v="EC.11717"/>
        <s v="EC.11731"/>
        <s v="EC.11732"/>
        <s v="EC.11733"/>
        <s v="EC.11734"/>
        <s v="EC.11735"/>
        <s v="EC.11738"/>
        <s v="EC.11739"/>
        <s v="EC.11741"/>
        <s v="EC.11742"/>
        <s v="EC.11744"/>
        <s v="EC.11745"/>
        <s v="EC.11747"/>
        <s v="EC.11749"/>
        <s v="EC.11751"/>
        <s v="EC.11781"/>
        <s v="EC.11794"/>
        <s v="EC.11808"/>
        <s v="EC.11809"/>
        <s v="EC.11811"/>
        <s v="EC.11816"/>
        <s v="EC.11822"/>
        <s v="EC.11824"/>
        <s v="EC.11826"/>
        <s v="EC.11829"/>
        <s v="EC.11847"/>
        <s v="EC.11852"/>
        <s v="EC.11854"/>
        <s v="EC.11861"/>
        <s v="EC.11862"/>
        <s v="EC.11865"/>
        <s v="EC.11870"/>
        <s v="EC.11871"/>
        <s v="EC.11872"/>
        <s v="EC.11873"/>
        <s v="EC.11880"/>
        <s v="EC.11881"/>
        <s v="EC.11882"/>
        <s v="EC.11890"/>
        <s v="EC.11894"/>
        <s v="EC.11895"/>
        <s v="EC.11899"/>
        <s v="EC.11900"/>
        <s v="EC.11905"/>
        <s v="EC.11907"/>
        <s v="EC.11915"/>
        <s v="EC.11916"/>
        <s v="EC.11917"/>
        <s v="EC.11994"/>
        <s v="EC.12002"/>
        <s v="EC.12004"/>
        <s v="EC.12005"/>
        <s v="EC.12008"/>
        <s v="EC.12010"/>
        <s v="EC.12013"/>
        <s v="EC.12014"/>
        <s v="EC.12017"/>
        <s v="EC.12021"/>
        <s v="EC.12027"/>
        <s v="EC.12028"/>
        <s v="EC.12030"/>
        <s v="EC.12070"/>
        <s v="EC.12071"/>
        <s v="EC.12072"/>
        <s v="EC.12073"/>
        <s v="EC.12094"/>
        <s v="EC.12101"/>
        <s v="EC.12105"/>
        <s v="EC.12106"/>
        <s v="EC.12108"/>
        <s v="EC.12111"/>
        <s v="EC.12115"/>
        <s v="EC.12203"/>
        <s v="EC.12204"/>
        <s v="EC.12205"/>
        <s v="EC.12207"/>
        <s v="EC.12210"/>
        <s v="EC.12211"/>
        <s v="EC.12301"/>
        <s v="EC.12330"/>
        <s v="EC.12334"/>
        <s v="EC.12335"/>
        <s v="EC.12336"/>
        <s v="EC.12400"/>
        <s v="EC.12402"/>
        <s v="EC.12403"/>
        <s v="EC.12404"/>
        <s v="EC.12406"/>
        <s v="EC.12500"/>
        <s v="EC.14006"/>
        <s v="EC.14007"/>
        <s v="EC.14008"/>
        <s v="EC.14009"/>
        <s v="EC.14010"/>
        <s v="EC.14011"/>
        <s v="EC.14012"/>
        <s v="EC.14013"/>
        <s v="EC.14014"/>
        <s v="EC.14015"/>
        <s v="EC.14016"/>
        <s v="EC.14017"/>
        <s v="EC.14018"/>
        <s v="EC.14019"/>
        <s v="EC.14020"/>
        <s v="EC.14024"/>
        <s v="EC.14026"/>
        <s v="EC.14027"/>
        <s v="EC.14028"/>
        <s v="EC.14029"/>
        <s v="EC.14030"/>
        <s v="EC.14031"/>
        <s v="EC.14032"/>
        <s v="EC.14033"/>
        <s v="EC.14034"/>
        <s v="EC.14038"/>
        <s v="EC.14039"/>
        <s v="EC.14040"/>
        <s v="EC.14042"/>
        <s v="EC.14045"/>
        <s v="EC.14046"/>
        <s v="EC.14047"/>
        <s v="EC.14049"/>
        <s v="EC.14051"/>
        <s v="EC.14053"/>
        <s v="EC.14056"/>
        <s v="EC.14057"/>
        <s v="EC.14058"/>
        <s v="EC.14059"/>
        <s v="EC.14060"/>
        <s v="EC.14061"/>
        <s v="EC.14062"/>
        <s v="EC.14066"/>
        <s v="EC.14067"/>
        <s v="EC.14068"/>
        <s v="EC.14069"/>
        <s v="EC.14070"/>
        <s v="EC.14071"/>
        <s v="EC.14074"/>
        <s v="EC.14075"/>
        <s v="EC.14076"/>
        <s v="EC.14077"/>
        <s v="EC.14079"/>
        <s v="EC.14080"/>
        <s v="EC.14081"/>
        <s v="EC.14084"/>
        <s v="EC.14085"/>
        <s v="EC.14086"/>
        <s v="EC.14088"/>
        <s v="EC.14089"/>
        <s v="EC.14090"/>
        <s v="EC.14091"/>
        <s v="EC.14099"/>
        <s v="EC.14100"/>
        <s v="EC.14101"/>
        <s v="EC.14102"/>
        <s v="EC.14103"/>
        <s v="EC.14104"/>
        <s v="EC.14105"/>
        <s v="EC.14108"/>
        <s v="EC.14111"/>
        <s v="EC.14113"/>
        <s v="EC.14114"/>
        <s v="EC.14115"/>
        <s v="EC.14116"/>
        <s v="EC.14118"/>
        <s v="EC.14119"/>
        <s v="EC.14120"/>
        <s v="EC.14121"/>
        <s v="EC.14122"/>
        <s v="EC.14126"/>
        <s v="EC.14127"/>
        <s v="EC.14128"/>
        <s v="EC.14129"/>
        <s v="EC.14130"/>
        <s v="EC.14131"/>
        <s v="EC.14132"/>
        <s v="EC.14133"/>
        <s v="EC.14134"/>
        <s v="EC.14135"/>
        <s v="EC.14136"/>
        <s v="EC.14137"/>
        <s v="EC.14145"/>
        <s v="EC.14164"/>
        <s v="EC.14170"/>
        <s v="EC.14171"/>
        <s v="EC.14172"/>
        <s v="EC.14174"/>
        <s v="EC.14176"/>
        <s v="EC.14178"/>
        <s v="EC.14179"/>
        <s v="EC.14180"/>
        <s v="EC.14182"/>
        <s v="EC.14184"/>
        <s v="EC.14185"/>
        <s v="EC.14187"/>
        <s v="EC.14188"/>
        <s v="EC.14189"/>
        <s v="EC.14190"/>
        <s v="EC.14191"/>
        <s v="EC.14193"/>
        <s v="EC.14196"/>
        <s v="EC.14198"/>
        <s v="EC.14199"/>
        <s v="EC.14200"/>
        <s v="EC.14201"/>
        <s v="EC.14202"/>
        <s v="EC.14203"/>
        <s v="EC.14205"/>
        <s v="EC.14206"/>
        <s v="EC.14207"/>
        <s v="EC.14209"/>
        <s v="EC.14210"/>
        <s v="EC.14214"/>
        <s v="EC.14215"/>
        <s v="EC.14216"/>
        <s v="EC.11316F18"/>
        <s v="EC.11890F18"/>
        <s v="EC.11316F19"/>
        <s v="EC.11890F19"/>
        <s v="EC.14081F20"/>
        <s v="EC.14081F21"/>
        <s v="EC.14081F22"/>
        <s v="EC.14084F22"/>
        <s v="EC.14081F23"/>
        <s v="EC.14084F23"/>
        <s v="EC.11816F18"/>
        <s v="EC.14198F19"/>
        <s v="EC.14180F20"/>
        <s v="EC.14180F21"/>
        <s v="EC.14221F21"/>
        <s v="EC.14221F22"/>
        <s v="EC.14218"/>
        <s v="EC.14055"/>
        <s v="EC.10643"/>
        <s v="EC.14004"/>
        <s v="EC.14221"/>
        <s v="EC.14222"/>
        <s v="EC.14227"/>
      </sharedItems>
    </cacheField>
    <cacheField name="Title" numFmtId="0">
      <sharedItems count="333">
        <s v="Adelaide Central Reinforcement"/>
        <s v="Heywood Interconnector Upgrade"/>
        <s v="Clare North New 132_33 kV Substation"/>
        <s v="Riverland Reinforcement Land and Easemen"/>
        <s v="Waterloo Substation Replacement"/>
        <s v="Millbrook Pump Station Replacement"/>
        <s v="Whyalla Terminal Substation Replac"/>
        <s v="South East CB Upgrade"/>
        <s v="Ardrossan West 132kV Sub Rebuild 2x25MVA"/>
        <s v="SVC Secondary Systems Replacement (Para)"/>
        <s v="Cultana 275_132 kV Augmentation"/>
        <s v="Northern SA Region Voltage Support"/>
        <s v="TIPS 66kV Section Secondary Systems Upg."/>
        <s v="CLSD Eyre Peninsula Land &amp; Easement Acqu"/>
        <s v="[CLSD] Para-PGW-TIPS Telecoms Bearer"/>
        <s v="Fleurieu Peninsula Reinforcement Land an"/>
        <s v="Integrated Budgeting &amp; Forecasting"/>
        <s v="Business Process Improvement - Stage 1"/>
        <s v="Eyre Peninsula Reinforcement"/>
        <s v="Parafield Gardens West CB Complete Mesh"/>
        <s v="Munno Para New 275_66 kV Connection Poin"/>
        <s v="South East Dual Path Telecommunications"/>
        <s v="Asset Data Capture"/>
        <s v="Network Configuration Management System"/>
        <s v="Integrated Information Environment"/>
        <s v="Drawing Management System Tech Upgrade 1"/>
        <s v="IEC 61850 Training &amp; Development Facilit"/>
        <s v="CLSD SAEs for 2013-2018 Capital Projects"/>
        <s v="Aerial Services Implementation"/>
        <s v="Para 275Kv Secondary Systems &amp; Minor Pri"/>
        <s v="SA Water Pump Stations Transformer Repla"/>
        <s v="Alstom EMS Upgrade Stage 2"/>
        <s v="Energy Management System Functional Enha"/>
        <s v="Yadnarie Reactor Replacement"/>
        <s v=" Mt Barker South Triple Circuit Easement"/>
        <s v="Security and Video System Consolidation"/>
        <s v="Business Process Improvement - Stage 2"/>
        <s v="Tailem Bend 132kV Reactive Power Support"/>
        <s v="People Management System"/>
        <s v="Risk Management System"/>
        <s v="Ex NCIPAP 4 W'oo East to Rob'town 132kv Upr"/>
        <s v="Enterprise Capture of IED Data"/>
        <s v="Outage Optimisation Improvements"/>
        <s v="BUCC Hardware Replacement"/>
        <s v="300 Pirie St Emergency Supplies 2013-14"/>
        <s v=" Para-Brinkworth-Davenport Hazard Mitiga"/>
        <s v="Penola West to South East Line Refurb"/>
        <s v="Tailem Bend to Keith #2 Line Refurb"/>
        <s v="Brinkworth to Mintaro Line Refurbishment"/>
        <s v="Magill to Happy Valley Line Reinsulation"/>
        <s v="(CLSD) Switching Manual Rewrite"/>
        <s v="BUCC Project Back Up Control Centre Upgr"/>
        <s v="Project Delivery Optimisation"/>
        <s v="Safety in Design Processes"/>
        <s v="Cultana to Stony Point Land and Easement"/>
        <s v="Emergency Unit Asset Replacement 2013-18"/>
        <s v="IT Hardware 1"/>
        <s v="IT Software 1"/>
        <s v="[CLSD]-Neuroodla Substation Replacement"/>
        <s v="[CLSD]-Mt Gunson Substation Replacement"/>
        <s v="Bungama Second 275_132kV Transformer"/>
        <s v="Business Reporting"/>
        <s v="Asset Managment Optimisation"/>
        <s v="IT Systems Management"/>
        <s v="Teleco Network Management Systems Upgrad"/>
        <s v="South East Backbone Telecoms Stage 2"/>
        <s v="Business Intelligence Upgrade 1"/>
        <s v="Magill Telecomms Bearer"/>
        <s v="Switching System Writer Application"/>
        <s v="Control Room Asset Replacement"/>
        <s v="South East Substation to Heywood Telecom"/>
        <s v="Electrical 300 Pirie Street 2014-15"/>
        <s v="Vehicle Purchases 2014-15"/>
        <s v="Magill - East Terrace Cable Pit Construc"/>
        <s v="Transmission Line Inspection Data Analys"/>
        <s v="Integrated Project and Resource Model"/>
        <s v="Accounts Payable Optimisation"/>
        <s v="Substation Operational Data Network Repl"/>
        <s v="PSS_E Computing Power Increase"/>
        <s v="Furniture and Building Upgrades 2014-15"/>
        <s v="Inventory Purchases 2014-15"/>
        <s v="Tailem Bend Substation Upgrade"/>
        <s v="IT Storage Computer Hardware Refurb19-20"/>
        <s v="LAN Corporate Refresh 17-18"/>
        <s v="Asset Design Manuals (ADM) Major Rewrite"/>
        <s v="Carpet - Keswick 2014-15"/>
        <s v="Fire Protection 300 Pirie 2015-16"/>
        <s v="Robertstown Telecoms Bearer"/>
        <s v="Mid North OPGW Bearer"/>
        <s v="Eyre Peninsula Reinforcement Land and Ea"/>
        <s v="Reactive Plant Control Scheme"/>
        <s v="Eyre Peninsula &amp; Upper NorthVoltage"/>
        <s v="UPS &amp; Battery Bank - BUCC 2015-16"/>
        <s v="CLSD-Mechanical 300 Pirie Street 2015-16"/>
        <s v="Electrical 300 Pirie Street 2015-16"/>
        <s v="CLSD-Vehicle Purchases 2015-16"/>
        <s v="Vegetation Management Analysis Tools"/>
        <s v="Substation and Telecommunication Buildin"/>
        <s v="Substation Battery Charger Replacement"/>
        <s v="Substation Computer Based Local Control"/>
        <s v="Tower Fall Arrestor Replacement and Audi"/>
        <s v="IT Hardware 2"/>
        <s v="IT Software 2"/>
        <s v="IT Security 2"/>
        <s v="IT OCS Software 2"/>
        <s v="CLSC-Furniture and Building Upgr 2015-16"/>
        <s v="Inventory Purchases 2015-16"/>
        <s v="(CLSD)Yadnarie - Port Lincoln Backbone"/>
        <s v="Engineering Systems Functional Upgrade"/>
        <s v="CLSD-UPS Battery Bank No1 -300 Pirie St"/>
        <s v="Vehicle Purchases 2016-17"/>
        <s v="Outage Management Functional Upgrade 1"/>
        <s v="Online Asset Condition Monitoring Equipm"/>
        <s v="Network Aerial Laser Survey 2013-18"/>
        <s v="Transmission Line Design"/>
        <s v="Mallala to Para Easement Expansion"/>
        <s v="Templers to Para Easement Expansion"/>
        <s v="Database Platform Refresh 17-18"/>
        <s v="Baroota Substation Replacement"/>
        <s v="Bund Refurbishments"/>
        <s v="Riverland 132 kV Line Uprate"/>
        <s v="Substation Lighting and Infrastructure R"/>
        <s v="AC Switchboard Replacement 2013-18"/>
        <s v="Westinghouse RTU Replacement"/>
        <s v="Furniture and Building Upgrades 2016-17"/>
        <s v="Inventory Purchases 2016-17"/>
        <s v="Windows Backoffice Mgmt Sys Refresh17-18"/>
        <s v="Common Information-Connectivity Model"/>
        <s v="Outage Management Functional Upgrade 3"/>
        <s v="One IP Substation Network Stage 1"/>
        <s v="[CLSD]-Riverland Bearer"/>
        <s v="Weather Stations 2013-18"/>
        <s v="Dalrymple Substation Upgrade"/>
        <s v="Regional N-1 Secure Control Schemes"/>
        <s v="NGM CT_VT Replacement Project"/>
        <s v="Historian Upgrade 2"/>
        <s v="Telco Asset Replacement 2013-18"/>
        <s v="Telecommunications Network Optimisation"/>
        <s v="Substation VOIP Network Completion"/>
        <s v="Network Config Mngmnt System Upgrade 1"/>
        <s v="IT Hardware Refresh Maintain 16-18"/>
        <s v="Licenses, Maintenance, Minor Soft 17-18"/>
        <s v="IT Security Technology Refresh 17-18"/>
        <s v="OT Software 3"/>
        <s v="Fire Protection 300 Pirie 2017-18"/>
        <s v="Furniture and Building Upgrades 2017-18"/>
        <s v="General Utility Upgrades 2017-18"/>
        <s v="Unit Asset Replacements 2013-18"/>
        <s v="Inventory Purchases 2017-18"/>
        <s v="SAEs for 2018-23 Capital Projects"/>
        <s v="Vehicle Purchases 2017-18"/>
        <s v="Intranet Platform Refresh 16-17"/>
        <s v="Yorke Peninsula Reinforcement Land &amp; Eas"/>
        <s v="Intranet and Extranet Refresh 18-19"/>
        <s v="Furniture and Building Upgrades 2018-19"/>
        <s v="Vehicle Purchases 2018-19"/>
        <s v="Investigation&amp;Integration of New Technol"/>
        <s v="Inventory Purchases 2018-19"/>
        <s v="Local Area Network Equip Refresh 21-22"/>
        <s v="Geospatial Systems Refresh 18-19"/>
        <s v="IT Storage and Virtualisation Refurb 2"/>
        <s v="Project Portfoilo Mgmt Sys Refresh 21-22"/>
        <s v="ERP Systems Refresh"/>
        <s v="Design Standards Major Review Reset 4"/>
        <s v="Protection System Modelling and Validati"/>
        <s v="Geospatial Systems Refresh 23-24"/>
        <s v="Licenses, Maintenance, Minor Soft 22-23"/>
        <s v="Mechanical 300 Pirie St 2018-19"/>
        <s v="Furniture and Gen Bldg Upgrades 2019-20"/>
        <s v="Vehicle Purchases 2019-20"/>
        <s v="IT Hardware Refresh and Maintain 19-20"/>
        <s v="Licenses, Maintenance, Minor Soft 19-20"/>
        <s v="IT Security 4"/>
        <s v="OT Software 4"/>
        <s v="Inventory Purchases 2019-2020"/>
        <s v="Records Management"/>
        <s v="Electrical 300 Pirie St 2020 - 2021"/>
        <s v="Furniture and Gen Bldg Upgrades 2020-21"/>
        <s v="Mechanical Keswick North 2020-21"/>
        <s v="Vehicle Purchases 2020-21"/>
        <s v="Telecommunications Unit AssetReplacement"/>
        <s v="OT Software 5"/>
        <s v="Generator Replacemt 300 Pirie St 2021-22"/>
        <s v="Furniture and Gen Bldg Upgrades 2021-22"/>
        <s v="Vehicle Purchases 2021-22"/>
        <s v="IT Hardware Refresh Maintain 21-22"/>
        <s v="IT Security Technology Refresh 21-22"/>
        <s v="Automated Asset Condition Assessment"/>
        <s v="One IP Substation Network - Stage 2"/>
        <s v="Furniture and  General Building upgrades"/>
        <s v="Vehicle Purchases 2022-23"/>
        <s v="Carpet Upgrades Pirie and Rymill 2022-23"/>
        <s v="OT Software 6"/>
        <s v="IT Hardware Refresh Maintain  22-23"/>
        <s v="Licenses, Maintenance, Minor Soft 21-22"/>
        <s v="Windows Backoffice Mgmt Sys Refresh20-21"/>
        <s v="Intranet Platform Refresh 22-23"/>
        <s v="VOIP Network Refresh 2018-23"/>
        <s v="CLSD R/town-North West Bend LineCorridor"/>
        <s v="CLSD Supply Chain Management Procedure"/>
        <s v="DEFD Eyre Peninsula Islanding Controls"/>
        <s v="SICAM PAS Substation Automation System M"/>
        <s v="Automated IED configuration management"/>
        <s v="Dynamics ratings systems upgrade"/>
        <s v="Operational Data Network Architecture an"/>
        <s v="System Switching Writer Enhancement 1"/>
        <s v="Energy Mngmnt System Technical Upgrade 2"/>
        <s v="IT Architecture Support Systems Implemen"/>
        <s v="Asset Cost and Risk Optimisation"/>
        <s v="Automated IED Data Capture"/>
        <s v="Treasury and Risk Systems Implementation"/>
        <s v="Estimating System Upgrade with Maint Enh"/>
        <s v="IT Service Operation System"/>
        <s v="SCADA and RTU configuration management"/>
        <s v="Inventory Purchases 2020-21"/>
        <s v="Inventory Purchases 2021-22"/>
        <s v="Inventory Purchases 2022-23"/>
        <s v="System Control Centre Fire Suppression S"/>
        <s v="Asset Access Manual Rewrite"/>
        <s v="Protection Systems Unit Asset Replacemen"/>
        <s v="Instrument Transformer Unit Asset Replac"/>
        <s v="Circuit Breaker Unit Asset Replacement 2"/>
        <s v="Isolator Unit Asset Replacement 2018-23"/>
        <s v="Ex NCIPAP 1 Riverland 132 kV Line Uprating"/>
        <s v="NCIPAP 2 Upper South East Line Uprating"/>
        <s v="NCIPAP 3 Lower South East 275 kV Line Up"/>
        <s v="Canowie CB Arrangement Upgrade"/>
        <s v="Battery Charger Unit Asset Replacement 2"/>
        <s v="AC Board Unit Asset Replacement 2018-23"/>
        <s v="Transformer Bushing Unit Asset Replaceme"/>
        <s v="Leigh Creek South Transformer Replacemen"/>
        <s v="Operational Data Network Establishment"/>
        <s v="ElectraNet Corporate Website Functional"/>
        <s v="Para - Davenport Additional 275 kV Syste"/>
        <s v="Pirie Precinct Led Lighting Upgrade"/>
        <s v="Server Room Critical Air Conditioning 20"/>
        <s v="CLSD-Keswick Precinct Led Lighting Upgra"/>
        <s v="Workspace Layout Refresh Stage 1"/>
        <s v="Workspace Layout Refresh Stage 2"/>
        <s v="Workspace Layout Refresh Stage 3"/>
        <s v="Eastern Hills Telecommunications Tower C"/>
        <s v="Lift Upgrade 300 Pirie Street"/>
        <s v="Murraylink Control Scheme Replacement"/>
        <s v="Telecoms Network Optimisation 2018-23"/>
        <s v="Robertstown Circuit Breaker Arrangement"/>
        <s v="Neutral Earthing Resistors and Reactors"/>
        <s v="Substation Air Conditioning Systems Unit"/>
        <s v="Line Support Systems Refurbishment 2018-"/>
        <s v="Mannum Transformer 1 and 2 Replacement"/>
        <s v="Building Security Upgrade Unit Asset Rep"/>
        <s v="Substation Security Fencing 2018-23"/>
        <s v="Line Insulator Systems Refurbishment 201"/>
        <s v="Line Conductor and Earthwire Refurbishme"/>
        <s v="Gawler East Connection Point"/>
        <s v="Stakeholder Management Sys Refresh 17-18"/>
        <s v="High Voltage Switching Training Facility"/>
        <s v="Magill High Voltage Workshop Facility"/>
        <s v="Mount Gambier Transformer 1 Replacement"/>
        <s v="Online Asset Condition Assessment Equipm"/>
        <s v="Stakeholder Mgmt Systems Refresh 23-24"/>
        <s v="Asset Data Capture 2"/>
        <s v="CLSD-Workplace Accommod Alterations 2015"/>
        <s v="Telecoms Management Systems Replacement"/>
        <s v="Operational Data Network Environment Rep"/>
        <s v="Operational Data Network Security Standa"/>
        <s v="Brinkworth - Waterloo Bearer Replacement"/>
        <s v="Advanced Analytics for Bus Intelligence"/>
        <s v="Treasury and Risk Systems Refresh"/>
        <s v="Project Opex Resource Modelling Sys Refr"/>
        <s v="Kilburn Substation Land Acquisition"/>
        <s v="IT Backup and Archiving Systems Replace"/>
        <s v="Virtual Application Capability Refresh"/>
        <s v="Database Platform Refresh 19-20"/>
        <s v="NCIPAP Load Model Enhancements Capex Com"/>
        <s v="Back Up Control and Data Centre"/>
        <s v="Project Delivery Optimisation 2"/>
        <s v="Davenport Under-voltage Load Shedding"/>
        <s v="Monash and Berri Relay Replacement"/>
        <s v="GE D20 RTU Product Upgrades"/>
        <s v="SDM Framework for C50 RTU Upgrades"/>
        <s v="HV Test Equipment 2015-16"/>
        <s v="Magill Substation TF Fire Extinguishing"/>
        <s v="Motorised Isolator LOPA Improvement"/>
        <s v="Isolator Status Indication"/>
        <s v="Dalrymple ESCRI Energy Storage"/>
        <s v="Spare 160 MVA 275_132 kV Transformer"/>
        <s v="Electric Vehicle Fleet and Charging Infr"/>
        <s v="Rymill Building Accommodation Security a"/>
        <s v="Cultana - Yadnarie F1810 132 kV Line Con"/>
        <s v="Yadnarie - Pt Lincoln F1811 132 kV Line"/>
        <s v="CLSD-300 Pirie Street L1 West Upgrade"/>
        <s v="Kilburn 275 kV Emergency Bypass"/>
        <s v="South Australia Energy Transformation"/>
        <s v="Eyre Peninsula Transmission Supply"/>
        <s v="Templers Plant Limit Increase"/>
        <s v="Surge Arrester Unit Asset Replacement 20"/>
        <s v="Elevating Work Platform Procurement for"/>
        <s v="Live Line Manual Development"/>
        <s v="Pimba PLC Replacement"/>
        <s v="South East SVC Computer Control System R"/>
        <s v="Secondary Injection Test Unit"/>
        <s v="SF6 Trailer Mounted Service Cart"/>
        <s v="SA Over-Frequency Generation Shedding (OFGS) Scheme"/>
        <s v="Warehousing project"/>
        <s v="Temporary Transmission Structures Acquisition"/>
        <s v="Yorke Peninsula Telecoms Bearer"/>
        <s v="Davenport-Cultana Telecoms Bearer"/>
        <s v="Transformer GIC Monitoring"/>
        <s v="East Terrace 275 kV GIS Gas Monitoring S"/>
        <s v="Substation Access Roads and Drainage Upg"/>
        <s v="East Terrace, Northfield and Kilburn Eme"/>
        <s v="160 MVA 275_132 kV Emergency Transformer"/>
        <s v="Re-deployable Telecommunication Site"/>
        <s v="Revenue Meter Replacement 2018-23"/>
        <s v="Telco DC Power Systems Upgrade"/>
        <s v="Secondary Systems Product Evaluation 201"/>
        <s v="Renewable Microgrid Demonstration Testbe"/>
        <s v="Special Protection and Wide Area Monitor"/>
        <s v="Substation Improvements for System Black"/>
        <s v="High Risk Substation Environmental Inves"/>
        <s v="Transmission Line Access Track Upgrade"/>
        <s v="Para 275 kV 50 MVar Reactor"/>
        <s v="Blyth West 275 kV 50 Mvar Reactor"/>
        <s v="Pimba Telecoms Bearer"/>
        <s v="Davenport - Pimba 132 kV line Low Span U"/>
        <s v="Spencer Gulf Crossing Bypass"/>
        <s v="Torrens Island North Substation Tie Bus"/>
        <s v="Line Ratings Tool"/>
        <s v="Wind Risk Model Development"/>
        <s v="Group Corporate Financial Model Replace."/>
        <s v="F1919 &amp; F1920 Tower Replacement"/>
        <s v="NCIPAP 1 Riverland 132 kV Line Uprating" u="1"/>
        <s v="NCIPAP 4 W'oo East to Rob'town 132kv Upr" u="1"/>
      </sharedItems>
    </cacheField>
    <cacheField name="BP Category" numFmtId="0">
      <sharedItems count="5">
        <s v="ExAnte"/>
        <s v="Contingent - High"/>
        <s v="Contingent - Actual"/>
        <s v="Ex Ante"/>
        <s v="NCIPAP 2013-2018"/>
      </sharedItems>
    </cacheField>
    <cacheField name="Project Category" numFmtId="0">
      <sharedItems/>
    </cacheField>
    <cacheField name="Project Status" numFmtId="0">
      <sharedItems containsBlank="1"/>
    </cacheField>
    <cacheField name="Actual 2006" numFmtId="0">
      <sharedItems containsString="0" containsBlank="1" containsNumber="1" minValue="0" maxValue="24174.52"/>
    </cacheField>
    <cacheField name="Actual 2007" numFmtId="0">
      <sharedItems containsString="0" containsBlank="1" containsNumber="1" minValue="0" maxValue="5643382.1699999999"/>
    </cacheField>
    <cacheField name="Actual 2008" numFmtId="0">
      <sharedItems containsString="0" containsBlank="1" containsNumber="1" minValue="0" maxValue="6634694.54"/>
    </cacheField>
    <cacheField name="Actual 2009" numFmtId="0">
      <sharedItems containsString="0" containsBlank="1" containsNumber="1" minValue="0" maxValue="7459380.96"/>
    </cacheField>
    <cacheField name="Actual 2010" numFmtId="0">
      <sharedItems containsString="0" containsBlank="1" containsNumber="1" minValue="0" maxValue="20848276.829999998"/>
    </cacheField>
    <cacheField name="Actual 2011" numFmtId="0">
      <sharedItems containsString="0" containsBlank="1" containsNumber="1" minValue="0" maxValue="100800022.72"/>
    </cacheField>
    <cacheField name="Actual 2012" numFmtId="0">
      <sharedItems containsString="0" containsBlank="1" containsNumber="1" minValue="0" maxValue="32862274.5"/>
    </cacheField>
    <cacheField name="Actual 2013" numFmtId="0">
      <sharedItems containsString="0" containsBlank="1" containsNumber="1" minValue="0" maxValue="37695811.990000002"/>
    </cacheField>
    <cacheField name="Actual 2014" numFmtId="0">
      <sharedItems containsString="0" containsBlank="1" containsNumber="1" minValue="-633552.68999999994" maxValue="14103021.539999999"/>
    </cacheField>
    <cacheField name="Actual 2015" numFmtId="0">
      <sharedItems containsString="0" containsBlank="1" containsNumber="1" minValue="-92939.59" maxValue="18429504.32"/>
    </cacheField>
    <cacheField name="Actual 2016" numFmtId="0">
      <sharedItems containsString="0" containsBlank="1" containsNumber="1" minValue="-2260000" maxValue="31162866.48"/>
    </cacheField>
    <cacheField name="Actual 2017" numFmtId="0">
      <sharedItems containsBlank="1" containsMixedTypes="1" containsNumber="1" minValue="-3055961.9308056999" maxValue="31714256.320805699"/>
    </cacheField>
    <cacheField name="Plan 2018" numFmtId="165">
      <sharedItems containsMixedTypes="1" containsNumber="1" minValue="-617213.93675115006" maxValue="8327235.7171268845"/>
    </cacheField>
    <cacheField name="Plan 2019" numFmtId="165">
      <sharedItems containsBlank="1" containsMixedTypes="1" containsNumber="1" minValue="0" maxValue="5884056.5140071791"/>
    </cacheField>
    <cacheField name="Plan 2020" numFmtId="165">
      <sharedItems containsBlank="1" containsMixedTypes="1" containsNumber="1" minValue="0" maxValue="11593858.042678086"/>
    </cacheField>
    <cacheField name="Plan 2021" numFmtId="165">
      <sharedItems containsBlank="1" containsMixedTypes="1" containsNumber="1" minValue="0" maxValue="16637908.767530857"/>
    </cacheField>
    <cacheField name="Plan 2022" numFmtId="165">
      <sharedItems containsBlank="1" containsMixedTypes="1" containsNumber="1" minValue="0" maxValue="12762936.484755663"/>
    </cacheField>
    <cacheField name="Plan 2023" numFmtId="165">
      <sharedItems containsBlank="1" containsMixedTypes="1" containsNumber="1" minValue="0" maxValue="12521121.08187261"/>
    </cacheField>
    <cacheField name="Plan 2024" numFmtId="165">
      <sharedItems containsBlank="1" containsMixedTypes="1" containsNumber="1" minValue="-4.0485949709680578E-2" maxValue="1531409.397449899"/>
    </cacheField>
    <cacheField name="Total Nominal 2017-2023" numFmtId="165">
      <sharedItems containsSemiMixedTypes="0" containsString="0" containsNumber="1" minValue="-591092.19675115007" maxValue="178218929.67670563"/>
    </cacheField>
    <cacheField name="Absolute" numFmtId="165">
      <sharedItems containsSemiMixedTypes="0" containsString="0" containsNumber="1" minValue="0" maxValue="178218929.67670563"/>
    </cacheField>
    <cacheField name="Escalate to 2023" numFmtId="165">
      <sharedItems containsSemiMixedTypes="0" containsString="0" containsNumber="1" minValue="0" maxValue="234550474.06518933"/>
    </cacheField>
    <cacheField name="Commissioned $" numFmtId="165">
      <sharedItems containsBlank="1" containsMixedTypes="1" containsNumber="1" minValue="13192.473239700379" maxValue="207308442.16336244"/>
    </cacheField>
    <cacheField name="End Year Factor" numFmtId="4">
      <sharedItems containsBlank="1" containsMixedTypes="1" containsNumber="1" minValue="1" maxValue="1.2827439710963362"/>
    </cacheField>
    <cacheField name="Last Spend year" numFmtId="0">
      <sharedItems/>
    </cacheField>
    <cacheField name="AIS Date" numFmtId="15">
      <sharedItems containsDate="1" containsBlank="1" containsMixedTypes="1" minDate="1899-12-30T00:00:00" maxDate="2026-10-23T00:00:00"/>
    </cacheField>
    <cacheField name="AIS Year" numFmtId="0">
      <sharedItems containsBlank="1" containsMixedTypes="1" containsNumber="1" containsInteger="1" minValue="0" maxValue="2073" count="35">
        <s v="Extra"/>
        <m/>
        <s v=""/>
        <n v="2015"/>
        <n v="2012"/>
        <n v="2018"/>
        <s v="Future"/>
        <n v="2013"/>
        <n v="2017"/>
        <n v="2016"/>
        <n v="2019"/>
        <n v="2014"/>
        <n v="2020"/>
        <n v="2023"/>
        <n v="2022"/>
        <n v="2021"/>
        <n v="2024"/>
        <n v="2025"/>
        <n v="0" u="1"/>
        <n v="2062" u="1"/>
        <n v="2029" u="1"/>
        <n v="2067" u="1"/>
        <n v="2072" u="1"/>
        <n v="2063" u="1"/>
        <n v="2073" u="1"/>
        <n v="2011" u="1"/>
        <n v="2064" u="1"/>
        <n v="2030" u="1"/>
        <n v="2069" u="1"/>
        <n v="2035" u="1"/>
        <n v="2065" u="1"/>
        <n v="2061" u="1"/>
        <n v="2066" u="1"/>
        <n v="2071" u="1"/>
        <n v="2010" u="1"/>
      </sharedItems>
    </cacheField>
    <cacheField name="Spare" numFmtId="15">
      <sharedItems containsNonDate="0" containsString="0" containsBlank="1"/>
    </cacheField>
    <cacheField name="Commissioned $ 2017/18" numFmtId="165">
      <sharedItems containsSemiMixedTypes="0" containsString="0" containsNumber="1" minValue="0" maxValue="207308442.16336241"/>
    </cacheField>
    <cacheField name="Last spend year $" numFmtId="165">
      <sharedItems containsSemiMixedTypes="0" containsString="0" containsNumber="1" minValue="-3055961.9308056999" maxValue="12521121.081872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7">
  <r>
    <x v="0"/>
    <x v="0"/>
    <x v="0"/>
    <s v="Augmentation"/>
    <s v="Active"/>
    <n v="14438.5"/>
    <n v="5643382.1699999999"/>
    <n v="6634694.54"/>
    <n v="7459380.96"/>
    <n v="20848276.829999998"/>
    <n v="100800022.72"/>
    <n v="32862274.5"/>
    <n v="2236198.14"/>
    <n v="394226.32"/>
    <n v="137031.29999999999"/>
    <n v="283719.84000000003"/>
    <n v="128207.2"/>
    <n v="777076.65670565306"/>
    <s v=""/>
    <s v=""/>
    <s v=""/>
    <s v=""/>
    <s v=""/>
    <s v=""/>
    <n v="178218929.67670563"/>
    <n v="178218929.67670563"/>
    <n v="234550474.06518933"/>
    <n v="207308442.16336244"/>
    <n v="1.1314082128906247"/>
    <s v="2018"/>
    <d v="2011-11-29T00:00:00"/>
    <x v="0"/>
    <m/>
    <n v="207308442.16336241"/>
    <n v="777076.65670565306"/>
  </r>
  <r>
    <x v="1"/>
    <x v="1"/>
    <x v="0"/>
    <s v="Augmentation"/>
    <s v="Active"/>
    <n v="0"/>
    <n v="0"/>
    <n v="0"/>
    <n v="0"/>
    <n v="0"/>
    <n v="0"/>
    <n v="798544.67"/>
    <n v="913779.99"/>
    <n v="1978728.67"/>
    <n v="5687410.8899999997"/>
    <n v="23030612.23"/>
    <n v="3368344.82"/>
    <n v="1798969.9414380395"/>
    <s v=""/>
    <s v=""/>
    <s v=""/>
    <s v=""/>
    <s v=""/>
    <s v=""/>
    <n v="37576391.211438037"/>
    <n v="37576391.211438037"/>
    <n v="44615570.530528121"/>
    <n v="39433663.307552099"/>
    <n v="1.1314082128906247"/>
    <s v="2018"/>
    <d v="2016-07-25T00:00:00"/>
    <x v="0"/>
    <m/>
    <n v="39433663.307552099"/>
    <n v="1798969.9414380395"/>
  </r>
  <r>
    <x v="2"/>
    <x v="2"/>
    <x v="0"/>
    <s v="Connection"/>
    <s v="Active"/>
    <n v="14316.59"/>
    <n v="182203.75"/>
    <n v="485896.08"/>
    <n v="1703092.27"/>
    <n v="14056261.109999999"/>
    <n v="5216315.03"/>
    <n v="228703"/>
    <n v="282437.38"/>
    <n v="-151764.68"/>
    <n v="247663.51"/>
    <n v="88534.74"/>
    <n v="492156.87"/>
    <n v="68416.49052061257"/>
    <s v=""/>
    <s v=""/>
    <s v=""/>
    <s v=""/>
    <s v=""/>
    <s v=""/>
    <n v="22914232.14052061"/>
    <n v="23217761.500520609"/>
    <n v="30573606.554367729"/>
    <n v="27022613.240764353"/>
    <n v="1.1314082128906247"/>
    <s v="2018"/>
    <d v="2010-12-13T00:00:00"/>
    <x v="0"/>
    <m/>
    <n v="27022613.240764346"/>
    <n v="68416.49052061257"/>
  </r>
  <r>
    <x v="3"/>
    <x v="3"/>
    <x v="0"/>
    <s v="Easements/Land"/>
    <s v="Deferred"/>
    <n v="24174.52"/>
    <n v="1563.51"/>
    <n v="0"/>
    <n v="383.71"/>
    <n v="0"/>
    <n v="0"/>
    <n v="0"/>
    <n v="0"/>
    <m/>
    <m/>
    <m/>
    <s v=""/>
    <n v="-617213.93675115006"/>
    <s v=""/>
    <s v=""/>
    <s v=""/>
    <s v=""/>
    <s v=""/>
    <n v="-4.0485949709680578E-2"/>
    <n v="-591092.19675115007"/>
    <n v="643335.67675115005"/>
    <n v="0"/>
    <s v=""/>
    <m/>
    <s v="2018"/>
    <d v="2026-10-22T00:00:00"/>
    <x v="1"/>
    <m/>
    <n v="0"/>
    <n v="-617213.93675115006"/>
  </r>
  <r>
    <x v="4"/>
    <x v="4"/>
    <x v="0"/>
    <s v="Replacement"/>
    <s v="Active"/>
    <n v="21868.92"/>
    <n v="297382.73"/>
    <n v="171231.17"/>
    <n v="64637.61"/>
    <n v="0"/>
    <n v="61467.839999999997"/>
    <n v="2533646.94"/>
    <n v="25051794.890000001"/>
    <n v="12265063.91"/>
    <n v="816930.73"/>
    <n v="209044.69"/>
    <n v="49626.89"/>
    <s v=""/>
    <s v=""/>
    <s v=""/>
    <s v=""/>
    <s v=""/>
    <s v=""/>
    <s v=""/>
    <n v="41542696.32"/>
    <n v="41542696.32"/>
    <n v="51683704.460300907"/>
    <n v="44566696.377346426"/>
    <n v="1.1596934182128902"/>
    <s v="2017"/>
    <d v="2013-10-29T00:00:00"/>
    <x v="0"/>
    <m/>
    <n v="45680863.786780082"/>
    <n v="49626.89"/>
  </r>
  <r>
    <x v="5"/>
    <x v="5"/>
    <x v="0"/>
    <s v="Replacement"/>
    <s v="Cancelled"/>
    <n v="5492.33"/>
    <n v="0"/>
    <n v="130.91999999999999"/>
    <n v="245.68"/>
    <n v="0"/>
    <n v="0"/>
    <n v="0"/>
    <n v="0"/>
    <m/>
    <m/>
    <m/>
    <n v="-5868.93"/>
    <s v=""/>
    <s v=""/>
    <s v=""/>
    <s v=""/>
    <s v=""/>
    <s v=""/>
    <s v=""/>
    <n v="0"/>
    <n v="11737.86"/>
    <n v="0"/>
    <s v=""/>
    <s v=""/>
    <s v="2017"/>
    <s v=""/>
    <x v="2"/>
    <m/>
    <n v="0"/>
    <n v="-5868.93"/>
  </r>
  <r>
    <x v="6"/>
    <x v="6"/>
    <x v="0"/>
    <s v="Replacement"/>
    <s v="Active"/>
    <n v="11910.28"/>
    <n v="753.68"/>
    <n v="110585"/>
    <n v="0"/>
    <n v="491172.67"/>
    <n v="2109341.7999999998"/>
    <n v="13925378.630000001"/>
    <n v="20268858.550000001"/>
    <n v="4400650.9400000004"/>
    <n v="1224600.4099999999"/>
    <n v="922861.43"/>
    <n v="279428.7"/>
    <s v=""/>
    <s v=""/>
    <s v=""/>
    <s v=""/>
    <s v=""/>
    <s v=""/>
    <s v=""/>
    <n v="43745542.089999996"/>
    <n v="43745542.089999996"/>
    <n v="55051486.672232218"/>
    <n v="47470724.423932329"/>
    <n v="1.1596934182128902"/>
    <s v="2017"/>
    <d v="2015-12-07T00:00:00"/>
    <x v="0"/>
    <m/>
    <n v="48657492.534530625"/>
    <n v="279428.7"/>
  </r>
  <r>
    <x v="7"/>
    <x v="7"/>
    <x v="0"/>
    <s v="Security/Compliance"/>
    <s v="Active"/>
    <n v="0"/>
    <n v="0"/>
    <n v="0"/>
    <n v="0"/>
    <n v="0"/>
    <n v="0"/>
    <n v="0"/>
    <n v="0"/>
    <n v="131231.91"/>
    <n v="1187948.25"/>
    <n v="3564305.29"/>
    <n v="373136.57"/>
    <n v="15412.161517590419"/>
    <s v=""/>
    <s v=""/>
    <s v=""/>
    <s v=""/>
    <s v=""/>
    <s v=""/>
    <n v="5272034.1815175908"/>
    <n v="5272034.1815175908"/>
    <n v="6256464.7090216558"/>
    <n v="5529803.1583464211"/>
    <n v="1.1314082128906247"/>
    <s v="2018"/>
    <d v="2015-12-23T00:00:00"/>
    <x v="0"/>
    <m/>
    <n v="5529803.1583464211"/>
    <n v="15412.161517590419"/>
  </r>
  <r>
    <x v="8"/>
    <x v="8"/>
    <x v="0"/>
    <s v="Augmentation"/>
    <s v="Active"/>
    <n v="0"/>
    <n v="0"/>
    <n v="38503"/>
    <n v="247149.1"/>
    <n v="673856.07"/>
    <n v="4689603.7300000004"/>
    <n v="9839939.1899999995"/>
    <n v="7572131.0899999999"/>
    <n v="697035.34"/>
    <n v="230314.93"/>
    <n v="82087.88"/>
    <n v="27967.15"/>
    <s v=""/>
    <s v=""/>
    <s v=""/>
    <s v=""/>
    <s v=""/>
    <s v=""/>
    <s v=""/>
    <n v="24098587.479999997"/>
    <n v="24098587.479999997"/>
    <n v="30769119.588418558"/>
    <n v="26532115.389457297"/>
    <n v="1.1596934182128902"/>
    <s v="2017"/>
    <d v="2012-11-30T00:00:00"/>
    <x v="0"/>
    <m/>
    <n v="27195418.274193723"/>
    <n v="27967.15"/>
  </r>
  <r>
    <x v="9"/>
    <x v="9"/>
    <x v="0"/>
    <s v="Replacement"/>
    <s v="Active"/>
    <n v="0"/>
    <n v="0"/>
    <n v="0"/>
    <n v="0"/>
    <n v="0"/>
    <n v="0"/>
    <n v="0"/>
    <n v="0"/>
    <m/>
    <n v="301176.65000000002"/>
    <n v="12290961.529999999"/>
    <n v="8690257.0600000005"/>
    <n v="435009.70831605524"/>
    <s v=""/>
    <s v=""/>
    <s v=""/>
    <s v=""/>
    <s v=""/>
    <s v=""/>
    <n v="21717404.948316056"/>
    <n v="21717404.948316056"/>
    <n v="25488318.436723925"/>
    <n v="22527959.534255147"/>
    <n v="1.1314082128906247"/>
    <s v="2018"/>
    <d v="2016-11-30T00:00:00"/>
    <x v="0"/>
    <m/>
    <n v="22527959.534255151"/>
    <n v="435009.70831605524"/>
  </r>
  <r>
    <x v="10"/>
    <x v="10"/>
    <x v="0"/>
    <s v="Augmentation"/>
    <s v="Active"/>
    <n v="0"/>
    <n v="0"/>
    <n v="77228"/>
    <n v="0"/>
    <n v="453453.13"/>
    <n v="1359903.97"/>
    <n v="14877728.73"/>
    <n v="37695811.990000002"/>
    <n v="11090338.27"/>
    <n v="1206213.96"/>
    <n v="1147486.3"/>
    <n v="989831.67"/>
    <n v="32667.052451655876"/>
    <s v=""/>
    <s v=""/>
    <s v=""/>
    <s v=""/>
    <s v=""/>
    <s v=""/>
    <n v="68930663.072451666"/>
    <n v="68930663.072451666"/>
    <n v="86225549.539924651"/>
    <n v="76210821.662349239"/>
    <n v="1.1314082128906247"/>
    <s v="2018"/>
    <d v="2014-03-20T00:00:00"/>
    <x v="0"/>
    <m/>
    <n v="76210821.662349239"/>
    <n v="32667.052451655876"/>
  </r>
  <r>
    <x v="11"/>
    <x v="11"/>
    <x v="1"/>
    <s v="Augmentation"/>
    <s v="Active"/>
    <n v="0"/>
    <n v="0"/>
    <n v="0"/>
    <n v="0"/>
    <n v="0"/>
    <n v="0"/>
    <n v="0"/>
    <n v="0"/>
    <m/>
    <m/>
    <n v="40538.910000000003"/>
    <n v="73568.75"/>
    <n v="-114107.66"/>
    <s v=""/>
    <s v=""/>
    <s v=""/>
    <s v=""/>
    <s v=""/>
    <s v=""/>
    <n v="0"/>
    <n v="228215.32"/>
    <n v="0"/>
    <s v=""/>
    <s v=""/>
    <s v="2018"/>
    <s v=""/>
    <x v="2"/>
    <m/>
    <n v="0"/>
    <n v="-114107.66"/>
  </r>
  <r>
    <x v="12"/>
    <x v="12"/>
    <x v="0"/>
    <s v="Replacement"/>
    <s v="Closed"/>
    <n v="0"/>
    <n v="0"/>
    <n v="18240"/>
    <n v="0"/>
    <n v="25691.19"/>
    <n v="263358.78999999998"/>
    <n v="2199097.6"/>
    <n v="7683992.3799999999"/>
    <n v="1100087.3"/>
    <n v="214079.04"/>
    <n v="16232.07"/>
    <s v=""/>
    <s v=""/>
    <s v=""/>
    <s v=""/>
    <s v=""/>
    <s v=""/>
    <s v=""/>
    <s v=""/>
    <n v="11520778.370000001"/>
    <n v="11520778.370000001"/>
    <n v="14454207.884806555"/>
    <n v="12046477.641468819"/>
    <n v="1.1998700628513483"/>
    <s v="2016"/>
    <d v="2015-01-12T00:00:00"/>
    <x v="3"/>
    <m/>
    <n v="12775413.612985564"/>
    <n v="16232.07"/>
  </r>
  <r>
    <x v="13"/>
    <x v="13"/>
    <x v="0"/>
    <s v="Easements/Land"/>
    <s v="Closed"/>
    <n v="0"/>
    <n v="0"/>
    <n v="0"/>
    <n v="0"/>
    <n v="4826.04"/>
    <n v="101717.9"/>
    <n v="9808.48"/>
    <n v="0"/>
    <m/>
    <m/>
    <m/>
    <n v="-116945.18"/>
    <s v=""/>
    <s v=""/>
    <s v=""/>
    <s v=""/>
    <s v=""/>
    <s v=""/>
    <s v=""/>
    <n v="-592.76000000000931"/>
    <n v="233297.59999999998"/>
    <n v="0"/>
    <m/>
    <m/>
    <s v="2017"/>
    <d v="1899-12-30T00:00:00"/>
    <x v="2"/>
    <m/>
    <n v="0"/>
    <n v="-116945.18"/>
  </r>
  <r>
    <x v="14"/>
    <x v="14"/>
    <x v="0"/>
    <s v="Replacement"/>
    <s v="Closed"/>
    <n v="0"/>
    <n v="0"/>
    <n v="0"/>
    <n v="34867.480000000003"/>
    <n v="298117.36"/>
    <n v="814094.62"/>
    <n v="2193174.1800000002"/>
    <n v="50167.8"/>
    <n v="-74756.86"/>
    <m/>
    <n v="273.05"/>
    <s v=""/>
    <s v=""/>
    <s v=""/>
    <s v=""/>
    <s v=""/>
    <s v=""/>
    <s v=""/>
    <s v=""/>
    <n v="3315937.63"/>
    <n v="3465451.3499999996"/>
    <n v="4296359.8198988875"/>
    <n v="3349351.0136920563"/>
    <n v="1.2827439710963362"/>
    <s v="2016"/>
    <d v="2011-11-10T00:00:00"/>
    <x v="4"/>
    <m/>
    <n v="3797356.0479308846"/>
    <n v="273.05"/>
  </r>
  <r>
    <x v="15"/>
    <x v="15"/>
    <x v="0"/>
    <s v="Easements/Land"/>
    <s v="Deferred"/>
    <n v="0"/>
    <n v="0"/>
    <n v="0"/>
    <n v="0"/>
    <n v="15015.66"/>
    <n v="326471.92"/>
    <n v="138665.04999999999"/>
    <n v="85507.51"/>
    <n v="174722.74"/>
    <n v="15657.66"/>
    <m/>
    <n v="-756040.54"/>
    <s v=""/>
    <s v=""/>
    <s v=""/>
    <s v=""/>
    <s v=""/>
    <s v=""/>
    <s v=""/>
    <n v="0"/>
    <n v="1512081.08"/>
    <n v="0"/>
    <s v=""/>
    <s v=""/>
    <s v="2017"/>
    <m/>
    <x v="1"/>
    <m/>
    <n v="0"/>
    <n v="-756040.54"/>
  </r>
  <r>
    <x v="16"/>
    <x v="16"/>
    <x v="0"/>
    <s v="Information Technology"/>
    <s v="Deferred"/>
    <n v="0"/>
    <n v="0"/>
    <n v="0"/>
    <n v="0"/>
    <n v="0"/>
    <n v="164575.43"/>
    <n v="240508.19"/>
    <n v="117943.46"/>
    <m/>
    <n v="39373.82"/>
    <m/>
    <s v=""/>
    <n v="596332.27852691687"/>
    <s v=""/>
    <s v=""/>
    <s v=""/>
    <s v=""/>
    <s v=""/>
    <s v=""/>
    <n v="1158733.178526917"/>
    <n v="1158733.178526917"/>
    <n v="1392591.0493832328"/>
    <n v="1230847.5698840071"/>
    <n v="1.1314082128906247"/>
    <s v="2018"/>
    <d v="2018-05-29T00:00:00"/>
    <x v="5"/>
    <m/>
    <n v="1230847.5698840073"/>
    <n v="596332.27852691687"/>
  </r>
  <r>
    <x v="17"/>
    <x v="17"/>
    <x v="0"/>
    <s v="Information Technology"/>
    <s v="Closed"/>
    <n v="0"/>
    <n v="0"/>
    <n v="0"/>
    <n v="0"/>
    <n v="0"/>
    <n v="254962.77"/>
    <n v="0"/>
    <n v="0"/>
    <m/>
    <m/>
    <n v="-234949.03999999998"/>
    <s v=""/>
    <s v=""/>
    <s v=""/>
    <s v=""/>
    <s v=""/>
    <s v=""/>
    <s v=""/>
    <s v=""/>
    <n v="20013.73000000001"/>
    <n v="489911.80999999994"/>
    <n v="54114.576816504705"/>
    <s v=""/>
    <s v=""/>
    <s v="2016"/>
    <s v=""/>
    <x v="2"/>
    <m/>
    <n v="47829.400741442194"/>
    <n v="-234949.03999999998"/>
  </r>
  <r>
    <x v="18"/>
    <x v="18"/>
    <x v="2"/>
    <s v="Augmentation"/>
    <s v="Listed"/>
    <n v="0"/>
    <n v="0"/>
    <n v="0"/>
    <n v="0"/>
    <n v="0"/>
    <n v="0"/>
    <n v="1413756.58"/>
    <n v="871332.2"/>
    <n v="45.45"/>
    <m/>
    <m/>
    <s v=""/>
    <s v=""/>
    <s v=""/>
    <s v=""/>
    <s v=""/>
    <s v=""/>
    <s v=""/>
    <s v=""/>
    <n v="2285134.2300000004"/>
    <n v="2285134.2300000004"/>
    <n v="2903951.611335767"/>
    <n v="2388495.9868932213"/>
    <n v="1.2158076158683491"/>
    <s v="2014"/>
    <d v="2011-07-22T00:00:00"/>
    <x v="6"/>
    <m/>
    <n v="2566670.0826896834"/>
    <n v="45.45"/>
  </r>
  <r>
    <x v="19"/>
    <x v="19"/>
    <x v="0"/>
    <s v="Security/Compliance"/>
    <s v="Closed"/>
    <n v="0"/>
    <n v="0"/>
    <n v="5915"/>
    <n v="0"/>
    <n v="5170.29"/>
    <n v="166130.54999999999"/>
    <n v="291183.75"/>
    <n v="2416906.69"/>
    <n v="116388.69"/>
    <m/>
    <n v="-15090"/>
    <s v=""/>
    <s v=""/>
    <s v=""/>
    <s v=""/>
    <s v=""/>
    <s v=""/>
    <s v=""/>
    <s v=""/>
    <n v="2986604.9699999997"/>
    <n v="3016784.9699999997"/>
    <n v="3753656.1586844437"/>
    <n v="2999500.7458132114"/>
    <n v="1.2514269796144921"/>
    <s v="2016"/>
    <d v="2013-04-17T00:00:00"/>
    <x v="7"/>
    <m/>
    <n v="3317685.0900651161"/>
    <n v="-15090"/>
  </r>
  <r>
    <x v="20"/>
    <x v="20"/>
    <x v="0"/>
    <s v="Connection"/>
    <s v="Closed"/>
    <n v="0"/>
    <n v="0"/>
    <n v="0"/>
    <n v="0"/>
    <n v="0"/>
    <n v="459297.58"/>
    <n v="1236085.3700000001"/>
    <n v="4746280.5199999996"/>
    <n v="7405961.0599999996"/>
    <n v="18429504.32"/>
    <n v="37006.379999999997"/>
    <n v="193768.15"/>
    <s v=""/>
    <s v=""/>
    <s v=""/>
    <s v=""/>
    <s v=""/>
    <s v=""/>
    <s v=""/>
    <n v="32507903.379999999"/>
    <n v="32507903.379999999"/>
    <n v="39509729.689342618"/>
    <n v="34069116.086066842"/>
    <n v="1.1596934182128902"/>
    <s v="2017"/>
    <d v="2015-08-03T00:00:00"/>
    <x v="0"/>
    <m/>
    <n v="34920843.988218509"/>
    <n v="193768.15"/>
  </r>
  <r>
    <x v="21"/>
    <x v="21"/>
    <x v="0"/>
    <s v="Security/Compliance"/>
    <s v="Closed"/>
    <n v="0"/>
    <n v="0"/>
    <n v="0"/>
    <n v="107614.86"/>
    <n v="2026660.21"/>
    <n v="5821932.9500000002"/>
    <n v="5526002.0099999998"/>
    <n v="580408.01"/>
    <n v="546782.29"/>
    <n v="3550.71"/>
    <n v="148.43"/>
    <s v=""/>
    <s v=""/>
    <s v=""/>
    <s v=""/>
    <s v=""/>
    <s v=""/>
    <s v=""/>
    <s v=""/>
    <n v="14613099.469999999"/>
    <n v="14613099.469999999"/>
    <n v="18950724.596107159"/>
    <n v="16001017.884081468"/>
    <n v="1.1843449418902401"/>
    <s v="2016"/>
    <d v="2012-08-13T00:00:00"/>
    <x v="0"/>
    <m/>
    <n v="16749679.187576443"/>
    <n v="148.43"/>
  </r>
  <r>
    <x v="22"/>
    <x v="22"/>
    <x v="0"/>
    <s v="Information Technology"/>
    <s v="Closed"/>
    <n v="0"/>
    <n v="0"/>
    <n v="0"/>
    <n v="0"/>
    <n v="238513.45"/>
    <n v="135131.38"/>
    <n v="94858.79"/>
    <n v="95193.71"/>
    <n v="182971.82"/>
    <n v="320398.09000000003"/>
    <n v="344966.82"/>
    <n v="384962.43"/>
    <n v="7229.1383989469932"/>
    <s v=""/>
    <s v=""/>
    <s v=""/>
    <s v=""/>
    <s v=""/>
    <s v=""/>
    <n v="1804225.628398947"/>
    <n v="1804225.628398947"/>
    <n v="2208096.1356723928"/>
    <n v="1951635.2369680505"/>
    <n v="1.1314082128906247"/>
    <s v="2018"/>
    <d v="2016-11-11T00:00:00"/>
    <x v="0"/>
    <m/>
    <n v="1951635.2369680505"/>
    <n v="7229.1383989469932"/>
  </r>
  <r>
    <x v="23"/>
    <x v="23"/>
    <x v="0"/>
    <s v="Replacement"/>
    <s v="Active"/>
    <n v="0"/>
    <n v="0"/>
    <n v="0"/>
    <n v="0"/>
    <n v="0"/>
    <n v="2703.28"/>
    <n v="236981.66"/>
    <n v="1081055.72"/>
    <n v="635020.11"/>
    <n v="650420.4"/>
    <n v="373843.75"/>
    <n v="716673.3"/>
    <n v="358.84371702232363"/>
    <s v=""/>
    <s v=""/>
    <s v=""/>
    <s v=""/>
    <s v=""/>
    <s v=""/>
    <n v="3697057.0637170221"/>
    <n v="3697057.0637170221"/>
    <n v="4487142.6618958814"/>
    <n v="3965980.2808322567"/>
    <n v="1.1314082128906247"/>
    <s v="2018"/>
    <d v="2017-03-20T00:00:00"/>
    <x v="0"/>
    <m/>
    <n v="3965980.2808322562"/>
    <n v="358.84371702232363"/>
  </r>
  <r>
    <x v="24"/>
    <x v="24"/>
    <x v="0"/>
    <s v="Information Technology"/>
    <s v="Closed"/>
    <n v="0"/>
    <n v="0"/>
    <n v="0"/>
    <n v="0"/>
    <n v="7039.44"/>
    <n v="10890.38"/>
    <n v="223367.44"/>
    <n v="1308235.0900000001"/>
    <n v="493502.02"/>
    <n v="45049.86"/>
    <m/>
    <s v=""/>
    <s v=""/>
    <s v=""/>
    <s v=""/>
    <s v=""/>
    <s v=""/>
    <s v=""/>
    <s v=""/>
    <n v="2088084.2300000002"/>
    <n v="2088084.2300000002"/>
    <n v="2601413.9629784361"/>
    <n v="2243191.1073422018"/>
    <n v="1.1596934182128902"/>
    <s v="2015"/>
    <d v="2013-08-12T00:00:00"/>
    <x v="8"/>
    <m/>
    <n v="2299270.8850257564"/>
    <n v="45049.86"/>
  </r>
  <r>
    <x v="25"/>
    <x v="25"/>
    <x v="0"/>
    <s v="Information Technology"/>
    <s v="Closed"/>
    <n v="0"/>
    <n v="0"/>
    <n v="0"/>
    <n v="0"/>
    <n v="0"/>
    <n v="0"/>
    <n v="12682.87"/>
    <n v="240717.04"/>
    <n v="542699.27"/>
    <n v="366767.58"/>
    <n v="313547.76"/>
    <s v=""/>
    <s v=""/>
    <s v=""/>
    <s v=""/>
    <s v=""/>
    <s v=""/>
    <s v=""/>
    <s v=""/>
    <n v="1476414.52"/>
    <n v="1476414.52"/>
    <n v="1788748.7217932849"/>
    <n v="1510327.4886608655"/>
    <n v="1.1843449418902401"/>
    <s v="2016"/>
    <d v="2015-09-15T00:00:00"/>
    <x v="9"/>
    <m/>
    <n v="1580993.2272130381"/>
    <n v="313547.76"/>
  </r>
  <r>
    <x v="26"/>
    <x v="26"/>
    <x v="0"/>
    <s v="Security/Compliance"/>
    <s v="Cancelled"/>
    <n v="0"/>
    <n v="0"/>
    <n v="0"/>
    <n v="0"/>
    <n v="0"/>
    <n v="35526.65"/>
    <n v="197493.65"/>
    <n v="331133.13"/>
    <n v="501644.35"/>
    <n v="142192.95000000001"/>
    <n v="30379.49"/>
    <n v="-1238370.22"/>
    <s v=""/>
    <s v=""/>
    <s v=""/>
    <s v=""/>
    <s v=""/>
    <s v=""/>
    <s v=""/>
    <n v="0"/>
    <n v="2476740.4399999995"/>
    <n v="0"/>
    <s v=""/>
    <s v=""/>
    <s v="2017"/>
    <s v=""/>
    <x v="2"/>
    <m/>
    <n v="0"/>
    <n v="-1238370.22"/>
  </r>
  <r>
    <x v="27"/>
    <x v="27"/>
    <x v="0"/>
    <s v="Augmentation"/>
    <s v="Closed"/>
    <n v="0"/>
    <n v="0"/>
    <n v="0"/>
    <n v="0"/>
    <n v="0"/>
    <n v="2774905.31"/>
    <n v="380743.78"/>
    <n v="172163.75"/>
    <n v="-633552.68999999994"/>
    <n v="50000"/>
    <n v="-2260000"/>
    <n v="-370000"/>
    <s v=""/>
    <s v=""/>
    <s v=""/>
    <s v=""/>
    <s v=""/>
    <s v=""/>
    <s v=""/>
    <n v="114260.14999999991"/>
    <n v="6641365.5299999993"/>
    <n v="505286.20568987791"/>
    <n v="446599.37936894299"/>
    <n v="1.1314082128906247"/>
    <s v="2017"/>
    <d v="2013-05-29T00:00:00"/>
    <x v="5"/>
    <m/>
    <n v="446599.37936894275"/>
    <n v="-370000"/>
  </r>
  <r>
    <x v="28"/>
    <x v="28"/>
    <x v="0"/>
    <s v="Security/Compliance"/>
    <s v="Active"/>
    <n v="0"/>
    <n v="0"/>
    <n v="0"/>
    <n v="0"/>
    <n v="0"/>
    <n v="0"/>
    <n v="54051.360000000001"/>
    <n v="71052.52"/>
    <n v="18775.68"/>
    <n v="45776.79"/>
    <n v="108256.04"/>
    <n v="305955.33"/>
    <n v="1120649.3744262154"/>
    <s v=""/>
    <s v=""/>
    <s v=""/>
    <s v=""/>
    <s v=""/>
    <s v=""/>
    <n v="1724517.0944262154"/>
    <n v="1724517.0944262154"/>
    <n v="1986943.6931664771"/>
    <n v="1756168.7024438798"/>
    <n v="1.1314082128906247"/>
    <s v="2018"/>
    <d v="2017-08-23T00:00:00"/>
    <x v="5"/>
    <m/>
    <n v="1756168.7024438798"/>
    <n v="1120649.3744262154"/>
  </r>
  <r>
    <x v="29"/>
    <x v="29"/>
    <x v="0"/>
    <s v="Replacement"/>
    <s v="Active"/>
    <n v="0"/>
    <n v="0"/>
    <n v="54192"/>
    <n v="0"/>
    <n v="29678.639999999999"/>
    <n v="732303.74"/>
    <n v="3901923.03"/>
    <n v="19554374.670000002"/>
    <n v="14103021.539999999"/>
    <n v="8009727.3799999999"/>
    <n v="3145956.1"/>
    <n v="179069.77"/>
    <n v="8320.5463240015742"/>
    <s v=""/>
    <s v=""/>
    <s v=""/>
    <s v=""/>
    <s v=""/>
    <s v=""/>
    <n v="49718567.416324012"/>
    <n v="49718567.416324012"/>
    <n v="61247712.70002342"/>
    <n v="54134053.47619158"/>
    <n v="1.1314082128906247"/>
    <s v="2018"/>
    <d v="2016-03-18T00:00:00"/>
    <x v="0"/>
    <m/>
    <n v="54134053.476191573"/>
    <n v="8320.5463240015742"/>
  </r>
  <r>
    <x v="30"/>
    <x v="30"/>
    <x v="0"/>
    <s v="Replacement"/>
    <s v="Active"/>
    <n v="0"/>
    <n v="0"/>
    <n v="0"/>
    <n v="0"/>
    <n v="0"/>
    <n v="0"/>
    <n v="406723.76"/>
    <n v="1683133.11"/>
    <n v="9006445.4700000007"/>
    <n v="13834207.35"/>
    <n v="31162866.48"/>
    <n v="-3055961.9308056999"/>
    <s v=""/>
    <s v=""/>
    <s v=""/>
    <s v=""/>
    <s v=""/>
    <s v=""/>
    <s v=""/>
    <n v="53037414.239194304"/>
    <n v="59149338.1008057"/>
    <n v="63541001.224974543"/>
    <n v="54791206.216288134"/>
    <n v="1.1596934182128902"/>
    <s v="2017"/>
    <d v="2018-11-16T00:00:00"/>
    <x v="8"/>
    <m/>
    <n v="56160986.371695332"/>
    <n v="-3055961.9308056999"/>
  </r>
  <r>
    <x v="31"/>
    <x v="31"/>
    <x v="0"/>
    <s v="Replacement"/>
    <s v="Closed"/>
    <n v="0"/>
    <n v="0"/>
    <n v="0"/>
    <n v="0"/>
    <n v="0"/>
    <n v="0"/>
    <n v="0"/>
    <n v="20153.740000000002"/>
    <n v="372949.98"/>
    <n v="731802.21"/>
    <n v="494183.48"/>
    <n v="20020.939999999999"/>
    <s v=""/>
    <s v=""/>
    <s v=""/>
    <s v=""/>
    <s v=""/>
    <s v=""/>
    <s v=""/>
    <n v="1639110.3499999999"/>
    <n v="1639110.3499999999"/>
    <n v="1965225.7809536916"/>
    <n v="1694608.0318211534"/>
    <n v="1.1596934182128902"/>
    <s v="2017"/>
    <d v="2016-08-01T00:00:00"/>
    <x v="8"/>
    <m/>
    <n v="1736973.2326166823"/>
    <n v="20020.939999999999"/>
  </r>
  <r>
    <x v="32"/>
    <x v="32"/>
    <x v="0"/>
    <s v="Information Technology"/>
    <s v="Active"/>
    <n v="0"/>
    <n v="0"/>
    <n v="0"/>
    <n v="0"/>
    <n v="0"/>
    <n v="0"/>
    <n v="0"/>
    <n v="0"/>
    <m/>
    <m/>
    <n v="65315.69"/>
    <n v="436260.06"/>
    <n v="3748666.9179052217"/>
    <n v="4516530.8539149519"/>
    <s v=""/>
    <s v=""/>
    <s v=""/>
    <s v=""/>
    <s v=""/>
    <n v="8766773.5218201727"/>
    <n v="8766773.5218201727"/>
    <n v="9809961.743054945"/>
    <n v="8887341.1665815562"/>
    <n v="1.1038128906249998"/>
    <s v="2019"/>
    <d v="2017-09-04T00:00:00"/>
    <x v="10"/>
    <m/>
    <n v="8670576.7478844449"/>
    <n v="4516530.8539149519"/>
  </r>
  <r>
    <x v="33"/>
    <x v="33"/>
    <x v="0"/>
    <s v="Replacement"/>
    <s v="Closed"/>
    <n v="0"/>
    <n v="0"/>
    <n v="0"/>
    <n v="0"/>
    <n v="0"/>
    <n v="0"/>
    <n v="281060.90000000002"/>
    <n v="3275383.8"/>
    <n v="213568.72"/>
    <n v="52025.41"/>
    <n v="41.02"/>
    <s v=""/>
    <s v=""/>
    <s v=""/>
    <s v=""/>
    <s v=""/>
    <s v=""/>
    <s v=""/>
    <s v=""/>
    <n v="3822079.85"/>
    <n v="3822079.85"/>
    <n v="4781563.6209814865"/>
    <n v="3932829.1405432741"/>
    <n v="1.2158076158683491"/>
    <s v="2016"/>
    <d v="2013-07-02T00:00:00"/>
    <x v="11"/>
    <m/>
    <n v="4226205.507882175"/>
    <n v="41.02"/>
  </r>
  <r>
    <x v="34"/>
    <x v="34"/>
    <x v="0"/>
    <s v="Easements/Land"/>
    <s v="Active"/>
    <n v="0"/>
    <n v="0"/>
    <n v="0"/>
    <n v="0"/>
    <n v="0"/>
    <n v="0"/>
    <n v="0"/>
    <n v="16390.89"/>
    <n v="28511.75"/>
    <n v="3753770.75"/>
    <n v="162824.4"/>
    <n v="1305116.01"/>
    <n v="5146.3865172036758"/>
    <s v=""/>
    <s v=""/>
    <s v=""/>
    <s v=""/>
    <s v=""/>
    <s v=""/>
    <n v="5271760.1865172032"/>
    <n v="5271760.1865172032"/>
    <n v="6271411.3158195354"/>
    <n v="5543013.7808499401"/>
    <n v="1.1314082128906247"/>
    <s v="2018"/>
    <d v="2017-05-08T00:00:00"/>
    <x v="0"/>
    <m/>
    <n v="5543013.7808499411"/>
    <n v="5146.3865172036758"/>
  </r>
  <r>
    <x v="35"/>
    <x v="35"/>
    <x v="0"/>
    <s v="Security/Compliance"/>
    <s v="Deferred"/>
    <n v="0"/>
    <n v="0"/>
    <n v="0"/>
    <n v="0"/>
    <n v="0"/>
    <n v="0"/>
    <n v="0"/>
    <n v="151954.94"/>
    <n v="90876.98"/>
    <n v="209796.12"/>
    <n v="43076.15"/>
    <n v="6537.94"/>
    <n v="54311.854897543039"/>
    <s v=""/>
    <s v=""/>
    <s v=""/>
    <s v=""/>
    <s v=""/>
    <s v=""/>
    <n v="556553.98489754309"/>
    <n v="556553.98489754309"/>
    <n v="672425.42472686619"/>
    <n v="594326.09474249138"/>
    <n v="1.1314082128906247"/>
    <s v="2018"/>
    <d v="2018-03-01T00:00:00"/>
    <x v="5"/>
    <m/>
    <n v="594326.09474249138"/>
    <n v="54311.854897543039"/>
  </r>
  <r>
    <x v="36"/>
    <x v="36"/>
    <x v="0"/>
    <s v="Information Technology"/>
    <s v="Closed"/>
    <n v="0"/>
    <n v="0"/>
    <n v="0"/>
    <n v="0"/>
    <n v="0"/>
    <n v="0"/>
    <n v="437943.42"/>
    <n v="502383.83"/>
    <n v="301873.52"/>
    <n v="193602.4"/>
    <n v="253939.57"/>
    <s v=""/>
    <s v=""/>
    <s v=""/>
    <s v=""/>
    <s v=""/>
    <s v=""/>
    <s v=""/>
    <s v=""/>
    <n v="1689742.74"/>
    <n v="1689742.74"/>
    <n v="2090535.8544468118"/>
    <n v="1719462.7070613618"/>
    <n v="1.2158076158683491"/>
    <s v="2016"/>
    <d v="2014-06-20T00:00:00"/>
    <x v="11"/>
    <m/>
    <n v="1847729.0783542404"/>
    <n v="253939.57"/>
  </r>
  <r>
    <x v="37"/>
    <x v="37"/>
    <x v="0"/>
    <s v="Augmentation"/>
    <s v="Deferred"/>
    <n v="0"/>
    <n v="0"/>
    <n v="0"/>
    <n v="0"/>
    <n v="0"/>
    <n v="0"/>
    <n v="72170.820000000007"/>
    <n v="445253.12"/>
    <n v="19278.75"/>
    <n v="-92939.59"/>
    <n v="-445452.24"/>
    <n v="1689.14"/>
    <n v="-1694.0719204239501"/>
    <m/>
    <m/>
    <m/>
    <m/>
    <m/>
    <m/>
    <n v="-1694.071920423964"/>
    <n v="1078477.7319204239"/>
    <n v="34175.361108119119"/>
    <s v=""/>
    <s v=""/>
    <s v="2018"/>
    <m/>
    <x v="1"/>
    <m/>
    <n v="0"/>
    <n v="-1694.0719204239501"/>
  </r>
  <r>
    <x v="38"/>
    <x v="38"/>
    <x v="0"/>
    <s v="Information Technology"/>
    <s v="Closed"/>
    <n v="0"/>
    <n v="0"/>
    <n v="0"/>
    <n v="0"/>
    <n v="0"/>
    <n v="0"/>
    <n v="0"/>
    <n v="168164.17"/>
    <n v="572811.38"/>
    <n v="294210.18"/>
    <n v="281930.38"/>
    <n v="4171.92"/>
    <s v=""/>
    <s v=""/>
    <s v=""/>
    <s v=""/>
    <s v=""/>
    <s v=""/>
    <s v=""/>
    <n v="1321288.0299999998"/>
    <n v="1321288.0299999998"/>
    <n v="1598628.5724541475"/>
    <n v="1378492.4078621268"/>
    <n v="1.1596934182128902"/>
    <s v="2017"/>
    <d v="2016-04-12T00:00:00"/>
    <x v="0"/>
    <m/>
    <n v="1412954.71805868"/>
    <n v="4171.92"/>
  </r>
  <r>
    <x v="39"/>
    <x v="39"/>
    <x v="0"/>
    <s v="Information Technology"/>
    <s v="Closed"/>
    <n v="0"/>
    <n v="0"/>
    <n v="0"/>
    <n v="0"/>
    <n v="0"/>
    <n v="0"/>
    <n v="0"/>
    <n v="4774.95"/>
    <n v="5096.9799999999996"/>
    <n v="10581.42"/>
    <n v="31114.43"/>
    <n v="3969.64"/>
    <s v=""/>
    <s v=""/>
    <s v=""/>
    <s v=""/>
    <s v=""/>
    <s v=""/>
    <s v=""/>
    <n v="55537.42"/>
    <n v="55537.42"/>
    <n v="66322.560609667955"/>
    <n v="57189.736156192295"/>
    <n v="1.1596934182128902"/>
    <s v="2017"/>
    <d v="2016-06-03T00:00:00"/>
    <x v="0"/>
    <m/>
    <n v="58619.47956009709"/>
    <n v="3969.64"/>
  </r>
  <r>
    <x v="40"/>
    <x v="40"/>
    <x v="3"/>
    <s v="Augmentation"/>
    <s v="Active"/>
    <n v="0"/>
    <n v="0"/>
    <n v="0"/>
    <n v="0"/>
    <n v="0"/>
    <n v="0"/>
    <n v="0"/>
    <n v="0"/>
    <m/>
    <m/>
    <m/>
    <n v="103637.5"/>
    <n v="849539.17808722646"/>
    <s v=""/>
    <s v=""/>
    <s v=""/>
    <s v=""/>
    <s v=""/>
    <s v=""/>
    <n v="953176.67808722646"/>
    <n v="953176.67808722646"/>
    <n v="1081363.3298902775"/>
    <n v="955767.61558722646"/>
    <n v="1.1314082128906247"/>
    <s v="2018"/>
    <d v="2017-12-11T00:00:00"/>
    <x v="5"/>
    <m/>
    <n v="955767.61558722646"/>
    <n v="849539.17808722646"/>
  </r>
  <r>
    <x v="41"/>
    <x v="41"/>
    <x v="0"/>
    <s v="Information Technology"/>
    <s v="Active"/>
    <n v="0"/>
    <n v="0"/>
    <n v="0"/>
    <n v="0"/>
    <n v="0"/>
    <n v="0"/>
    <n v="2779.78"/>
    <n v="92423.92"/>
    <n v="103824.38"/>
    <n v="270251.33"/>
    <n v="892352.87"/>
    <n v="340965.75"/>
    <n v="676511.88125922822"/>
    <s v=""/>
    <s v=""/>
    <s v=""/>
    <s v=""/>
    <s v=""/>
    <s v=""/>
    <n v="2379109.9112592284"/>
    <n v="2379109.9112592284"/>
    <n v="2787404.9279668145"/>
    <n v="2463659.7968873666"/>
    <n v="1.1314082128906247"/>
    <s v="2018"/>
    <d v="2017-06-30T00:00:00"/>
    <x v="5"/>
    <m/>
    <n v="2463659.7968873661"/>
    <n v="676511.88125922822"/>
  </r>
  <r>
    <x v="42"/>
    <x v="42"/>
    <x v="0"/>
    <s v="Information Technology"/>
    <s v="Active"/>
    <n v="0"/>
    <n v="0"/>
    <n v="0"/>
    <n v="0"/>
    <n v="0"/>
    <n v="0"/>
    <n v="19050.560000000001"/>
    <n v="39889.449999999997"/>
    <n v="210929.43"/>
    <n v="210134.06"/>
    <n v="37989.519999999997"/>
    <n v="76830.36"/>
    <n v="215081.77089264491"/>
    <s v=""/>
    <s v=""/>
    <s v=""/>
    <s v=""/>
    <s v=""/>
    <s v=""/>
    <n v="809905.15089264489"/>
    <n v="809905.15089264489"/>
    <n v="960376.54080093431"/>
    <n v="848832.92330650217"/>
    <n v="1.1314082128906247"/>
    <s v="2018"/>
    <d v="2018-04-27T00:00:00"/>
    <x v="5"/>
    <m/>
    <n v="848832.92330650217"/>
    <n v="215081.77089264491"/>
  </r>
  <r>
    <x v="43"/>
    <x v="43"/>
    <x v="0"/>
    <s v="Replacement"/>
    <s v="Closed"/>
    <n v="0"/>
    <n v="0"/>
    <n v="0"/>
    <n v="0"/>
    <n v="0"/>
    <n v="0"/>
    <n v="0"/>
    <n v="0"/>
    <n v="66382.09"/>
    <n v="22057.79"/>
    <n v="61400.09"/>
    <s v=""/>
    <s v=""/>
    <s v=""/>
    <s v=""/>
    <s v=""/>
    <s v=""/>
    <s v=""/>
    <s v=""/>
    <n v="149839.97"/>
    <n v="149839.97"/>
    <n v="179893.2184760255"/>
    <n v="151892.58814151902"/>
    <n v="1.1843449418902401"/>
    <s v="2016"/>
    <d v="2015-10-30T00:00:00"/>
    <x v="9"/>
    <m/>
    <n v="158999.39246191079"/>
    <n v="61400.09"/>
  </r>
  <r>
    <x v="44"/>
    <x v="44"/>
    <x v="0"/>
    <s v="Facilities"/>
    <s v="Closed"/>
    <n v="0"/>
    <n v="0"/>
    <n v="0"/>
    <n v="0"/>
    <n v="0"/>
    <n v="0"/>
    <n v="0"/>
    <n v="0"/>
    <n v="29137.83"/>
    <n v="9379.84"/>
    <n v="1413.72"/>
    <s v=""/>
    <s v=""/>
    <s v=""/>
    <s v=""/>
    <s v=""/>
    <s v=""/>
    <s v=""/>
    <s v=""/>
    <n v="39931.39"/>
    <n v="39931.39"/>
    <n v="48354.916965461918"/>
    <n v="39771.849044493829"/>
    <n v="1.2158076158683491"/>
    <s v="2016"/>
    <d v="2014-04-15T00:00:00"/>
    <x v="11"/>
    <m/>
    <n v="42738.700686925702"/>
    <n v="1413.72"/>
  </r>
  <r>
    <x v="45"/>
    <x v="45"/>
    <x v="0"/>
    <s v="Refurbishment"/>
    <s v="Active"/>
    <n v="0"/>
    <n v="0"/>
    <n v="0"/>
    <n v="0"/>
    <n v="0"/>
    <n v="0"/>
    <n v="0"/>
    <n v="0"/>
    <n v="754528.64"/>
    <n v="2820453.82"/>
    <n v="17958100.210000001"/>
    <n v="18595733.140000001"/>
    <n v="8327235.7171268845"/>
    <n v="23770.98660501001"/>
    <s v=""/>
    <s v=""/>
    <s v=""/>
    <s v=""/>
    <s v=""/>
    <n v="48479822.513731897"/>
    <n v="48479822.513731897"/>
    <n v="56583215.850619391"/>
    <n v="50011317.936304741"/>
    <n v="1.1314082128906247"/>
    <s v="2019"/>
    <d v="2018-01-24T00:00:00"/>
    <x v="5"/>
    <m/>
    <n v="50011317.936304741"/>
    <n v="23770.98660501001"/>
  </r>
  <r>
    <x v="46"/>
    <x v="46"/>
    <x v="0"/>
    <s v="Refurbishment"/>
    <s v="Active"/>
    <n v="0"/>
    <n v="0"/>
    <n v="0"/>
    <n v="0"/>
    <n v="0"/>
    <n v="0"/>
    <n v="0"/>
    <n v="0"/>
    <n v="81635.7"/>
    <n v="859178.68"/>
    <n v="876093.75"/>
    <n v="132655.29"/>
    <n v="82044.520082057599"/>
    <s v=""/>
    <s v=""/>
    <s v=""/>
    <s v=""/>
    <s v=""/>
    <s v=""/>
    <n v="2031607.9400820576"/>
    <n v="2031607.9400820576"/>
    <n v="2414418.5945406673"/>
    <n v="2133994.226868913"/>
    <n v="1.1314082128906247"/>
    <s v="2018"/>
    <d v="2016-11-15T00:00:00"/>
    <x v="0"/>
    <m/>
    <n v="2133994.226868913"/>
    <n v="82044.520082057599"/>
  </r>
  <r>
    <x v="47"/>
    <x v="47"/>
    <x v="0"/>
    <s v="Refurbishment"/>
    <s v="Active"/>
    <n v="0"/>
    <n v="0"/>
    <n v="0"/>
    <n v="0"/>
    <n v="0"/>
    <n v="0"/>
    <n v="0"/>
    <n v="0"/>
    <n v="63183.77"/>
    <n v="543156.64"/>
    <n v="4514330.08"/>
    <n v="96723.91"/>
    <n v="180155.31726962919"/>
    <s v=""/>
    <s v=""/>
    <s v=""/>
    <s v=""/>
    <s v=""/>
    <s v=""/>
    <n v="5397549.7172696292"/>
    <n v="5397549.7172696292"/>
    <n v="6391059.984176755"/>
    <n v="5648765.7693842379"/>
    <n v="1.1314082128906247"/>
    <s v="2018"/>
    <d v="2017-01-20T00:00:00"/>
    <x v="0"/>
    <m/>
    <n v="5648765.769384237"/>
    <n v="180155.31726962919"/>
  </r>
  <r>
    <x v="48"/>
    <x v="48"/>
    <x v="0"/>
    <s v="Refurbishment"/>
    <s v="Active"/>
    <n v="0"/>
    <n v="0"/>
    <n v="0"/>
    <n v="0"/>
    <n v="0"/>
    <n v="0"/>
    <n v="0"/>
    <n v="0"/>
    <n v="469016.36"/>
    <n v="4049141.35"/>
    <n v="1166785.49"/>
    <n v="805076.99"/>
    <n v="97474.388597847355"/>
    <s v=""/>
    <s v=""/>
    <s v=""/>
    <s v=""/>
    <s v=""/>
    <s v=""/>
    <n v="6587494.5785978474"/>
    <n v="6587494.5785978474"/>
    <n v="7854479.4521895116"/>
    <n v="6942215.3407585518"/>
    <n v="1.1314082128906247"/>
    <s v="2018"/>
    <d v="2017-05-15T00:00:00"/>
    <x v="5"/>
    <m/>
    <n v="6942215.3407585509"/>
    <n v="97474.388597847355"/>
  </r>
  <r>
    <x v="49"/>
    <x v="49"/>
    <x v="0"/>
    <s v="Refurbishment"/>
    <s v="Active"/>
    <n v="0"/>
    <n v="0"/>
    <n v="0"/>
    <n v="0"/>
    <n v="0"/>
    <n v="0"/>
    <n v="0"/>
    <n v="0"/>
    <n v="673197.8"/>
    <n v="1777892.24"/>
    <n v="43397.88"/>
    <n v="1645.95"/>
    <n v="1381.0756618829173"/>
    <s v=""/>
    <s v=""/>
    <s v=""/>
    <s v=""/>
    <s v=""/>
    <s v=""/>
    <n v="2497514.9456618829"/>
    <n v="2497514.9456618829"/>
    <n v="3006588.1033724872"/>
    <n v="2657385.7862415393"/>
    <n v="1.1314082128906247"/>
    <s v="2018"/>
    <d v="2014-12-05T00:00:00"/>
    <x v="0"/>
    <m/>
    <n v="2657385.7862415388"/>
    <n v="1381.0756618829173"/>
  </r>
  <r>
    <x v="50"/>
    <x v="50"/>
    <x v="0"/>
    <s v="Security/Compliance"/>
    <s v="Closed"/>
    <n v="0"/>
    <n v="0"/>
    <n v="0"/>
    <n v="0"/>
    <n v="0"/>
    <n v="0"/>
    <n v="0"/>
    <n v="17934.27"/>
    <n v="179945.41"/>
    <n v="428936.92"/>
    <n v="339799.41"/>
    <s v=""/>
    <s v=""/>
    <s v=""/>
    <s v=""/>
    <s v=""/>
    <s v=""/>
    <s v=""/>
    <s v=""/>
    <n v="966616.01"/>
    <n v="966616.01"/>
    <n v="1158330.7109066951"/>
    <n v="978034.92034843692"/>
    <n v="1.1843449418902401"/>
    <s v="2016"/>
    <d v="2015-11-02T00:00:00"/>
    <x v="9"/>
    <m/>
    <n v="1023795.5653046626"/>
    <n v="339799.41"/>
  </r>
  <r>
    <x v="51"/>
    <x v="51"/>
    <x v="0"/>
    <s v="Facilities"/>
    <s v="Closed"/>
    <n v="0"/>
    <n v="0"/>
    <n v="0"/>
    <n v="0"/>
    <n v="0"/>
    <n v="0"/>
    <n v="0"/>
    <n v="52860.86"/>
    <n v="384185.78"/>
    <m/>
    <n v="-987.77"/>
    <s v=""/>
    <s v=""/>
    <s v=""/>
    <s v=""/>
    <s v=""/>
    <s v=""/>
    <s v=""/>
    <s v=""/>
    <n v="436058.87"/>
    <n v="438034.41000000003"/>
    <n v="532077.64319869573"/>
    <n v="437633.08952352422"/>
    <n v="1.2158076158683491"/>
    <s v="2016"/>
    <d v="2013-12-20T00:00:00"/>
    <x v="11"/>
    <m/>
    <n v="470279.10628233402"/>
    <n v="-987.77"/>
  </r>
  <r>
    <x v="52"/>
    <x v="52"/>
    <x v="0"/>
    <s v="Augmentation"/>
    <s v="Active"/>
    <n v="0"/>
    <n v="0"/>
    <n v="0"/>
    <n v="0"/>
    <n v="0"/>
    <n v="0"/>
    <n v="0"/>
    <n v="0"/>
    <n v="2977.51"/>
    <n v="5378.36"/>
    <n v="405032.26"/>
    <n v="1351025.26"/>
    <n v="626324.93856518238"/>
    <s v=""/>
    <s v=""/>
    <s v=""/>
    <s v=""/>
    <s v=""/>
    <s v=""/>
    <n v="2390738.3285651826"/>
    <n v="2390738.3285651826"/>
    <n v="2765175.6022111559"/>
    <n v="2444012.312007559"/>
    <n v="1.1314082128906247"/>
    <s v="2018"/>
    <d v="2017-01-09T00:00:00"/>
    <x v="0"/>
    <m/>
    <n v="2444012.312007559"/>
    <n v="626324.93856518238"/>
  </r>
  <r>
    <x v="53"/>
    <x v="53"/>
    <x v="0"/>
    <s v="Security/Compliance"/>
    <s v="Closed"/>
    <n v="0"/>
    <n v="0"/>
    <n v="0"/>
    <n v="0"/>
    <n v="0"/>
    <n v="0"/>
    <n v="0"/>
    <n v="0"/>
    <n v="89188.45"/>
    <m/>
    <m/>
    <s v=""/>
    <s v=""/>
    <s v=""/>
    <s v=""/>
    <s v=""/>
    <s v=""/>
    <s v=""/>
    <s v=""/>
    <n v="89188.45"/>
    <n v="89188.45"/>
    <n v="108435.99675749346"/>
    <n v="95841.620665322291"/>
    <n v="1.1314082128906247"/>
    <s v="2014"/>
    <d v="2013-10-31T00:00:00"/>
    <x v="5"/>
    <m/>
    <n v="95841.620665322291"/>
    <n v="89188.45"/>
  </r>
  <r>
    <x v="54"/>
    <x v="54"/>
    <x v="0"/>
    <s v="Easements/Land"/>
    <s v="Active"/>
    <n v="0"/>
    <n v="0"/>
    <n v="0"/>
    <n v="0"/>
    <n v="0"/>
    <n v="0"/>
    <n v="0"/>
    <n v="134351.37"/>
    <n v="188691.28"/>
    <n v="163346.25"/>
    <n v="275845.46999999997"/>
    <n v="13965.75"/>
    <s v=""/>
    <s v=""/>
    <s v=""/>
    <s v=""/>
    <s v=""/>
    <s v=""/>
    <s v=""/>
    <n v="776200.12"/>
    <n v="776200.12"/>
    <n v="936429.67518539086"/>
    <n v="807480.37410477584"/>
    <n v="1.1596934182128902"/>
    <s v="2017"/>
    <d v="2016-04-29T00:00:00"/>
    <x v="8"/>
    <m/>
    <n v="827667.38345739525"/>
    <n v="13965.75"/>
  </r>
  <r>
    <x v="55"/>
    <x v="55"/>
    <x v="0"/>
    <s v="Replacement"/>
    <s v="Active"/>
    <n v="0"/>
    <n v="0"/>
    <n v="0"/>
    <n v="0"/>
    <n v="0"/>
    <n v="0"/>
    <n v="0"/>
    <n v="0"/>
    <n v="277734.34000000003"/>
    <n v="220787.11"/>
    <n v="827665.65"/>
    <n v="867407.92"/>
    <n v="630786.87694507535"/>
    <n v="21680.455130812206"/>
    <s v=""/>
    <s v=""/>
    <s v=""/>
    <s v=""/>
    <s v=""/>
    <n v="2846062.3520758874"/>
    <n v="2846062.3520758874"/>
    <n v="3326364.870203462"/>
    <n v="2940021.8526830049"/>
    <n v="1.1314082128906247"/>
    <s v="2019"/>
    <d v="2018-06-20T00:00:00"/>
    <x v="5"/>
    <m/>
    <n v="2940021.8526830049"/>
    <n v="21680.455130812206"/>
  </r>
  <r>
    <x v="56"/>
    <x v="56"/>
    <x v="0"/>
    <s v="Information Technology"/>
    <s v="Closed"/>
    <n v="0"/>
    <n v="0"/>
    <n v="0"/>
    <n v="0"/>
    <n v="0"/>
    <n v="0"/>
    <n v="0"/>
    <n v="607819.53"/>
    <n v="265317.2"/>
    <n v="140277.35"/>
    <n v="6212.29"/>
    <s v=""/>
    <s v=""/>
    <s v=""/>
    <s v=""/>
    <s v=""/>
    <s v=""/>
    <s v=""/>
    <s v=""/>
    <n v="1019626.37"/>
    <n v="1019626.37"/>
    <n v="1258888.517959642"/>
    <n v="1035433.9794627161"/>
    <n v="1.2158076158683491"/>
    <s v="2016"/>
    <d v="2014-06-03T00:00:00"/>
    <x v="11"/>
    <m/>
    <n v="1112674.0142210203"/>
    <n v="6212.29"/>
  </r>
  <r>
    <x v="57"/>
    <x v="57"/>
    <x v="0"/>
    <s v="Information Technology"/>
    <s v="Closed"/>
    <n v="0"/>
    <n v="0"/>
    <n v="0"/>
    <n v="0"/>
    <n v="0"/>
    <n v="0"/>
    <n v="0"/>
    <n v="1444350.77"/>
    <n v="1072130.25"/>
    <n v="98304.17"/>
    <n v="51373.36"/>
    <s v=""/>
    <s v=""/>
    <s v=""/>
    <s v=""/>
    <s v=""/>
    <s v=""/>
    <s v=""/>
    <s v=""/>
    <n v="2666158.5499999998"/>
    <n v="2666158.5499999998"/>
    <n v="3289799.6544581591"/>
    <n v="2741796.5964083993"/>
    <n v="1.1998700628513483"/>
    <s v="2016"/>
    <d v="2014-07-08T00:00:00"/>
    <x v="3"/>
    <m/>
    <n v="2907703.5299691516"/>
    <n v="51373.36"/>
  </r>
  <r>
    <x v="58"/>
    <x v="58"/>
    <x v="0"/>
    <s v="Replacement"/>
    <s v="Closed"/>
    <n v="0"/>
    <n v="0"/>
    <n v="0"/>
    <n v="0"/>
    <n v="0"/>
    <n v="0"/>
    <n v="9558.66"/>
    <n v="393759.8"/>
    <n v="643443.42000000004"/>
    <n v="5618545.5199999996"/>
    <n v="984885.6"/>
    <s v=""/>
    <s v=""/>
    <s v=""/>
    <s v=""/>
    <s v=""/>
    <s v=""/>
    <s v=""/>
    <s v=""/>
    <n v="7650192.9999999991"/>
    <n v="7650192.9999999991"/>
    <n v="9195295.2060268372"/>
    <n v="7764034.6834689463"/>
    <n v="1.1843449418902401"/>
    <s v="2016"/>
    <d v="2015-07-17T00:00:00"/>
    <x v="0"/>
    <m/>
    <n v="8127301.0936820609"/>
    <n v="984885.6"/>
  </r>
  <r>
    <x v="59"/>
    <x v="59"/>
    <x v="0"/>
    <s v="Replacement"/>
    <s v="Closed"/>
    <n v="0"/>
    <n v="0"/>
    <n v="0"/>
    <n v="0"/>
    <n v="0"/>
    <n v="0"/>
    <n v="10681.96"/>
    <n v="297096.37"/>
    <n v="617142.07999999996"/>
    <n v="5327208.32"/>
    <n v="582613.27"/>
    <s v=""/>
    <s v=""/>
    <s v=""/>
    <s v=""/>
    <s v=""/>
    <s v=""/>
    <s v=""/>
    <s v=""/>
    <n v="6834742"/>
    <n v="6834742"/>
    <n v="8217795.5348331146"/>
    <n v="6938684.199315561"/>
    <n v="1.1843449418902401"/>
    <s v="2016"/>
    <d v="2015-06-29T00:00:00"/>
    <x v="0"/>
    <m/>
    <n v="7263333.8181605944"/>
    <n v="582613.27"/>
  </r>
  <r>
    <x v="60"/>
    <x v="60"/>
    <x v="0"/>
    <s v="Augmentation"/>
    <s v="Deferred"/>
    <n v="0"/>
    <n v="0"/>
    <n v="0"/>
    <n v="0"/>
    <n v="0"/>
    <n v="0"/>
    <n v="203825.27"/>
    <n v="133765.42000000001"/>
    <m/>
    <m/>
    <m/>
    <n v="-337590.69"/>
    <s v=""/>
    <s v=""/>
    <s v=""/>
    <s v=""/>
    <s v=""/>
    <s v=""/>
    <s v=""/>
    <n v="0"/>
    <n v="675181.38"/>
    <n v="0"/>
    <s v=""/>
    <s v=""/>
    <s v="2017"/>
    <s v=""/>
    <x v="2"/>
    <m/>
    <n v="0"/>
    <n v="-337590.69"/>
  </r>
  <r>
    <x v="61"/>
    <x v="61"/>
    <x v="0"/>
    <s v="Information Technology"/>
    <s v="Closed"/>
    <n v="0"/>
    <n v="0"/>
    <n v="0"/>
    <n v="0"/>
    <n v="0"/>
    <n v="0"/>
    <n v="0"/>
    <n v="124347.76"/>
    <n v="154643.18"/>
    <n v="482919.11"/>
    <n v="18252.330000000002"/>
    <n v="2.44"/>
    <s v=""/>
    <s v=""/>
    <s v=""/>
    <s v=""/>
    <s v=""/>
    <s v=""/>
    <s v=""/>
    <n v="780164.82"/>
    <n v="780164.82"/>
    <n v="944688.56493769691"/>
    <n v="814601.98885450268"/>
    <n v="1.1596934182128902"/>
    <s v="2017"/>
    <d v="2015-07-30T00:00:00"/>
    <x v="0"/>
    <m/>
    <n v="834967.03857586521"/>
    <n v="2.44"/>
  </r>
  <r>
    <x v="62"/>
    <x v="62"/>
    <x v="0"/>
    <s v="Information Technology"/>
    <s v="Active"/>
    <n v="0"/>
    <n v="0"/>
    <n v="0"/>
    <n v="0"/>
    <n v="0"/>
    <n v="0"/>
    <n v="0"/>
    <n v="0"/>
    <m/>
    <m/>
    <m/>
    <n v="621294.22"/>
    <n v="2122713.3928663353"/>
    <n v="2843209.1966524771"/>
    <s v=""/>
    <s v=""/>
    <s v=""/>
    <s v=""/>
    <s v=""/>
    <n v="5587216.8095188122"/>
    <n v="5587216.8095188122"/>
    <n v="6260537.1460181605"/>
    <n v="5671737.6642279709"/>
    <n v="1.1038128906249998"/>
    <s v="2019"/>
    <d v="2019-04-15T00:00:00"/>
    <x v="10"/>
    <m/>
    <n v="5533402.5992468009"/>
    <n v="2843209.1966524771"/>
  </r>
  <r>
    <x v="63"/>
    <x v="63"/>
    <x v="0"/>
    <s v="Information Technology"/>
    <s v="Closed"/>
    <n v="0"/>
    <n v="0"/>
    <n v="0"/>
    <n v="0"/>
    <n v="0"/>
    <n v="0"/>
    <n v="0"/>
    <n v="0"/>
    <m/>
    <n v="13918.48"/>
    <n v="356943.46"/>
    <n v="69180.3"/>
    <s v=""/>
    <s v=""/>
    <s v=""/>
    <s v=""/>
    <s v=""/>
    <s v=""/>
    <s v=""/>
    <n v="440042.23999999999"/>
    <n v="440042.23999999999"/>
    <n v="519672.48744418973"/>
    <n v="448111.95724902448"/>
    <n v="1.1596934182128902"/>
    <s v="2017"/>
    <d v="2016-09-12T00:00:00"/>
    <x v="8"/>
    <m/>
    <n v="459314.75618025009"/>
    <n v="69180.3"/>
  </r>
  <r>
    <x v="64"/>
    <x v="64"/>
    <x v="0"/>
    <s v="Replacement"/>
    <s v="Active"/>
    <n v="0"/>
    <n v="0"/>
    <n v="0"/>
    <n v="0"/>
    <n v="0"/>
    <n v="0"/>
    <n v="0"/>
    <n v="0"/>
    <m/>
    <n v="111136.3"/>
    <n v="245766.33"/>
    <n v="683150.95"/>
    <n v="276361.96191573777"/>
    <s v=""/>
    <s v=""/>
    <s v=""/>
    <s v=""/>
    <s v=""/>
    <s v=""/>
    <n v="1316415.5419157378"/>
    <n v="1316415.5419157378"/>
    <n v="1529345.0828914088"/>
    <n v="1351718.2087481041"/>
    <n v="1.1314082128906247"/>
    <s v="2018"/>
    <d v="2017-08-01T00:00:00"/>
    <x v="5"/>
    <m/>
    <n v="1351718.2087481041"/>
    <n v="276361.96191573777"/>
  </r>
  <r>
    <x v="65"/>
    <x v="65"/>
    <x v="0"/>
    <s v="Augmentation"/>
    <s v="Active"/>
    <n v="0"/>
    <n v="0"/>
    <n v="0"/>
    <n v="0"/>
    <n v="0"/>
    <n v="0"/>
    <n v="481337.1"/>
    <n v="7208668.1500000004"/>
    <n v="2012389.33"/>
    <n v="-27559.39"/>
    <n v="52963.79"/>
    <s v=""/>
    <s v=""/>
    <s v=""/>
    <s v=""/>
    <s v=""/>
    <s v=""/>
    <s v=""/>
    <s v=""/>
    <n v="9727798.9799999986"/>
    <n v="9782917.7599999998"/>
    <n v="12114892.056372279"/>
    <n v="9964481.1385061368"/>
    <n v="1.2158076158683491"/>
    <s v="2016"/>
    <d v="2014-06-10T00:00:00"/>
    <x v="11"/>
    <m/>
    <n v="10707799.287951119"/>
    <n v="52963.79"/>
  </r>
  <r>
    <x v="66"/>
    <x v="66"/>
    <x v="0"/>
    <s v="Information Technology"/>
    <s v="Active"/>
    <n v="0"/>
    <n v="0"/>
    <n v="0"/>
    <n v="0"/>
    <n v="0"/>
    <n v="0"/>
    <n v="0"/>
    <n v="0"/>
    <m/>
    <n v="43121.87"/>
    <n v="139423.98000000001"/>
    <n v="354887.15"/>
    <n v="53858.864271012528"/>
    <s v=""/>
    <s v=""/>
    <s v=""/>
    <s v=""/>
    <s v=""/>
    <s v=""/>
    <n v="591291.86427101248"/>
    <n v="591291.86427101248"/>
    <n v="689363.37979488936"/>
    <n v="609296.77895270102"/>
    <n v="1.1314082128906247"/>
    <s v="2018"/>
    <d v="2017-06-01T00:00:00"/>
    <x v="5"/>
    <m/>
    <n v="609296.7789527009"/>
    <n v="53858.864271012528"/>
  </r>
  <r>
    <x v="67"/>
    <x v="67"/>
    <x v="0"/>
    <s v="Augmentation"/>
    <s v="Active"/>
    <n v="0"/>
    <n v="0"/>
    <n v="0"/>
    <n v="0"/>
    <n v="0"/>
    <n v="0"/>
    <n v="15705.17"/>
    <n v="3381662.43"/>
    <n v="7363569.1200000001"/>
    <n v="612351.55000000005"/>
    <n v="83757.440000000002"/>
    <n v="271.25"/>
    <s v=""/>
    <s v=""/>
    <s v=""/>
    <s v=""/>
    <s v=""/>
    <s v=""/>
    <s v=""/>
    <n v="11457316.960000001"/>
    <n v="11457316.960000001"/>
    <n v="14038987.28908723"/>
    <n v="12105774.740639281"/>
    <n v="1.1596934182128902"/>
    <s v="2017"/>
    <d v="2014-12-08T00:00:00"/>
    <x v="0"/>
    <m/>
    <n v="12408419.10915526"/>
    <n v="271.25"/>
  </r>
  <r>
    <x v="68"/>
    <x v="68"/>
    <x v="0"/>
    <s v="Replacement"/>
    <s v="Closed"/>
    <n v="0"/>
    <n v="0"/>
    <n v="0"/>
    <n v="0"/>
    <n v="0"/>
    <n v="0"/>
    <n v="0"/>
    <n v="0"/>
    <n v="129826.86"/>
    <n v="70181.259999999995"/>
    <n v="-50000"/>
    <s v=""/>
    <s v=""/>
    <s v=""/>
    <s v=""/>
    <s v=""/>
    <s v=""/>
    <s v=""/>
    <s v=""/>
    <n v="150008.12"/>
    <n v="250008.12"/>
    <n v="182835.63088494874"/>
    <n v="165640.05769258933"/>
    <n v="1.1038128906249998"/>
    <s v="2016"/>
    <d v="2018-09-21T00:00:00"/>
    <x v="10"/>
    <m/>
    <n v="161600.056285453"/>
    <n v="-50000"/>
  </r>
  <r>
    <x v="69"/>
    <x v="69"/>
    <x v="0"/>
    <s v="Replacement"/>
    <s v="Potential"/>
    <n v="0"/>
    <n v="0"/>
    <n v="0"/>
    <n v="0"/>
    <n v="0"/>
    <n v="0"/>
    <n v="0"/>
    <n v="0"/>
    <m/>
    <m/>
    <m/>
    <s v=""/>
    <s v=""/>
    <n v="154628.82428065003"/>
    <n v="248897.83165221772"/>
    <s v=""/>
    <s v=""/>
    <s v=""/>
    <s v=""/>
    <n v="403526.65593286778"/>
    <n v="403526.65593286778"/>
    <n v="438717.03099227097"/>
    <n v="407392.37653988402"/>
    <n v="1.0768906249999999"/>
    <s v="2020"/>
    <d v="2019-11-06T00:00:00"/>
    <x v="12"/>
    <m/>
    <n v="387761.92888983607"/>
    <n v="248897.83165221772"/>
  </r>
  <r>
    <x v="70"/>
    <x v="70"/>
    <x v="0"/>
    <s v="Replacement"/>
    <s v="Active"/>
    <n v="0"/>
    <n v="0"/>
    <n v="0"/>
    <n v="0"/>
    <n v="0"/>
    <n v="0"/>
    <n v="22293.77"/>
    <n v="2206.4499999999998"/>
    <m/>
    <n v="24922.94"/>
    <n v="1557029.81"/>
    <n v="1893126.4"/>
    <n v="76860.298345205185"/>
    <s v=""/>
    <s v=""/>
    <s v=""/>
    <s v=""/>
    <s v=""/>
    <s v=""/>
    <n v="3576439.6683452055"/>
    <n v="3576439.6683452055"/>
    <n v="4187729.6782677928"/>
    <n v="3701342.8314866126"/>
    <n v="1.1314082128906247"/>
    <s v="2018"/>
    <d v="2016-11-01T00:00:00"/>
    <x v="0"/>
    <m/>
    <n v="3701342.8314866126"/>
    <n v="76860.298345205185"/>
  </r>
  <r>
    <x v="71"/>
    <x v="71"/>
    <x v="0"/>
    <s v="Facilities"/>
    <s v="Closed"/>
    <n v="0"/>
    <n v="0"/>
    <n v="0"/>
    <n v="0"/>
    <n v="0"/>
    <n v="0"/>
    <n v="0"/>
    <n v="0"/>
    <m/>
    <n v="15748.67"/>
    <n v="-2762.64"/>
    <s v=""/>
    <s v=""/>
    <s v=""/>
    <s v=""/>
    <s v=""/>
    <s v=""/>
    <s v=""/>
    <s v=""/>
    <n v="12986.03"/>
    <n v="18511.310000000001"/>
    <n v="15624.438952461493"/>
    <n v="13192.473239700379"/>
    <n v="1.1843449418902401"/>
    <s v="2016"/>
    <d v="2016-12-06T00:00:00"/>
    <x v="9"/>
    <m/>
    <n v="13809.727359626244"/>
    <n v="-2762.64"/>
  </r>
  <r>
    <x v="72"/>
    <x v="72"/>
    <x v="0"/>
    <s v="Facilities"/>
    <s v="Closed"/>
    <n v="0"/>
    <n v="0"/>
    <n v="0"/>
    <n v="0"/>
    <n v="0"/>
    <n v="0"/>
    <n v="0"/>
    <n v="0"/>
    <m/>
    <n v="118677.6"/>
    <n v="36888.410000000003"/>
    <n v="6470.75"/>
    <s v=""/>
    <s v=""/>
    <s v=""/>
    <s v=""/>
    <s v=""/>
    <s v=""/>
    <s v=""/>
    <n v="162036.76"/>
    <n v="162036.76"/>
    <n v="193590.38735482158"/>
    <n v="166932.38429614276"/>
    <n v="1.1596934182128902"/>
    <s v="2017"/>
    <d v="2015-04-27T00:00:00"/>
    <x v="0"/>
    <m/>
    <n v="171105.69390354631"/>
    <n v="6470.75"/>
  </r>
  <r>
    <x v="73"/>
    <x v="73"/>
    <x v="0"/>
    <s v="Replacement"/>
    <s v="Active"/>
    <n v="0"/>
    <n v="0"/>
    <n v="0"/>
    <n v="0"/>
    <n v="0"/>
    <n v="0"/>
    <n v="0"/>
    <n v="0"/>
    <m/>
    <n v="329673.95"/>
    <n v="170681.92"/>
    <n v="469435.6"/>
    <n v="685328.39254875574"/>
    <n v="27458.790066266094"/>
    <s v=""/>
    <s v=""/>
    <s v=""/>
    <s v=""/>
    <s v=""/>
    <n v="1682578.6526150219"/>
    <n v="1682578.6526150219"/>
    <n v="1947809.0856187881"/>
    <n v="1721579.4117689391"/>
    <n v="1.1314082128906247"/>
    <s v="2019"/>
    <d v="2017-08-10T00:00:00"/>
    <x v="5"/>
    <m/>
    <n v="1721579.4117689393"/>
    <n v="27458.790066266094"/>
  </r>
  <r>
    <x v="74"/>
    <x v="74"/>
    <x v="0"/>
    <s v="Information Technology"/>
    <s v="Potential"/>
    <n v="0"/>
    <n v="0"/>
    <n v="0"/>
    <n v="0"/>
    <n v="0"/>
    <n v="0"/>
    <n v="0"/>
    <n v="0"/>
    <m/>
    <m/>
    <m/>
    <s v=""/>
    <n v="138643.38968654245"/>
    <n v="609870.57075434446"/>
    <n v="621711.00973826437"/>
    <s v=""/>
    <s v=""/>
    <s v=""/>
    <s v=""/>
    <n v="1370224.9701791513"/>
    <n v="1370224.9701791513"/>
    <n v="1499560.0252122413"/>
    <n v="1392490.5560508911"/>
    <n v="1.0768906249999999"/>
    <s v="2020"/>
    <d v="2020-02-21T00:00:00"/>
    <x v="12"/>
    <m/>
    <n v="1325392.5578116751"/>
    <n v="621711.00973826437"/>
  </r>
  <r>
    <x v="75"/>
    <x v="75"/>
    <x v="0"/>
    <s v="Information Technology"/>
    <s v="Active"/>
    <n v="0"/>
    <n v="0"/>
    <n v="0"/>
    <n v="0"/>
    <n v="0"/>
    <n v="0"/>
    <n v="0"/>
    <n v="0"/>
    <m/>
    <n v="25072.28"/>
    <n v="355103.46"/>
    <n v="95565.09"/>
    <n v="9142.8473203519752"/>
    <s v=""/>
    <s v=""/>
    <s v=""/>
    <s v=""/>
    <s v=""/>
    <s v=""/>
    <n v="484883.67732035194"/>
    <n v="484883.67732035194"/>
    <n v="571818.96330952353"/>
    <n v="505404.64245755156"/>
    <n v="1.1314082128906247"/>
    <s v="2018"/>
    <d v="2017-01-19T00:00:00"/>
    <x v="0"/>
    <m/>
    <n v="505404.64245755161"/>
    <n v="9142.8473203519752"/>
  </r>
  <r>
    <x v="76"/>
    <x v="76"/>
    <x v="0"/>
    <s v="Information Technology"/>
    <s v="Closed"/>
    <n v="0"/>
    <n v="0"/>
    <n v="0"/>
    <n v="0"/>
    <n v="0"/>
    <n v="0"/>
    <n v="0"/>
    <n v="0"/>
    <m/>
    <n v="168079.52"/>
    <n v="507544.2"/>
    <n v="145338.79999999999"/>
    <s v=""/>
    <s v=""/>
    <s v=""/>
    <s v=""/>
    <s v=""/>
    <s v=""/>
    <s v=""/>
    <n v="820962.52"/>
    <n v="820962.52"/>
    <n v="971329.44005311246"/>
    <n v="837574.33197297074"/>
    <n v="1.1596934182128902"/>
    <s v="2017"/>
    <d v="2015-09-04T00:00:00"/>
    <x v="0"/>
    <m/>
    <n v="858513.69027229492"/>
    <n v="145338.79999999999"/>
  </r>
  <r>
    <x v="77"/>
    <x v="77"/>
    <x v="0"/>
    <s v="Replacement"/>
    <s v="Active"/>
    <n v="0"/>
    <n v="0"/>
    <n v="0"/>
    <n v="0"/>
    <n v="0"/>
    <n v="0"/>
    <n v="0"/>
    <n v="0"/>
    <m/>
    <m/>
    <n v="28007.03"/>
    <n v="695453.93"/>
    <n v="2160591.8891126355"/>
    <n v="918055.63259453967"/>
    <s v=""/>
    <s v=""/>
    <s v=""/>
    <s v=""/>
    <s v=""/>
    <n v="3802108.4817071753"/>
    <n v="3802108.4817071753"/>
    <n v="4297556.3792248033"/>
    <n v="3893373.972822011"/>
    <n v="1.1038128906249998"/>
    <s v="2019"/>
    <d v="2018-06-15T00:00:00"/>
    <x v="10"/>
    <m/>
    <n v="3798413.6320214747"/>
    <n v="918055.63259453967"/>
  </r>
  <r>
    <x v="78"/>
    <x v="78"/>
    <x v="0"/>
    <s v="Information Technology"/>
    <s v="Closed"/>
    <n v="0"/>
    <n v="0"/>
    <n v="0"/>
    <n v="0"/>
    <n v="0"/>
    <n v="0"/>
    <n v="0"/>
    <n v="0"/>
    <m/>
    <n v="5520.76"/>
    <n v="41285.660000000003"/>
    <s v=""/>
    <s v=""/>
    <s v=""/>
    <s v=""/>
    <s v=""/>
    <s v=""/>
    <s v=""/>
    <s v=""/>
    <n v="46806.420000000006"/>
    <n v="46806.420000000006"/>
    <n v="55520.657241787419"/>
    <n v="46878.789513108619"/>
    <n v="1.1843449418902401"/>
    <s v="2016"/>
    <d v="2015-09-04T00:00:00"/>
    <x v="9"/>
    <m/>
    <n v="49072.170954052206"/>
    <n v="41285.660000000003"/>
  </r>
  <r>
    <x v="79"/>
    <x v="79"/>
    <x v="0"/>
    <s v="Facilities"/>
    <s v="Closed"/>
    <n v="0"/>
    <n v="0"/>
    <n v="0"/>
    <n v="0"/>
    <n v="0"/>
    <n v="0"/>
    <n v="0"/>
    <n v="0"/>
    <m/>
    <n v="180219.19"/>
    <n v="-15569.69"/>
    <s v=""/>
    <s v=""/>
    <s v=""/>
    <s v=""/>
    <s v=""/>
    <s v=""/>
    <s v=""/>
    <s v=""/>
    <n v="164649.5"/>
    <n v="195788.88"/>
    <n v="197799.72723402004"/>
    <n v="167011.92383895136"/>
    <n v="1.1843449418902401"/>
    <s v="2016"/>
    <d v="2016-05-05T00:00:00"/>
    <x v="9"/>
    <m/>
    <n v="174826.13700378159"/>
    <n v="-15569.69"/>
  </r>
  <r>
    <x v="80"/>
    <x v="80"/>
    <x v="0"/>
    <s v="Inventory/Spares"/>
    <s v="Closed"/>
    <n v="0"/>
    <n v="0"/>
    <n v="0"/>
    <n v="0"/>
    <n v="0"/>
    <n v="0"/>
    <n v="0"/>
    <n v="0"/>
    <m/>
    <n v="1991085.2"/>
    <m/>
    <n v="-16.18"/>
    <s v=""/>
    <s v=""/>
    <s v=""/>
    <s v=""/>
    <s v=""/>
    <s v=""/>
    <s v=""/>
    <n v="1991069.02"/>
    <n v="1991101.38"/>
    <n v="2389024.760226883"/>
    <n v="2060048.5634456873"/>
    <n v="1.1596934182128902"/>
    <s v="2017"/>
    <d v="2014-07-01T00:00:00"/>
    <x v="0"/>
    <m/>
    <n v="2111549.7775318292"/>
    <n v="-16.18"/>
  </r>
  <r>
    <x v="81"/>
    <x v="81"/>
    <x v="0"/>
    <s v="Security/Compliance"/>
    <s v="Active"/>
    <n v="0"/>
    <n v="0"/>
    <n v="0"/>
    <n v="0"/>
    <n v="0"/>
    <n v="0"/>
    <n v="0"/>
    <n v="0"/>
    <n v="73819.259999999995"/>
    <n v="1176181.29"/>
    <n v="5432407.5999999996"/>
    <n v="1522285.4"/>
    <n v="739676.86444602511"/>
    <n v="75834.734526512562"/>
    <s v=""/>
    <s v=""/>
    <s v=""/>
    <s v=""/>
    <s v=""/>
    <n v="9020205.1489725374"/>
    <n v="9020205.1489725374"/>
    <n v="10620827.396077227"/>
    <n v="9387263.8319834806"/>
    <n v="1.1314082128906247"/>
    <s v="2019"/>
    <d v="2017-11-20T00:00:00"/>
    <x v="5"/>
    <m/>
    <n v="9387263.8319834806"/>
    <n v="75834.734526512562"/>
  </r>
  <r>
    <x v="82"/>
    <x v="82"/>
    <x v="0"/>
    <s v="Information Technology"/>
    <s v="Potential"/>
    <n v="0"/>
    <n v="0"/>
    <n v="0"/>
    <n v="0"/>
    <n v="0"/>
    <n v="0"/>
    <n v="0"/>
    <n v="0"/>
    <m/>
    <m/>
    <m/>
    <s v=""/>
    <s v=""/>
    <n v="750812.35504659696"/>
    <n v="969259.88213484548"/>
    <s v=""/>
    <s v=""/>
    <s v=""/>
    <s v=""/>
    <n v="1720072.2371814423"/>
    <n v="1720072.2371814423"/>
    <n v="1872543.2362005678"/>
    <n v="1738842.5460576073"/>
    <n v="1.0768906249999999"/>
    <s v="2020"/>
    <d v="2019-11-18T00:00:00"/>
    <x v="12"/>
    <m/>
    <n v="1655055.3680500726"/>
    <n v="969259.88213484548"/>
  </r>
  <r>
    <x v="83"/>
    <x v="83"/>
    <x v="0"/>
    <s v="Information Technology"/>
    <s v="Active"/>
    <n v="0"/>
    <n v="0"/>
    <n v="0"/>
    <n v="0"/>
    <n v="0"/>
    <n v="0"/>
    <n v="0"/>
    <n v="0"/>
    <n v="58928.5"/>
    <n v="11460.27"/>
    <n v="-37171.56"/>
    <n v="937145.45"/>
    <n v="234222.46668917246"/>
    <s v=""/>
    <s v=""/>
    <s v=""/>
    <s v=""/>
    <s v=""/>
    <s v=""/>
    <n v="1204585.1266891723"/>
    <n v="1278928.2466891725"/>
    <n v="1393175.2376375094"/>
    <n v="1231363.9071773207"/>
    <n v="1.1314082128906247"/>
    <s v="2018"/>
    <d v="2017-08-28T00:00:00"/>
    <x v="5"/>
    <m/>
    <n v="1231363.9071773207"/>
    <n v="234222.46668917246"/>
  </r>
  <r>
    <x v="84"/>
    <x v="84"/>
    <x v="0"/>
    <s v="Augmentation"/>
    <s v="Active"/>
    <n v="0"/>
    <n v="0"/>
    <n v="0"/>
    <n v="0"/>
    <n v="0"/>
    <n v="0"/>
    <n v="0"/>
    <n v="0"/>
    <m/>
    <n v="9013.5"/>
    <n v="404991.72"/>
    <n v="1644815.3600000001"/>
    <n v="1582263.5026745601"/>
    <n v="13063.432189914276"/>
    <s v=""/>
    <s v=""/>
    <s v=""/>
    <s v=""/>
    <s v=""/>
    <n v="3654147.5148644745"/>
    <n v="3654147.5148644745"/>
    <n v="4202551.9777985215"/>
    <n v="3714443.5844790796"/>
    <n v="1.1314082128906247"/>
    <s v="2019"/>
    <d v="2018-04-04T00:00:00"/>
    <x v="5"/>
    <m/>
    <n v="3714443.58447908"/>
    <n v="13063.432189914276"/>
  </r>
  <r>
    <x v="85"/>
    <x v="85"/>
    <x v="0"/>
    <s v="Facilities"/>
    <s v="Closed"/>
    <n v="0"/>
    <n v="0"/>
    <n v="0"/>
    <n v="0"/>
    <n v="0"/>
    <n v="0"/>
    <n v="0"/>
    <n v="0"/>
    <m/>
    <n v="188173.23"/>
    <n v="12484.04"/>
    <n v="-2221.56"/>
    <s v=""/>
    <s v=""/>
    <s v=""/>
    <s v=""/>
    <s v=""/>
    <s v=""/>
    <s v=""/>
    <n v="198435.71000000002"/>
    <n v="202878.83000000002"/>
    <n v="237992.50642523164"/>
    <n v="205220.19241256249"/>
    <n v="1.1596934182128902"/>
    <s v="2017"/>
    <d v="2015-04-20T00:00:00"/>
    <x v="0"/>
    <m/>
    <n v="210350.6972228766"/>
    <n v="-2221.56"/>
  </r>
  <r>
    <x v="86"/>
    <x v="86"/>
    <x v="0"/>
    <s v="Facilities"/>
    <s v="Active"/>
    <n v="0"/>
    <n v="0"/>
    <n v="0"/>
    <n v="0"/>
    <n v="0"/>
    <n v="0"/>
    <n v="0"/>
    <n v="0"/>
    <m/>
    <m/>
    <n v="5363.33"/>
    <n v="19460.88"/>
    <s v=""/>
    <s v=""/>
    <s v=""/>
    <s v=""/>
    <s v=""/>
    <s v=""/>
    <s v=""/>
    <n v="24824.21"/>
    <n v="24824.21"/>
    <n v="28920.687205819053"/>
    <n v="24938.217939001832"/>
    <n v="1.1596934182128902"/>
    <s v="2017"/>
    <d v="2016-07-27T00:00:00"/>
    <x v="8"/>
    <m/>
    <n v="25561.673387476876"/>
    <n v="19460.88"/>
  </r>
  <r>
    <x v="87"/>
    <x v="87"/>
    <x v="0"/>
    <s v="Replacement"/>
    <s v="Active"/>
    <n v="0"/>
    <n v="0"/>
    <n v="0"/>
    <n v="0"/>
    <n v="0"/>
    <n v="0"/>
    <n v="0"/>
    <n v="0"/>
    <m/>
    <n v="185599.88"/>
    <n v="57958.92"/>
    <n v="272461.01"/>
    <n v="1865438.0801815188"/>
    <n v="5884056.5140071791"/>
    <n v="20825.074751219949"/>
    <s v=""/>
    <s v=""/>
    <s v=""/>
    <s v=""/>
    <n v="8286339.4789399179"/>
    <n v="8286339.4789399179"/>
    <n v="9235206.0550847873"/>
    <n v="8366640.8804626651"/>
    <n v="1.1038128906249998"/>
    <s v="2020"/>
    <d v="2018-12-17T00:00:00"/>
    <x v="10"/>
    <m/>
    <n v="8162576.4687440628"/>
    <n v="20825.074751219949"/>
  </r>
  <r>
    <x v="88"/>
    <x v="88"/>
    <x v="0"/>
    <s v="Augmentation"/>
    <s v="Active"/>
    <n v="0"/>
    <n v="0"/>
    <n v="0"/>
    <n v="0"/>
    <n v="0"/>
    <n v="0"/>
    <n v="0"/>
    <n v="0"/>
    <m/>
    <n v="213853.45"/>
    <n v="6982366.7400000002"/>
    <n v="352979.84"/>
    <n v="567791.8865118773"/>
    <n v="5529073.5573824076"/>
    <n v="142386.18572714156"/>
    <s v=""/>
    <s v=""/>
    <s v=""/>
    <s v=""/>
    <n v="13788451.659621427"/>
    <n v="13788451.659621427"/>
    <n v="15834276.898647757"/>
    <n v="14703700.200424494"/>
    <n v="1.0768906249999999"/>
    <s v="2020"/>
    <d v="2019-08-05T00:00:00"/>
    <x v="12"/>
    <m/>
    <n v="13995193.528066149"/>
    <n v="142386.18572714156"/>
  </r>
  <r>
    <x v="89"/>
    <x v="89"/>
    <x v="0"/>
    <s v="Easements/Land"/>
    <s v="Active"/>
    <n v="0"/>
    <n v="0"/>
    <n v="0"/>
    <n v="0"/>
    <n v="0"/>
    <n v="0"/>
    <n v="25275.63"/>
    <n v="1818104.54"/>
    <n v="1336997.8400000001"/>
    <n v="1345162.35"/>
    <n v="467414.19"/>
    <n v="5959798.7699999996"/>
    <n v="1085718.2520014432"/>
    <s v=""/>
    <s v=""/>
    <s v=""/>
    <s v=""/>
    <s v=""/>
    <s v=""/>
    <n v="12038471.572001444"/>
    <n v="12038471.572001444"/>
    <n v="14240709.011161245"/>
    <n v="12586711.718114354"/>
    <n v="1.1314082128906247"/>
    <s v="2018"/>
    <d v="2014-10-31T00:00:00"/>
    <x v="5"/>
    <m/>
    <n v="12586711.718114354"/>
    <n v="1085718.2520014432"/>
  </r>
  <r>
    <x v="90"/>
    <x v="90"/>
    <x v="0"/>
    <s v="Augmentation"/>
    <s v="Active"/>
    <n v="0"/>
    <n v="0"/>
    <n v="0"/>
    <n v="0"/>
    <n v="0"/>
    <n v="0"/>
    <n v="0"/>
    <n v="0"/>
    <n v="5538.17"/>
    <n v="366.94"/>
    <n v="59297.46"/>
    <n v="254711.33"/>
    <n v="624659.66405189515"/>
    <n v="49350.885424282314"/>
    <n v="490174.72165628662"/>
    <n v="11742.40199334331"/>
    <s v=""/>
    <s v=""/>
    <s v=""/>
    <n v="1495841.5731258073"/>
    <n v="1495841.5731258073"/>
    <n v="1674209.9704708154"/>
    <n v="1554670.3923351693"/>
    <n v="1.0768906249999999"/>
    <s v="2021"/>
    <d v="2019-09-18T00:00:00"/>
    <x v="12"/>
    <m/>
    <n v="1479757.6607592332"/>
    <n v="11742.40199334331"/>
  </r>
  <r>
    <x v="91"/>
    <x v="91"/>
    <x v="0"/>
    <s v="Security/Compliance"/>
    <s v="Active"/>
    <n v="0"/>
    <n v="0"/>
    <n v="0"/>
    <n v="0"/>
    <n v="0"/>
    <n v="0"/>
    <n v="0"/>
    <n v="0"/>
    <n v="68794.92"/>
    <n v="-68794.92"/>
    <n v="41663.269999999997"/>
    <n v="90058.53"/>
    <n v="908751.04911305627"/>
    <n v="152394.52407959808"/>
    <s v=""/>
    <s v=""/>
    <s v=""/>
    <s v=""/>
    <s v=""/>
    <n v="1192867.3731926542"/>
    <n v="1330457.2131926543"/>
    <n v="1351263.8308460414"/>
    <n v="1224178.3388495583"/>
    <n v="1.1038128906249998"/>
    <s v="2019"/>
    <d v="2018-10-25T00:00:00"/>
    <x v="10"/>
    <m/>
    <n v="1194320.3305849349"/>
    <n v="152394.52407959808"/>
  </r>
  <r>
    <x v="92"/>
    <x v="92"/>
    <x v="0"/>
    <s v="Facilities"/>
    <s v="Active"/>
    <n v="0"/>
    <n v="0"/>
    <n v="0"/>
    <n v="0"/>
    <n v="0"/>
    <n v="0"/>
    <n v="0"/>
    <n v="0"/>
    <m/>
    <m/>
    <n v="26995.38"/>
    <n v="10361.02"/>
    <s v=""/>
    <s v=""/>
    <s v=""/>
    <s v=""/>
    <s v=""/>
    <s v=""/>
    <s v=""/>
    <n v="37356.400000000001"/>
    <n v="37356.400000000001"/>
    <n v="43987.448457377068"/>
    <n v="37930.238946395482"/>
    <n v="1.1596934182128902"/>
    <s v="2017"/>
    <d v="2016-05-05T00:00:00"/>
    <x v="0"/>
    <m/>
    <n v="38878.494920055367"/>
    <n v="10361.02"/>
  </r>
  <r>
    <x v="93"/>
    <x v="93"/>
    <x v="0"/>
    <s v="Facilities"/>
    <s v="Closed"/>
    <n v="0"/>
    <n v="0"/>
    <n v="0"/>
    <n v="0"/>
    <n v="0"/>
    <n v="0"/>
    <n v="0"/>
    <n v="0"/>
    <m/>
    <m/>
    <n v="76855.67"/>
    <n v="160.63999999999999"/>
    <s v=""/>
    <s v=""/>
    <s v=""/>
    <s v=""/>
    <s v=""/>
    <s v=""/>
    <s v=""/>
    <n v="77016.31"/>
    <n v="77016.31"/>
    <n v="91209.917170787186"/>
    <n v="78650.025720887003"/>
    <n v="1.1596934182128902"/>
    <s v="2017"/>
    <d v="2016-03-22T00:00:00"/>
    <x v="0"/>
    <m/>
    <n v="80616.276363909186"/>
    <n v="160.63999999999999"/>
  </r>
  <r>
    <x v="94"/>
    <x v="94"/>
    <x v="0"/>
    <s v="Facilities"/>
    <s v="Active"/>
    <n v="0"/>
    <n v="0"/>
    <n v="0"/>
    <n v="0"/>
    <n v="0"/>
    <n v="0"/>
    <n v="0"/>
    <n v="0"/>
    <m/>
    <m/>
    <n v="52854.23"/>
    <n v="119018.32"/>
    <s v=""/>
    <s v=""/>
    <s v=""/>
    <s v=""/>
    <s v=""/>
    <s v=""/>
    <s v=""/>
    <n v="171872.55000000002"/>
    <n v="171872.55000000002"/>
    <n v="200622.40230875899"/>
    <n v="172996.06875231038"/>
    <n v="1.1596934182128902"/>
    <s v="2017"/>
    <d v="2016-08-08T00:00:00"/>
    <x v="8"/>
    <m/>
    <n v="177320.97047111811"/>
    <n v="119018.32"/>
  </r>
  <r>
    <x v="95"/>
    <x v="95"/>
    <x v="0"/>
    <s v="Facilities"/>
    <s v="Closed"/>
    <n v="0"/>
    <n v="0"/>
    <n v="0"/>
    <n v="0"/>
    <n v="0"/>
    <n v="0"/>
    <n v="0"/>
    <n v="0"/>
    <m/>
    <m/>
    <n v="152850.15"/>
    <n v="1448.55"/>
    <s v=""/>
    <s v=""/>
    <s v=""/>
    <s v=""/>
    <s v=""/>
    <s v=""/>
    <s v=""/>
    <n v="154298.69999999998"/>
    <n v="154298.69999999998"/>
    <n v="182707.17592061675"/>
    <n v="157547.8251848424"/>
    <n v="1.1596934182128902"/>
    <s v="2017"/>
    <d v="2016-05-05T00:00:00"/>
    <x v="0"/>
    <m/>
    <n v="161486.52081446347"/>
    <n v="1448.55"/>
  </r>
  <r>
    <x v="96"/>
    <x v="96"/>
    <x v="0"/>
    <s v="Security/Compliance"/>
    <s v="Active"/>
    <n v="0"/>
    <n v="0"/>
    <n v="0"/>
    <n v="0"/>
    <n v="0"/>
    <n v="0"/>
    <n v="0"/>
    <n v="0"/>
    <m/>
    <m/>
    <n v="15509.49"/>
    <n v="200798.96"/>
    <n v="293995.91765470675"/>
    <s v=""/>
    <s v=""/>
    <s v=""/>
    <s v=""/>
    <s v=""/>
    <s v=""/>
    <n v="510304.3676547067"/>
    <n v="510304.3676547067"/>
    <n v="583863.21411964169"/>
    <n v="516050.00517711887"/>
    <n v="1.1314082128906247"/>
    <s v="2018"/>
    <d v="2017-08-07T00:00:00"/>
    <x v="5"/>
    <m/>
    <n v="516050.00517711887"/>
    <n v="293995.91765470675"/>
  </r>
  <r>
    <x v="97"/>
    <x v="97"/>
    <x v="0"/>
    <s v="Security/Compliance"/>
    <s v="Active"/>
    <n v="0"/>
    <n v="0"/>
    <n v="0"/>
    <n v="0"/>
    <n v="0"/>
    <n v="0"/>
    <n v="0"/>
    <n v="0"/>
    <m/>
    <n v="34784.730000000003"/>
    <n v="558714.82999999996"/>
    <n v="1619551.99"/>
    <n v="218225.49457651802"/>
    <s v=""/>
    <s v=""/>
    <s v=""/>
    <s v=""/>
    <s v=""/>
    <s v=""/>
    <n v="2431277.0445765178"/>
    <n v="2431277.0445765178"/>
    <n v="2828534.139123512"/>
    <n v="2500012.0265142107"/>
    <n v="1.1314082128906247"/>
    <s v="2018"/>
    <d v="2017-09-18T00:00:00"/>
    <x v="5"/>
    <m/>
    <n v="2500012.0265142103"/>
    <n v="218225.49457651802"/>
  </r>
  <r>
    <x v="98"/>
    <x v="98"/>
    <x v="0"/>
    <s v="Replacement"/>
    <s v="Active"/>
    <n v="0"/>
    <n v="0"/>
    <n v="0"/>
    <n v="0"/>
    <n v="0"/>
    <n v="0"/>
    <n v="0"/>
    <n v="0"/>
    <m/>
    <n v="9136.58"/>
    <n v="71459.929999999993"/>
    <n v="546308.9"/>
    <n v="140315.94102389351"/>
    <s v=""/>
    <s v=""/>
    <s v=""/>
    <s v=""/>
    <s v=""/>
    <s v=""/>
    <n v="767221.35102389357"/>
    <n v="767221.35102389357"/>
    <n v="887901.35917721072"/>
    <n v="784775.42328309559"/>
    <n v="1.1314082128906247"/>
    <s v="2018"/>
    <d v="2017-09-28T00:00:00"/>
    <x v="5"/>
    <m/>
    <n v="784775.42328309559"/>
    <n v="140315.94102389351"/>
  </r>
  <r>
    <x v="99"/>
    <x v="99"/>
    <x v="0"/>
    <s v="Replacement"/>
    <s v="Potential"/>
    <n v="0"/>
    <n v="0"/>
    <n v="0"/>
    <n v="0"/>
    <n v="0"/>
    <n v="0"/>
    <n v="0"/>
    <n v="0"/>
    <m/>
    <m/>
    <m/>
    <s v=""/>
    <s v=""/>
    <n v="1088563.3115560801"/>
    <n v="2062352.7692891557"/>
    <n v="6669.713514951557"/>
    <s v=""/>
    <s v=""/>
    <s v=""/>
    <n v="3157585.7943601874"/>
    <n v="3157585.7943601874"/>
    <n v="3429505.946008964"/>
    <n v="3184637.2012096997"/>
    <n v="1.0768906249999999"/>
    <s v="2021"/>
    <d v="2020-04-13T00:00:00"/>
    <x v="12"/>
    <m/>
    <n v="3031183.534762356"/>
    <n v="6669.713514951557"/>
  </r>
  <r>
    <x v="100"/>
    <x v="100"/>
    <x v="0"/>
    <s v="Replacement"/>
    <s v="Deferred"/>
    <n v="0"/>
    <n v="0"/>
    <n v="0"/>
    <n v="0"/>
    <n v="0"/>
    <n v="0"/>
    <n v="0"/>
    <n v="0"/>
    <m/>
    <n v="74100.3"/>
    <n v="93952.53"/>
    <s v=""/>
    <n v="23651.253822861428"/>
    <n v="99790.503251925649"/>
    <s v=""/>
    <s v=""/>
    <s v=""/>
    <s v=""/>
    <s v=""/>
    <n v="291494.58707478706"/>
    <n v="291494.58707478706"/>
    <n v="337092.20197337249"/>
    <n v="305388.89773474605"/>
    <n v="1.1038128906249998"/>
    <s v="2019"/>
    <d v="2018-10-04T00:00:00"/>
    <x v="10"/>
    <m/>
    <n v="297940.38803389861"/>
    <n v="99790.503251925649"/>
  </r>
  <r>
    <x v="101"/>
    <x v="101"/>
    <x v="0"/>
    <s v="Information Technology"/>
    <s v="Active"/>
    <n v="0"/>
    <n v="0"/>
    <n v="0"/>
    <n v="0"/>
    <n v="0"/>
    <n v="0"/>
    <n v="0"/>
    <n v="0"/>
    <m/>
    <n v="1132106.48"/>
    <n v="1936776"/>
    <n v="692825.16"/>
    <s v=""/>
    <s v=""/>
    <s v=""/>
    <s v=""/>
    <s v=""/>
    <s v=""/>
    <s v=""/>
    <n v="3761707.64"/>
    <n v="3761707.64"/>
    <n v="4455656.3105107229"/>
    <n v="3842098.4723505415"/>
    <n v="1.1596934182128902"/>
    <s v="2017"/>
    <d v="2016-12-12T00:00:00"/>
    <x v="0"/>
    <m/>
    <n v="3938150.9341593049"/>
    <n v="692825.16"/>
  </r>
  <r>
    <x v="102"/>
    <x v="102"/>
    <x v="0"/>
    <s v="Information Technology"/>
    <s v="Active"/>
    <n v="0"/>
    <n v="0"/>
    <n v="0"/>
    <n v="0"/>
    <n v="0"/>
    <n v="0"/>
    <n v="0"/>
    <n v="0"/>
    <n v="2789.9"/>
    <n v="1200719.51"/>
    <n v="975419.31"/>
    <n v="406569.87"/>
    <s v=""/>
    <s v=""/>
    <s v=""/>
    <s v=""/>
    <s v=""/>
    <s v=""/>
    <s v=""/>
    <n v="2585498.59"/>
    <n v="2585498.59"/>
    <n v="3070828.70390129"/>
    <n v="2647965.9672756409"/>
    <n v="1.1596934182128902"/>
    <s v="2017"/>
    <d v="2016-05-02T00:00:00"/>
    <x v="0"/>
    <m/>
    <n v="2714165.1164575317"/>
    <n v="406569.87"/>
  </r>
  <r>
    <x v="103"/>
    <x v="103"/>
    <x v="0"/>
    <s v="Information Technology"/>
    <s v="Active"/>
    <n v="0"/>
    <n v="0"/>
    <n v="0"/>
    <n v="0"/>
    <n v="0"/>
    <n v="0"/>
    <n v="0"/>
    <n v="0"/>
    <m/>
    <n v="105135.8"/>
    <n v="1736547.31"/>
    <n v="354965.81"/>
    <n v="38094.803692329035"/>
    <s v=""/>
    <s v=""/>
    <s v=""/>
    <s v=""/>
    <s v=""/>
    <s v=""/>
    <n v="2234743.7236923291"/>
    <n v="2234743.7236923291"/>
    <n v="2637572.6092190938"/>
    <n v="2331229.8595397174"/>
    <n v="1.1314082128906247"/>
    <s v="2018"/>
    <d v="2016-11-30T00:00:00"/>
    <x v="0"/>
    <m/>
    <n v="2331229.8595397179"/>
    <n v="38094.803692329035"/>
  </r>
  <r>
    <x v="104"/>
    <x v="104"/>
    <x v="0"/>
    <s v="Information Technology"/>
    <s v="Active"/>
    <n v="0"/>
    <n v="0"/>
    <n v="0"/>
    <n v="0"/>
    <n v="0"/>
    <n v="0"/>
    <n v="0"/>
    <n v="0"/>
    <m/>
    <n v="376301.33"/>
    <n v="891785.15"/>
    <n v="475188.83"/>
    <n v="15475.49379569409"/>
    <s v=""/>
    <s v=""/>
    <s v=""/>
    <s v=""/>
    <s v=""/>
    <s v=""/>
    <n v="1758750.8037956941"/>
    <n v="1758750.8037956941"/>
    <n v="2076276.391471745"/>
    <n v="1835125.7908647181"/>
    <n v="1.1314082128906247"/>
    <s v="2018"/>
    <d v="2017-02-01T00:00:00"/>
    <x v="0"/>
    <m/>
    <n v="1835125.7908647184"/>
    <n v="15475.49379569409"/>
  </r>
  <r>
    <x v="105"/>
    <x v="105"/>
    <x v="0"/>
    <s v="Facilities"/>
    <s v="Closed"/>
    <n v="0"/>
    <n v="0"/>
    <n v="0"/>
    <n v="0"/>
    <n v="0"/>
    <n v="0"/>
    <n v="0"/>
    <n v="0"/>
    <m/>
    <m/>
    <n v="276166.64"/>
    <s v=""/>
    <s v=""/>
    <s v=""/>
    <s v=""/>
    <s v=""/>
    <s v=""/>
    <s v=""/>
    <s v=""/>
    <n v="276166.64"/>
    <n v="276166.64"/>
    <n v="327076.56320282287"/>
    <n v="276166.64"/>
    <n v="1.1843449418902401"/>
    <s v="2016"/>
    <d v="2016-02-10T00:00:00"/>
    <x v="0"/>
    <m/>
    <n v="289088.02276340022"/>
    <n v="276166.64"/>
  </r>
  <r>
    <x v="106"/>
    <x v="106"/>
    <x v="0"/>
    <s v="Inventory/Spares"/>
    <s v="Closed"/>
    <n v="0"/>
    <n v="0"/>
    <n v="0"/>
    <n v="0"/>
    <n v="0"/>
    <n v="0"/>
    <n v="0"/>
    <n v="0"/>
    <m/>
    <m/>
    <n v="1433079.98"/>
    <n v="295783.40999999997"/>
    <s v=""/>
    <s v=""/>
    <s v=""/>
    <s v=""/>
    <s v=""/>
    <s v=""/>
    <s v=""/>
    <n v="1728863.39"/>
    <n v="1728863.39"/>
    <n v="2040279.099430731"/>
    <n v="1759326.2731238401"/>
    <n v="1.1596934182128902"/>
    <s v="2017"/>
    <d v="2016-06-10T00:00:00"/>
    <x v="8"/>
    <m/>
    <n v="1803309.4299519362"/>
    <n v="295783.40999999997"/>
  </r>
  <r>
    <x v="107"/>
    <x v="107"/>
    <x v="0"/>
    <s v="Replacement"/>
    <s v="Closed"/>
    <n v="0"/>
    <n v="0"/>
    <n v="0"/>
    <n v="0"/>
    <n v="0"/>
    <n v="0"/>
    <n v="23847.37"/>
    <n v="215992.62"/>
    <n v="3121327.19"/>
    <n v="1677702.37"/>
    <n v="123214.48"/>
    <s v=""/>
    <s v=""/>
    <s v=""/>
    <s v=""/>
    <s v=""/>
    <s v=""/>
    <s v=""/>
    <s v=""/>
    <n v="5162084.03"/>
    <n v="5162084.03"/>
    <n v="6254775.7256719703"/>
    <n v="5212877.5600986667"/>
    <n v="1.1998700628513483"/>
    <s v="2016"/>
    <d v="2015-06-30T00:00:00"/>
    <x v="3"/>
    <m/>
    <n v="5528310.3431710992"/>
    <n v="123214.48"/>
  </r>
  <r>
    <x v="108"/>
    <x v="108"/>
    <x v="0"/>
    <s v="Augmentation"/>
    <s v="Deferred"/>
    <n v="0"/>
    <n v="0"/>
    <n v="0"/>
    <n v="0"/>
    <n v="0"/>
    <n v="0"/>
    <n v="0"/>
    <n v="0"/>
    <m/>
    <n v="189979.94"/>
    <n v="69611.05"/>
    <s v=""/>
    <n v="330201.26116125734"/>
    <n v="441257.48469586228"/>
    <s v=""/>
    <s v=""/>
    <s v=""/>
    <s v=""/>
    <s v=""/>
    <n v="1031049.7358571196"/>
    <n v="1031049.7358571196"/>
    <n v="1171052.8559922089"/>
    <n v="1060916.0899807364"/>
    <n v="1.1038128906249998"/>
    <s v="2019"/>
    <d v="2019-02-26T00:00:00"/>
    <x v="10"/>
    <m/>
    <n v="1035040.0877860843"/>
    <n v="441257.48469586228"/>
  </r>
  <r>
    <x v="109"/>
    <x v="109"/>
    <x v="0"/>
    <s v="Facilities"/>
    <s v="Closed"/>
    <n v="0"/>
    <n v="0"/>
    <n v="0"/>
    <n v="0"/>
    <n v="0"/>
    <n v="0"/>
    <n v="0"/>
    <n v="0"/>
    <m/>
    <m/>
    <n v="83668.19"/>
    <s v=""/>
    <s v=""/>
    <s v=""/>
    <s v=""/>
    <s v=""/>
    <s v=""/>
    <s v=""/>
    <s v=""/>
    <n v="83668.19"/>
    <n v="83668.19"/>
    <n v="99091.997623611576"/>
    <n v="83668.19"/>
    <n v="1.1843449418902401"/>
    <s v="2016"/>
    <d v="2015-07-01T00:00:00"/>
    <x v="0"/>
    <m/>
    <n v="87582.886967421175"/>
    <n v="83668.19"/>
  </r>
  <r>
    <x v="110"/>
    <x v="110"/>
    <x v="0"/>
    <s v="Facilities"/>
    <s v="Active"/>
    <n v="0"/>
    <n v="0"/>
    <n v="0"/>
    <n v="0"/>
    <n v="0"/>
    <n v="0"/>
    <n v="0"/>
    <n v="0"/>
    <m/>
    <m/>
    <m/>
    <n v="258600.87"/>
    <s v=""/>
    <s v=""/>
    <s v=""/>
    <s v=""/>
    <s v=""/>
    <s v=""/>
    <s v=""/>
    <n v="258600.87"/>
    <n v="258600.87"/>
    <n v="299897.72688312724"/>
    <n v="258600.87"/>
    <n v="1.1596934182128902"/>
    <s v="2017"/>
    <d v="2017-05-01T00:00:00"/>
    <x v="0"/>
    <m/>
    <n v="265065.89174999995"/>
    <n v="258600.87"/>
  </r>
  <r>
    <x v="111"/>
    <x v="111"/>
    <x v="0"/>
    <s v="Augmentation"/>
    <s v="Closed"/>
    <n v="0"/>
    <n v="0"/>
    <n v="0"/>
    <n v="0"/>
    <n v="0"/>
    <n v="0"/>
    <n v="0"/>
    <n v="0"/>
    <m/>
    <m/>
    <m/>
    <s v=""/>
    <s v=""/>
    <s v=""/>
    <s v=""/>
    <s v=""/>
    <s v=""/>
    <s v=""/>
    <s v=""/>
    <n v="0"/>
    <n v="0"/>
    <n v="0"/>
    <s v=""/>
    <s v=""/>
    <s v=""/>
    <s v=""/>
    <x v="2"/>
    <m/>
    <n v="0"/>
    <n v="0"/>
  </r>
  <r>
    <x v="112"/>
    <x v="112"/>
    <x v="0"/>
    <s v="Replacement"/>
    <s v="Active"/>
    <n v="0"/>
    <n v="0"/>
    <n v="0"/>
    <n v="0"/>
    <n v="0"/>
    <n v="0"/>
    <n v="0"/>
    <n v="0"/>
    <m/>
    <m/>
    <n v="9229.4500000000007"/>
    <n v="3056298.04"/>
    <n v="4477960.96357245"/>
    <s v=""/>
    <s v=""/>
    <s v=""/>
    <s v=""/>
    <s v=""/>
    <s v=""/>
    <n v="7543488.4535724502"/>
    <n v="7543488.4535724502"/>
    <n v="8621701.3846983705"/>
    <n v="7620327.735354566"/>
    <n v="1.1314082128906247"/>
    <s v="2018"/>
    <d v="2018-01-05T00:00:00"/>
    <x v="5"/>
    <m/>
    <n v="7620327.7353545669"/>
    <n v="4477960.96357245"/>
  </r>
  <r>
    <x v="113"/>
    <x v="113"/>
    <x v="0"/>
    <s v="Security/Compliance"/>
    <s v="Active"/>
    <n v="0"/>
    <n v="0"/>
    <n v="0"/>
    <n v="0"/>
    <n v="0"/>
    <n v="0"/>
    <n v="0"/>
    <n v="0"/>
    <m/>
    <n v="20669.349999999999"/>
    <n v="91992.08"/>
    <n v="1594839.93"/>
    <n v="556567.86996461637"/>
    <n v="81524.245273175344"/>
    <s v=""/>
    <s v=""/>
    <s v=""/>
    <s v=""/>
    <s v=""/>
    <n v="2345593.4752377914"/>
    <n v="2345593.4752377914"/>
    <n v="2702969.2307896786"/>
    <n v="2389030.9439100563"/>
    <n v="1.1314082128906247"/>
    <s v="2019"/>
    <d v="2018-05-30T00:00:00"/>
    <x v="5"/>
    <m/>
    <n v="2389030.9439100563"/>
    <n v="81524.245273175344"/>
  </r>
  <r>
    <x v="114"/>
    <x v="114"/>
    <x v="0"/>
    <s v="Security/Compliance"/>
    <s v="Deferred"/>
    <n v="0"/>
    <n v="0"/>
    <n v="0"/>
    <n v="0"/>
    <n v="0"/>
    <n v="0"/>
    <n v="31134.87"/>
    <n v="53363.040000000001"/>
    <n v="186355.87"/>
    <m/>
    <m/>
    <s v=""/>
    <s v=""/>
    <s v=""/>
    <s v=""/>
    <s v=""/>
    <s v=""/>
    <s v=""/>
    <s v=""/>
    <n v="270853.78000000003"/>
    <n v="270853.78000000003"/>
    <n v="333290.90076138754"/>
    <n v="333290.90076138754"/>
    <n v="1"/>
    <s v="2014"/>
    <d v="2023-03-31T00:00:00"/>
    <x v="13"/>
    <m/>
    <n v="294580.59165919042"/>
    <n v="186355.87"/>
  </r>
  <r>
    <x v="115"/>
    <x v="115"/>
    <x v="0"/>
    <s v="Easements/Land"/>
    <s v="Active"/>
    <n v="0"/>
    <n v="0"/>
    <n v="0"/>
    <n v="0"/>
    <n v="0"/>
    <n v="0"/>
    <n v="0"/>
    <n v="0"/>
    <n v="607039.51"/>
    <n v="92274.96"/>
    <n v="141920.79"/>
    <n v="50298.3"/>
    <n v="209475.97609774463"/>
    <s v=""/>
    <s v=""/>
    <s v=""/>
    <s v=""/>
    <s v=""/>
    <s v=""/>
    <n v="1101009.5360977447"/>
    <n v="1101009.5360977447"/>
    <n v="1312177.8384489296"/>
    <n v="1159774.0086192747"/>
    <n v="1.1314082128906247"/>
    <s v="2018"/>
    <d v="2016-05-11T00:00:00"/>
    <x v="0"/>
    <m/>
    <n v="1159774.0086192745"/>
    <n v="209475.97609774463"/>
  </r>
  <r>
    <x v="116"/>
    <x v="116"/>
    <x v="0"/>
    <s v="Easements/Land"/>
    <s v="Active"/>
    <n v="0"/>
    <n v="0"/>
    <n v="0"/>
    <n v="0"/>
    <n v="0"/>
    <n v="0"/>
    <n v="0"/>
    <n v="0"/>
    <n v="99401.85"/>
    <n v="76064.539999999994"/>
    <n v="3427784.1"/>
    <n v="684952.33"/>
    <n v="903074.65379070153"/>
    <s v=""/>
    <s v=""/>
    <s v=""/>
    <s v=""/>
    <s v=""/>
    <s v=""/>
    <n v="5191277.4737907015"/>
    <n v="5191277.4737907015"/>
    <n v="6087880.6404214911"/>
    <n v="5380799.4064915078"/>
    <n v="1.1314082128906247"/>
    <s v="2018"/>
    <d v="2017-03-24T00:00:00"/>
    <x v="0"/>
    <m/>
    <n v="5380799.4064915087"/>
    <n v="903074.65379070153"/>
  </r>
  <r>
    <x v="117"/>
    <x v="117"/>
    <x v="0"/>
    <s v="Information Technology"/>
    <s v="Active"/>
    <n v="0"/>
    <n v="0"/>
    <n v="0"/>
    <n v="0"/>
    <n v="0"/>
    <n v="0"/>
    <n v="0"/>
    <n v="0"/>
    <m/>
    <m/>
    <m/>
    <n v="700766.42"/>
    <n v="1240086.3949276528"/>
    <s v=""/>
    <s v=""/>
    <s v=""/>
    <s v=""/>
    <s v=""/>
    <s v=""/>
    <n v="1940852.8149276529"/>
    <n v="1940852.8149276529"/>
    <n v="2215718.1368936831"/>
    <n v="1958371.9754276529"/>
    <n v="1.1314082128906247"/>
    <s v="2018"/>
    <d v="2017-07-31T00:00:00"/>
    <x v="5"/>
    <m/>
    <n v="1958371.9754276527"/>
    <n v="1240086.3949276528"/>
  </r>
  <r>
    <x v="118"/>
    <x v="118"/>
    <x v="0"/>
    <s v="Replacement"/>
    <s v="Active"/>
    <n v="0"/>
    <n v="0"/>
    <n v="0"/>
    <n v="0"/>
    <n v="0"/>
    <n v="0"/>
    <n v="0"/>
    <n v="37048.43"/>
    <n v="484827.3"/>
    <n v="138716.12"/>
    <n v="42278.81"/>
    <n v="3202479.63"/>
    <n v="2427371.4162886632"/>
    <n v="486.99958106746044"/>
    <s v=""/>
    <s v=""/>
    <s v=""/>
    <s v=""/>
    <s v=""/>
    <n v="6333208.7058697315"/>
    <n v="6333208.7058697315"/>
    <n v="7313114.2043828852"/>
    <n v="6463727.345321876"/>
    <n v="1.1314082128906247"/>
    <s v="2019"/>
    <d v="2017-11-01T00:00:00"/>
    <x v="5"/>
    <m/>
    <n v="6463727.345321876"/>
    <n v="486.99958106746044"/>
  </r>
  <r>
    <x v="119"/>
    <x v="119"/>
    <x v="0"/>
    <s v="Security/Compliance"/>
    <s v="Active"/>
    <n v="0"/>
    <n v="0"/>
    <n v="0"/>
    <n v="0"/>
    <n v="0"/>
    <n v="0"/>
    <n v="0"/>
    <n v="0"/>
    <n v="490301.42"/>
    <n v="531448.59"/>
    <n v="1053221.75"/>
    <n v="4814778.12"/>
    <n v="1701099.0877150709"/>
    <n v="16979.500982927602"/>
    <s v=""/>
    <s v=""/>
    <s v=""/>
    <s v=""/>
    <s v=""/>
    <n v="8607828.4686979987"/>
    <n v="8607828.4686979987"/>
    <n v="10008205.472656263"/>
    <n v="8845795.3182842731"/>
    <n v="1.1314082128906247"/>
    <s v="2019"/>
    <d v="2017-12-22T00:00:00"/>
    <x v="5"/>
    <m/>
    <n v="8845795.3182842731"/>
    <n v="16979.500982927602"/>
  </r>
  <r>
    <x v="120"/>
    <x v="120"/>
    <x v="0"/>
    <s v="Augmentation"/>
    <s v="Closed"/>
    <n v="0"/>
    <n v="0"/>
    <n v="0"/>
    <n v="0"/>
    <n v="0"/>
    <n v="0"/>
    <n v="0"/>
    <n v="0"/>
    <n v="8221.2099999999991"/>
    <n v="317591.37"/>
    <n v="1332108.6299999999"/>
    <n v="1116.27"/>
    <s v=""/>
    <s v=""/>
    <s v=""/>
    <s v=""/>
    <s v=""/>
    <s v=""/>
    <s v=""/>
    <n v="1659037.48"/>
    <n v="1659037.48"/>
    <n v="1970034.4357733845"/>
    <n v="1698754.5198016604"/>
    <n v="1.1596934182128902"/>
    <s v="2017"/>
    <d v="2015-10-26T00:00:00"/>
    <x v="0"/>
    <m/>
    <n v="1741223.382796702"/>
    <n v="1116.27"/>
  </r>
  <r>
    <x v="121"/>
    <x v="121"/>
    <x v="0"/>
    <s v="Replacement"/>
    <s v="Active"/>
    <n v="0"/>
    <n v="0"/>
    <n v="0"/>
    <n v="0"/>
    <n v="0"/>
    <n v="0"/>
    <n v="0"/>
    <n v="0"/>
    <m/>
    <m/>
    <n v="87606.14"/>
    <n v="272528.40000000002"/>
    <n v="5852842.9992264761"/>
    <n v="3715690.1394587266"/>
    <n v="6441.7412263382594"/>
    <s v=""/>
    <s v=""/>
    <s v=""/>
    <s v=""/>
    <n v="9935109.419911541"/>
    <n v="9935109.419911541"/>
    <n v="11150123.642865913"/>
    <n v="10353998.246447651"/>
    <n v="1.0768906249999999"/>
    <s v="2020"/>
    <d v="2018-08-30T00:00:00"/>
    <x v="0"/>
    <m/>
    <n v="9855084.5891232882"/>
    <n v="6441.7412263382594"/>
  </r>
  <r>
    <x v="122"/>
    <x v="122"/>
    <x v="0"/>
    <s v="Replacement"/>
    <s v="Active"/>
    <n v="0"/>
    <n v="0"/>
    <n v="0"/>
    <n v="0"/>
    <n v="0"/>
    <n v="0"/>
    <n v="0"/>
    <n v="0"/>
    <m/>
    <n v="60003.55"/>
    <n v="414454.11"/>
    <n v="1183162.21"/>
    <n v="7236472.8391319318"/>
    <n v="2416706.9898383943"/>
    <s v=""/>
    <s v=""/>
    <s v=""/>
    <s v=""/>
    <s v=""/>
    <n v="11310799.698970325"/>
    <n v="11310799.698970325"/>
    <n v="12789955.650550107"/>
    <n v="11587068.568576138"/>
    <n v="1.1038128906249998"/>
    <s v="2019"/>
    <d v="2018-01-30T00:00:00"/>
    <x v="10"/>
    <m/>
    <n v="11304457.140074283"/>
    <n v="2416706.9898383943"/>
  </r>
  <r>
    <x v="123"/>
    <x v="123"/>
    <x v="0"/>
    <s v="Replacement"/>
    <s v="Active"/>
    <n v="0"/>
    <n v="0"/>
    <n v="0"/>
    <n v="0"/>
    <n v="0"/>
    <n v="0"/>
    <n v="0"/>
    <n v="0"/>
    <m/>
    <n v="9388.5499999999993"/>
    <n v="231514.37"/>
    <n v="1693220.48"/>
    <n v="377566.32599494705"/>
    <n v="4557.7910400748151"/>
    <s v=""/>
    <s v=""/>
    <s v=""/>
    <s v=""/>
    <s v=""/>
    <n v="2316247.5170350219"/>
    <n v="2316247.5170350219"/>
    <n v="2681287.1500466908"/>
    <n v="2369867.1438810704"/>
    <n v="1.1314082128906247"/>
    <s v="2019"/>
    <d v="2017-09-29T00:00:00"/>
    <x v="5"/>
    <m/>
    <n v="2369867.1438810709"/>
    <n v="4557.7910400748151"/>
  </r>
  <r>
    <x v="124"/>
    <x v="124"/>
    <x v="0"/>
    <s v="Facilities"/>
    <s v="Active"/>
    <n v="0"/>
    <n v="0"/>
    <n v="0"/>
    <n v="0"/>
    <n v="0"/>
    <n v="0"/>
    <n v="0"/>
    <n v="0"/>
    <m/>
    <m/>
    <m/>
    <n v="375366.15"/>
    <n v="32185.354154626679"/>
    <s v=""/>
    <s v=""/>
    <s v=""/>
    <s v=""/>
    <s v=""/>
    <s v=""/>
    <n v="407551.50415462669"/>
    <n v="407551.50415462669"/>
    <n v="471724.42760025052"/>
    <n v="416935.65790462669"/>
    <n v="1.1314082128906247"/>
    <s v="2018"/>
    <d v="2017-06-30T00:00:00"/>
    <x v="0"/>
    <m/>
    <n v="416935.65790462663"/>
    <n v="32185.354154626679"/>
  </r>
  <r>
    <x v="125"/>
    <x v="125"/>
    <x v="0"/>
    <s v="Inventory/Spares"/>
    <s v="Active"/>
    <n v="0"/>
    <n v="0"/>
    <n v="0"/>
    <n v="0"/>
    <n v="0"/>
    <n v="0"/>
    <n v="0"/>
    <n v="0"/>
    <m/>
    <m/>
    <m/>
    <n v="1122835.1100000001"/>
    <n v="817839.14333365555"/>
    <s v=""/>
    <s v=""/>
    <s v=""/>
    <s v=""/>
    <s v=""/>
    <s v=""/>
    <n v="1940674.2533336557"/>
    <n v="1940674.2533336557"/>
    <n v="2227454.4103964772"/>
    <n v="1968745.1310836554"/>
    <n v="1.1314082128906247"/>
    <s v="2018"/>
    <d v="2017-04-10T00:00:00"/>
    <x v="0"/>
    <m/>
    <n v="1968745.1310836556"/>
    <n v="817839.14333365555"/>
  </r>
  <r>
    <x v="126"/>
    <x v="126"/>
    <x v="0"/>
    <s v="Information Technology"/>
    <s v="Active"/>
    <n v="0"/>
    <n v="0"/>
    <n v="0"/>
    <n v="0"/>
    <n v="0"/>
    <n v="0"/>
    <n v="0"/>
    <n v="0"/>
    <m/>
    <m/>
    <m/>
    <n v="422628.44"/>
    <n v="454732.16528080462"/>
    <s v=""/>
    <s v=""/>
    <s v=""/>
    <s v=""/>
    <s v=""/>
    <s v=""/>
    <n v="877360.60528080468"/>
    <n v="877360.60528080468"/>
    <n v="1004607.1266818207"/>
    <n v="887926.31628080457"/>
    <n v="1.1314082128906247"/>
    <s v="2018"/>
    <d v="2018-01-23T00:00:00"/>
    <x v="5"/>
    <m/>
    <n v="887926.31628080457"/>
    <n v="454732.16528080462"/>
  </r>
  <r>
    <x v="127"/>
    <x v="127"/>
    <x v="0"/>
    <s v="Information Technology"/>
    <s v="Active"/>
    <n v="0"/>
    <n v="0"/>
    <n v="0"/>
    <n v="0"/>
    <n v="0"/>
    <n v="0"/>
    <n v="0"/>
    <n v="0"/>
    <m/>
    <n v="8096.17"/>
    <n v="165269.04"/>
    <n v="265960.96999999997"/>
    <n v="85005.139764313091"/>
    <s v=""/>
    <s v=""/>
    <s v=""/>
    <s v=""/>
    <s v=""/>
    <s v=""/>
    <n v="524331.31976431306"/>
    <n v="524331.31976431306"/>
    <n v="610058.60325958615"/>
    <n v="539202.91218405857"/>
    <n v="1.1314082128906247"/>
    <s v="2018"/>
    <d v="2017-06-06T00:00:00"/>
    <x v="5"/>
    <m/>
    <n v="539202.91218405857"/>
    <n v="85005.139764313091"/>
  </r>
  <r>
    <x v="128"/>
    <x v="128"/>
    <x v="0"/>
    <s v="Information Technology"/>
    <s v="Potential"/>
    <n v="0"/>
    <n v="0"/>
    <n v="0"/>
    <n v="0"/>
    <n v="0"/>
    <n v="0"/>
    <n v="0"/>
    <n v="0"/>
    <m/>
    <m/>
    <m/>
    <s v=""/>
    <s v=""/>
    <s v=""/>
    <n v="236182.67448518527"/>
    <n v="489525.51608678279"/>
    <n v="632150.79609808477"/>
    <n v="290233.40841685212"/>
    <s v=""/>
    <n v="1648092.395086905"/>
    <n v="1648092.395086905"/>
    <n v="1706838.6276965877"/>
    <n v="1706838.6276965877"/>
    <n v="1"/>
    <s v="2023"/>
    <d v="2022-11-21T00:00:00"/>
    <x v="13"/>
    <m/>
    <n v="1508596.6393471733"/>
    <n v="290233.40841685212"/>
  </r>
  <r>
    <x v="129"/>
    <x v="129"/>
    <x v="0"/>
    <s v="Replacement"/>
    <s v="Active"/>
    <n v="0"/>
    <n v="0"/>
    <n v="0"/>
    <n v="0"/>
    <n v="0"/>
    <n v="0"/>
    <n v="0"/>
    <n v="3325.07"/>
    <n v="665573.62"/>
    <n v="655963.36"/>
    <n v="2745396.56"/>
    <n v="3849743.01"/>
    <s v=""/>
    <s v=""/>
    <s v=""/>
    <s v=""/>
    <s v=""/>
    <s v=""/>
    <s v=""/>
    <n v="7920001.6199999992"/>
    <n v="7920001.6199999992"/>
    <n v="9316459.5162425004"/>
    <n v="8033553.8427038267"/>
    <n v="1.1596934182128902"/>
    <s v="2017"/>
    <d v="2017-05-08T00:00:00"/>
    <x v="8"/>
    <m/>
    <n v="8234392.688771422"/>
    <n v="3849743.01"/>
  </r>
  <r>
    <x v="130"/>
    <x v="130"/>
    <x v="0"/>
    <s v="Replacement"/>
    <s v="Closed"/>
    <n v="0"/>
    <n v="0"/>
    <n v="0"/>
    <n v="0"/>
    <n v="0"/>
    <n v="0"/>
    <n v="15962.64"/>
    <n v="500401.04"/>
    <n v="4492442.0999999996"/>
    <n v="1076465.56"/>
    <n v="255005.82"/>
    <n v="9399.75"/>
    <s v=""/>
    <s v=""/>
    <s v=""/>
    <s v=""/>
    <s v=""/>
    <s v=""/>
    <s v=""/>
    <n v="6349676.9100000001"/>
    <n v="6349676.9100000001"/>
    <n v="7713171.1417454621"/>
    <n v="6651043.3021441195"/>
    <n v="1.1596934182128902"/>
    <s v="2017"/>
    <d v="2014-10-31T00:00:00"/>
    <x v="0"/>
    <m/>
    <n v="6817319.3846977232"/>
    <n v="9399.75"/>
  </r>
  <r>
    <x v="131"/>
    <x v="131"/>
    <x v="0"/>
    <s v="Augmentation"/>
    <s v="Active"/>
    <n v="0"/>
    <n v="0"/>
    <n v="0"/>
    <n v="0"/>
    <n v="0"/>
    <n v="0"/>
    <n v="0"/>
    <n v="0"/>
    <n v="235792.68"/>
    <n v="351063.65"/>
    <n v="1940704.88"/>
    <n v="736892.78"/>
    <n v="61393.383856208071"/>
    <s v=""/>
    <s v=""/>
    <s v=""/>
    <s v=""/>
    <s v=""/>
    <s v=""/>
    <n v="3325847.3738562083"/>
    <n v="3325847.3738562083"/>
    <n v="3930403.9938366977"/>
    <n v="3473904.4219901357"/>
    <n v="1.1314082128906247"/>
    <s v="2018"/>
    <d v="2016-06-30T00:00:00"/>
    <x v="0"/>
    <m/>
    <n v="3473904.4219901352"/>
    <n v="61393.383856208071"/>
  </r>
  <r>
    <x v="132"/>
    <x v="132"/>
    <x v="0"/>
    <s v="Connection"/>
    <s v="Active"/>
    <n v="0"/>
    <n v="0"/>
    <n v="0"/>
    <n v="0"/>
    <n v="0"/>
    <n v="0"/>
    <n v="68042.98"/>
    <n v="482239.01"/>
    <n v="984921.21"/>
    <n v="618196.63"/>
    <n v="2583838.58"/>
    <n v="3107491.93"/>
    <n v="-31219.954020643367"/>
    <s v=""/>
    <s v=""/>
    <s v=""/>
    <s v=""/>
    <s v=""/>
    <s v=""/>
    <n v="7813510.3859793562"/>
    <n v="7875950.2940206435"/>
    <n v="9258570.5464173816"/>
    <n v="8183227.2745861933"/>
    <n v="1.1314082128906247"/>
    <s v="2018"/>
    <d v="2016-11-01T00:00:00"/>
    <x v="0"/>
    <m/>
    <n v="8183227.2745861923"/>
    <n v="-31219.954020643367"/>
  </r>
  <r>
    <x v="133"/>
    <x v="133"/>
    <x v="0"/>
    <s v="Security/Compliance"/>
    <s v="Potential"/>
    <n v="0"/>
    <n v="0"/>
    <n v="0"/>
    <n v="0"/>
    <n v="0"/>
    <n v="0"/>
    <n v="0"/>
    <n v="0"/>
    <m/>
    <m/>
    <m/>
    <s v=""/>
    <n v="900893.94937145035"/>
    <n v="266430.63869764743"/>
    <s v=""/>
    <s v=""/>
    <s v=""/>
    <s v=""/>
    <s v=""/>
    <n v="1167324.5880690978"/>
    <n v="1167324.5880690978"/>
    <n v="1313368.3867142447"/>
    <n v="1189846.936803384"/>
    <n v="1.1038128906249998"/>
    <s v="2019"/>
    <d v="2018-07-16T00:00:00"/>
    <x v="10"/>
    <m/>
    <n v="1160826.2798081795"/>
    <n v="266430.63869764743"/>
  </r>
  <r>
    <x v="134"/>
    <x v="134"/>
    <x v="0"/>
    <s v="Replacement"/>
    <s v="Active"/>
    <n v="0"/>
    <n v="0"/>
    <n v="0"/>
    <n v="0"/>
    <n v="0"/>
    <n v="0"/>
    <n v="0"/>
    <n v="0"/>
    <n v="553053.62"/>
    <n v="2539573.15"/>
    <n v="301859.86"/>
    <n v="30966.25"/>
    <n v="31367.301860996846"/>
    <s v=""/>
    <s v=""/>
    <s v=""/>
    <s v=""/>
    <s v=""/>
    <s v=""/>
    <n v="3456820.1818609969"/>
    <n v="3456820.1818609969"/>
    <n v="4148471.3758898382"/>
    <n v="3666644.2126055863"/>
    <n v="1.1314082128906247"/>
    <s v="2018"/>
    <d v="2015-07-01T00:00:00"/>
    <x v="0"/>
    <m/>
    <n v="3666644.2126055872"/>
    <n v="31367.301860996846"/>
  </r>
  <r>
    <x v="135"/>
    <x v="135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19094.907780371"/>
    <n v="157553.26402763266"/>
    <n v="144542.36022565127"/>
    <s v=""/>
    <n v="421190.53203365498"/>
    <n v="421190.53203365498"/>
    <n v="431158.54334072699"/>
    <n v="431158.54334072699"/>
    <n v="1"/>
    <s v="2023"/>
    <d v="2023-03-07T00:00:00"/>
    <x v="13"/>
    <m/>
    <n v="381081.32717117539"/>
    <n v="144542.36022565127"/>
  </r>
  <r>
    <x v="136"/>
    <x v="136"/>
    <x v="0"/>
    <s v="Replacement"/>
    <s v="Active"/>
    <n v="0"/>
    <n v="0"/>
    <n v="0"/>
    <n v="0"/>
    <n v="0"/>
    <n v="0"/>
    <n v="0"/>
    <n v="0"/>
    <m/>
    <n v="157936.68"/>
    <n v="735154.39"/>
    <n v="2776255.09"/>
    <n v="1565871.5702327657"/>
    <n v="92477.013894103511"/>
    <n v="10857.232648932426"/>
    <s v=""/>
    <s v=""/>
    <s v=""/>
    <s v=""/>
    <n v="5338551.9767758017"/>
    <n v="5338551.9767758017"/>
    <n v="6165193.9595852606"/>
    <n v="5585361.4430018216"/>
    <n v="1.1038128906249998"/>
    <s v="2020"/>
    <d v="2018-07-31T00:00:00"/>
    <x v="10"/>
    <m/>
    <n v="5449133.1151237292"/>
    <n v="10857.232648932426"/>
  </r>
  <r>
    <x v="137"/>
    <x v="137"/>
    <x v="0"/>
    <s v="Augmentation"/>
    <s v="Active"/>
    <n v="0"/>
    <n v="0"/>
    <n v="0"/>
    <n v="0"/>
    <n v="0"/>
    <n v="0"/>
    <n v="0"/>
    <n v="185716.89"/>
    <n v="254436.19"/>
    <n v="414371.98"/>
    <n v="375632.94"/>
    <n v="353737.62"/>
    <n v="347.79564439485358"/>
    <s v=""/>
    <s v=""/>
    <s v=""/>
    <s v=""/>
    <s v=""/>
    <s v=""/>
    <n v="1584243.4156443949"/>
    <n v="1584243.4156443949"/>
    <n v="1894448.7789901891"/>
    <n v="1674416.6759670933"/>
    <n v="1.1314082128906247"/>
    <s v="2018"/>
    <d v="2017-08-14T00:00:00"/>
    <x v="5"/>
    <m/>
    <n v="1674416.6759670933"/>
    <n v="347.79564439485358"/>
  </r>
  <r>
    <x v="138"/>
    <x v="138"/>
    <x v="0"/>
    <s v="Replacement"/>
    <s v="Active"/>
    <n v="0"/>
    <n v="0"/>
    <n v="0"/>
    <n v="0"/>
    <n v="0"/>
    <n v="0"/>
    <n v="0"/>
    <n v="0"/>
    <m/>
    <m/>
    <n v="21297.82"/>
    <n v="746487.72"/>
    <n v="372704.75173569034"/>
    <n v="20719.420881771577"/>
    <s v=""/>
    <s v=""/>
    <s v=""/>
    <s v=""/>
    <s v=""/>
    <n v="1161209.7126174618"/>
    <n v="1161209.7126174618"/>
    <n v="1335472.4420037412"/>
    <n v="1180363.0438493588"/>
    <n v="1.1314082128906247"/>
    <s v="2019"/>
    <d v="2017-11-01T00:00:00"/>
    <x v="5"/>
    <m/>
    <n v="1180363.043849359"/>
    <n v="20719.420881771577"/>
  </r>
  <r>
    <x v="139"/>
    <x v="139"/>
    <x v="0"/>
    <s v="Replacement"/>
    <s v="Potential"/>
    <n v="0"/>
    <n v="0"/>
    <n v="0"/>
    <n v="0"/>
    <n v="0"/>
    <n v="0"/>
    <n v="0"/>
    <n v="0"/>
    <m/>
    <m/>
    <m/>
    <s v=""/>
    <s v=""/>
    <s v=""/>
    <n v="151157.86134573174"/>
    <n v="418892.23562962445"/>
    <n v="420026.27012256504"/>
    <s v=""/>
    <s v=""/>
    <n v="990076.3670979212"/>
    <n v="990076.3670979212"/>
    <n v="1033406.0657122716"/>
    <n v="1008201.0397192895"/>
    <n v="1.0249999999999999"/>
    <s v="2022"/>
    <d v="2022-02-02T00:00:00"/>
    <x v="14"/>
    <m/>
    <n v="913380.38202147372"/>
    <n v="420026.27012256504"/>
  </r>
  <r>
    <x v="140"/>
    <x v="140"/>
    <x v="0"/>
    <s v="Information Technology"/>
    <s v="Active"/>
    <n v="0"/>
    <n v="0"/>
    <n v="0"/>
    <n v="0"/>
    <n v="0"/>
    <n v="0"/>
    <n v="0"/>
    <n v="0"/>
    <m/>
    <m/>
    <m/>
    <n v="1296648.57"/>
    <n v="1991416.0862713575"/>
    <s v=""/>
    <s v=""/>
    <s v=""/>
    <s v=""/>
    <s v=""/>
    <s v=""/>
    <n v="3288064.6562713576"/>
    <n v="3288064.6562713576"/>
    <n v="3756819.3276540749"/>
    <n v="3320480.8705213577"/>
    <n v="1.1314082128906247"/>
    <s v="2018"/>
    <d v="2017-11-03T00:00:00"/>
    <x v="5"/>
    <m/>
    <n v="3320480.8705213573"/>
    <n v="1991416.0862713575"/>
  </r>
  <r>
    <x v="141"/>
    <x v="141"/>
    <x v="0"/>
    <s v="Information Technology"/>
    <s v="Active"/>
    <n v="0"/>
    <n v="0"/>
    <n v="0"/>
    <n v="0"/>
    <n v="0"/>
    <n v="0"/>
    <n v="0"/>
    <n v="0"/>
    <m/>
    <m/>
    <m/>
    <n v="1359944.46"/>
    <n v="178498.81844568808"/>
    <n v="296275.19754431408"/>
    <s v=""/>
    <s v=""/>
    <s v=""/>
    <s v=""/>
    <s v=""/>
    <n v="1834718.475990002"/>
    <n v="1834718.475990002"/>
    <n v="2106106.0507996893"/>
    <n v="1908028.1347386441"/>
    <n v="1.1038128906249998"/>
    <s v="2019"/>
    <d v="2018-10-23T00:00:00"/>
    <x v="0"/>
    <m/>
    <n v="1861490.863159653"/>
    <n v="296275.19754431408"/>
  </r>
  <r>
    <x v="142"/>
    <x v="142"/>
    <x v="0"/>
    <s v="Information Technology"/>
    <s v="Potential"/>
    <n v="0"/>
    <n v="0"/>
    <n v="0"/>
    <n v="0"/>
    <n v="0"/>
    <n v="0"/>
    <n v="0"/>
    <n v="0"/>
    <m/>
    <m/>
    <m/>
    <n v="12916.74"/>
    <n v="285079.79036622599"/>
    <n v="647392.74707754643"/>
    <n v="15701.252560467563"/>
    <s v=""/>
    <s v=""/>
    <s v=""/>
    <s v=""/>
    <n v="961090.53000423999"/>
    <n v="961090.53000423999"/>
    <n v="1069030.0657167037"/>
    <n v="968488.47734637221"/>
    <n v="1.1038128906249998"/>
    <s v="2020"/>
    <d v="2019-05-15T00:00:00"/>
    <x v="10"/>
    <m/>
    <n v="944866.80716719234"/>
    <n v="15701.252560467563"/>
  </r>
  <r>
    <x v="143"/>
    <x v="143"/>
    <x v="0"/>
    <s v="Replacement"/>
    <s v="Active"/>
    <n v="0"/>
    <n v="0"/>
    <n v="0"/>
    <n v="0"/>
    <n v="0"/>
    <n v="0"/>
    <n v="0"/>
    <n v="0"/>
    <m/>
    <m/>
    <m/>
    <n v="89704.41"/>
    <n v="441249.85214483528"/>
    <n v="739217.57104225911"/>
    <s v=""/>
    <s v=""/>
    <s v=""/>
    <s v=""/>
    <s v=""/>
    <n v="1270171.8331870944"/>
    <n v="1270171.8331870944"/>
    <n v="1419221.204408058"/>
    <n v="1285744.3652469651"/>
    <n v="1.1038128906249998"/>
    <s v="2019"/>
    <d v="2018-11-05T00:00:00"/>
    <x v="10"/>
    <m/>
    <n v="1254384.7465824052"/>
    <n v="739217.57104225911"/>
  </r>
  <r>
    <x v="144"/>
    <x v="144"/>
    <x v="0"/>
    <s v="Facilities"/>
    <s v="Potential"/>
    <n v="0"/>
    <n v="0"/>
    <n v="0"/>
    <n v="0"/>
    <n v="0"/>
    <n v="0"/>
    <n v="0"/>
    <n v="0"/>
    <m/>
    <m/>
    <m/>
    <s v=""/>
    <n v="130160.11255710668"/>
    <s v=""/>
    <s v=""/>
    <s v=""/>
    <s v=""/>
    <s v=""/>
    <s v=""/>
    <n v="130160.11255710668"/>
    <n v="130160.11255710668"/>
    <n v="147264.22033787862"/>
    <n v="130160.11255710668"/>
    <n v="1.1314082128906247"/>
    <s v="2018"/>
    <d v="2018-01-16T00:00:00"/>
    <x v="5"/>
    <m/>
    <n v="130160.11255710668"/>
    <n v="130160.11255710668"/>
  </r>
  <r>
    <x v="145"/>
    <x v="145"/>
    <x v="0"/>
    <s v="Facilities"/>
    <s v="Potential"/>
    <n v="0"/>
    <n v="0"/>
    <n v="0"/>
    <n v="0"/>
    <n v="0"/>
    <n v="0"/>
    <n v="0"/>
    <n v="0"/>
    <m/>
    <m/>
    <m/>
    <s v=""/>
    <n v="236328.56035356494"/>
    <s v=""/>
    <s v=""/>
    <s v=""/>
    <s v=""/>
    <s v=""/>
    <s v=""/>
    <n v="236328.56035356494"/>
    <n v="236328.56035356494"/>
    <n v="267384.07412464102"/>
    <n v="236328.56035356491"/>
    <n v="1.1314082128906247"/>
    <s v="2018"/>
    <d v="2018-03-09T00:00:00"/>
    <x v="5"/>
    <m/>
    <n v="236328.56035356494"/>
    <n v="236328.56035356494"/>
  </r>
  <r>
    <x v="146"/>
    <x v="146"/>
    <x v="0"/>
    <s v="Facilities"/>
    <s v="Potential"/>
    <n v="0"/>
    <n v="0"/>
    <n v="0"/>
    <n v="0"/>
    <n v="0"/>
    <n v="0"/>
    <n v="0"/>
    <n v="0"/>
    <m/>
    <m/>
    <m/>
    <s v=""/>
    <n v="145271.37232450381"/>
    <s v=""/>
    <s v=""/>
    <s v=""/>
    <s v=""/>
    <s v=""/>
    <s v=""/>
    <n v="145271.37232450381"/>
    <n v="145271.37232450381"/>
    <n v="164361.22374583542"/>
    <n v="145271.37232450381"/>
    <n v="1.1314082128906247"/>
    <s v="2018"/>
    <d v="2018-01-16T00:00:00"/>
    <x v="5"/>
    <m/>
    <n v="145271.37232450381"/>
    <n v="145271.37232450381"/>
  </r>
  <r>
    <x v="147"/>
    <x v="147"/>
    <x v="0"/>
    <s v="Replacement"/>
    <s v="Active"/>
    <n v="0"/>
    <n v="0"/>
    <n v="0"/>
    <n v="0"/>
    <n v="0"/>
    <n v="0"/>
    <n v="0"/>
    <n v="0"/>
    <n v="1609920.14"/>
    <n v="9232886.5999999996"/>
    <n v="14013854.380000001"/>
    <s v=""/>
    <n v="6255011.8354966352"/>
    <s v=""/>
    <s v=""/>
    <s v=""/>
    <s v=""/>
    <s v=""/>
    <s v=""/>
    <n v="31111672.955496635"/>
    <n v="31111672.955496635"/>
    <n v="36709826.70594155"/>
    <n v="32446137.731448799"/>
    <n v="1.1314082128906247"/>
    <s v="2018"/>
    <d v="2018-03-15T00:00:00"/>
    <x v="5"/>
    <m/>
    <n v="32446137.731448799"/>
    <n v="6255011.8354966352"/>
  </r>
  <r>
    <x v="148"/>
    <x v="148"/>
    <x v="0"/>
    <s v="Inventory/Spares"/>
    <s v="Potential"/>
    <n v="0"/>
    <n v="0"/>
    <n v="0"/>
    <n v="0"/>
    <n v="0"/>
    <n v="0"/>
    <n v="0"/>
    <n v="0"/>
    <m/>
    <m/>
    <m/>
    <s v=""/>
    <n v="449292.65061235166"/>
    <s v=""/>
    <s v=""/>
    <s v=""/>
    <s v=""/>
    <s v=""/>
    <s v=""/>
    <n v="449292.65061235166"/>
    <n v="449292.65061235166"/>
    <n v="508333.3948942126"/>
    <n v="449292.65061235166"/>
    <n v="1.1314082128906247"/>
    <s v="2018"/>
    <d v="2018-04-20T00:00:00"/>
    <x v="5"/>
    <m/>
    <n v="449292.65061235166"/>
    <n v="449292.65061235166"/>
  </r>
  <r>
    <x v="149"/>
    <x v="149"/>
    <x v="0"/>
    <s v="Replacement"/>
    <s v="Active"/>
    <n v="0"/>
    <n v="0"/>
    <n v="0"/>
    <n v="0"/>
    <n v="0"/>
    <n v="0"/>
    <n v="0"/>
    <n v="0"/>
    <m/>
    <n v="1049455.56"/>
    <n v="1220165.2"/>
    <n v="782146.92"/>
    <n v="68093.788784280026"/>
    <s v=""/>
    <s v=""/>
    <s v=""/>
    <s v=""/>
    <s v=""/>
    <s v=""/>
    <n v="3119861.4687842797"/>
    <n v="3119861.4687842797"/>
    <n v="3688399.2987042484"/>
    <n v="3260007.5345756863"/>
    <n v="1.1314082128906247"/>
    <s v="2018"/>
    <d v="2017-03-31T00:00:00"/>
    <x v="5"/>
    <m/>
    <n v="3260007.5345756859"/>
    <n v="68093.788784280026"/>
  </r>
  <r>
    <x v="150"/>
    <x v="150"/>
    <x v="0"/>
    <s v="Facilities"/>
    <s v="Potential"/>
    <n v="0"/>
    <n v="0"/>
    <n v="0"/>
    <n v="0"/>
    <n v="0"/>
    <n v="0"/>
    <n v="0"/>
    <n v="0"/>
    <m/>
    <m/>
    <m/>
    <s v=""/>
    <n v="220411.61225822277"/>
    <s v=""/>
    <s v=""/>
    <s v=""/>
    <s v=""/>
    <s v=""/>
    <s v=""/>
    <n v="220411.61225822277"/>
    <n v="220411.61225822277"/>
    <n v="249375.50832541712"/>
    <n v="220411.61225822277"/>
    <n v="1.1314082128906247"/>
    <s v="2018"/>
    <d v="2018-01-12T00:00:00"/>
    <x v="5"/>
    <m/>
    <n v="220411.61225822277"/>
    <n v="220411.61225822277"/>
  </r>
  <r>
    <x v="151"/>
    <x v="151"/>
    <x v="0"/>
    <s v="Information Technology"/>
    <s v="Active"/>
    <n v="0"/>
    <n v="0"/>
    <n v="0"/>
    <n v="0"/>
    <n v="0"/>
    <n v="0"/>
    <n v="0"/>
    <n v="0"/>
    <m/>
    <m/>
    <m/>
    <n v="278733.82"/>
    <n v="1276992.3123147134"/>
    <s v=""/>
    <s v=""/>
    <s v=""/>
    <s v=""/>
    <s v=""/>
    <s v=""/>
    <n v="1555726.1323147134"/>
    <n v="1555726.1323147134"/>
    <n v="1768045.3664383928"/>
    <n v="1562694.4778147135"/>
    <n v="1.1314082128906247"/>
    <s v="2018"/>
    <d v="2017-07-12T00:00:00"/>
    <x v="5"/>
    <m/>
    <n v="1562694.4778147135"/>
    <n v="1276992.3123147134"/>
  </r>
  <r>
    <x v="152"/>
    <x v="152"/>
    <x v="0"/>
    <s v="Easements/Land"/>
    <s v="Deferred"/>
    <n v="0"/>
    <n v="0"/>
    <n v="0"/>
    <n v="0"/>
    <n v="0"/>
    <n v="0"/>
    <n v="0"/>
    <n v="3436.96"/>
    <m/>
    <m/>
    <m/>
    <n v="-3436.96"/>
    <s v=""/>
    <s v=""/>
    <s v=""/>
    <s v=""/>
    <s v=""/>
    <s v=""/>
    <n v="666307.44652623439"/>
    <n v="0"/>
    <n v="6873.92"/>
    <n v="0"/>
    <s v=""/>
    <s v=""/>
    <s v="2017"/>
    <s v=""/>
    <x v="2"/>
    <m/>
    <n v="0"/>
    <n v="-3436.96"/>
  </r>
  <r>
    <x v="153"/>
    <x v="153"/>
    <x v="0"/>
    <s v="Information Technology"/>
    <s v="Potential"/>
    <n v="0"/>
    <n v="0"/>
    <n v="0"/>
    <n v="0"/>
    <n v="0"/>
    <n v="0"/>
    <n v="0"/>
    <n v="0"/>
    <m/>
    <m/>
    <m/>
    <s v=""/>
    <s v=""/>
    <n v="215843.59161447175"/>
    <n v="58804.717247154949"/>
    <s v=""/>
    <s v=""/>
    <s v=""/>
    <s v=""/>
    <n v="274648.30886162672"/>
    <n v="274648.30886162672"/>
    <n v="301577.187492089"/>
    <n v="280044.39865198848"/>
    <n v="1.0768906249999999"/>
    <s v="2020"/>
    <d v="2019-06-19T00:00:00"/>
    <x v="12"/>
    <m/>
    <n v="266550.2902101021"/>
    <n v="58804.717247154949"/>
  </r>
  <r>
    <x v="154"/>
    <x v="154"/>
    <x v="0"/>
    <s v="Facilities"/>
    <s v="Potential"/>
    <n v="0"/>
    <n v="0"/>
    <n v="0"/>
    <n v="0"/>
    <n v="0"/>
    <n v="0"/>
    <n v="0"/>
    <n v="0"/>
    <m/>
    <m/>
    <m/>
    <s v=""/>
    <s v=""/>
    <n v="357049.44100164593"/>
    <s v=""/>
    <s v=""/>
    <s v=""/>
    <s v=""/>
    <s v=""/>
    <n v="357049.44100164593"/>
    <n v="357049.44100164593"/>
    <n v="394115.7755680671"/>
    <n v="357049.44100164593"/>
    <n v="1.1038128906249998"/>
    <s v="2019"/>
    <d v="2019-04-16T00:00:00"/>
    <x v="10"/>
    <m/>
    <n v="348340.9180503863"/>
    <n v="357049.44100164593"/>
  </r>
  <r>
    <x v="155"/>
    <x v="155"/>
    <x v="0"/>
    <s v="Facilities"/>
    <s v="Potential"/>
    <n v="0"/>
    <n v="0"/>
    <n v="0"/>
    <n v="0"/>
    <n v="0"/>
    <n v="0"/>
    <n v="0"/>
    <n v="0"/>
    <m/>
    <m/>
    <m/>
    <s v=""/>
    <s v=""/>
    <n v="150149.58517432027"/>
    <s v=""/>
    <s v=""/>
    <s v=""/>
    <s v=""/>
    <s v=""/>
    <n v="150149.58517432027"/>
    <n v="150149.58517432027"/>
    <n v="165737.04763741107"/>
    <n v="150149.58517432027"/>
    <n v="1.1038128906249998"/>
    <s v="2019"/>
    <d v="2019-01-15T00:00:00"/>
    <x v="10"/>
    <m/>
    <n v="146487.40017006858"/>
    <n v="150149.58517432027"/>
  </r>
  <r>
    <x v="156"/>
    <x v="156"/>
    <x v="0"/>
    <s v="Replacement"/>
    <s v="Potential"/>
    <n v="0"/>
    <n v="0"/>
    <n v="0"/>
    <n v="0"/>
    <n v="0"/>
    <n v="0"/>
    <n v="0"/>
    <n v="0"/>
    <m/>
    <m/>
    <m/>
    <s v=""/>
    <s v=""/>
    <n v="93306.239404920881"/>
    <n v="573139.8534985499"/>
    <n v="589475.65992569702"/>
    <n v="610399.65624912083"/>
    <n v="504724.41860783321"/>
    <s v=""/>
    <n v="2371045.8276861217"/>
    <n v="2371045.8276861217"/>
    <n v="2469903.4963499731"/>
    <n v="2469903.4963499731"/>
    <n v="1"/>
    <s v="2023"/>
    <d v="2023-01-31T00:00:00"/>
    <x v="13"/>
    <m/>
    <n v="2183034.7952306611"/>
    <n v="504724.41860783321"/>
  </r>
  <r>
    <x v="157"/>
    <x v="157"/>
    <x v="0"/>
    <s v="Inventory/Spares"/>
    <s v="Potential"/>
    <n v="0"/>
    <n v="0"/>
    <n v="0"/>
    <n v="0"/>
    <n v="0"/>
    <n v="0"/>
    <n v="0"/>
    <n v="0"/>
    <m/>
    <m/>
    <m/>
    <s v=""/>
    <s v=""/>
    <n v="2372450.391277032"/>
    <s v=""/>
    <s v=""/>
    <s v=""/>
    <s v=""/>
    <s v=""/>
    <n v="2372450.391277032"/>
    <n v="2372450.391277032"/>
    <n v="2618741.3242599126"/>
    <n v="2372450.391277032"/>
    <n v="1.1038128906249998"/>
    <s v="2019"/>
    <d v="2019-04-17T00:00:00"/>
    <x v="10"/>
    <m/>
    <n v="2314585.7475873483"/>
    <n v="2372450.391277032"/>
  </r>
  <r>
    <x v="158"/>
    <x v="158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99363.136282640422"/>
    <n v="2027483.6952113262"/>
    <s v=""/>
    <s v=""/>
    <n v="2126846.8314939667"/>
    <n v="2126846.8314939667"/>
    <n v="2182564.1826485582"/>
    <n v="2129330.9099010327"/>
    <n v="1.0249999999999999"/>
    <s v="2022"/>
    <d v="2021-10-06T00:00:00"/>
    <x v="14"/>
    <m/>
    <n v="1929068.7108168898"/>
    <n v="2027483.6952113262"/>
  </r>
  <r>
    <x v="159"/>
    <x v="159"/>
    <x v="0"/>
    <s v="Information Technology"/>
    <s v="Potential"/>
    <n v="0"/>
    <n v="0"/>
    <n v="0"/>
    <n v="0"/>
    <n v="0"/>
    <n v="0"/>
    <n v="0"/>
    <n v="0"/>
    <m/>
    <m/>
    <m/>
    <s v=""/>
    <n v="560106.00720795791"/>
    <n v="632837.40751562454"/>
    <s v=""/>
    <s v=""/>
    <s v=""/>
    <s v=""/>
    <s v=""/>
    <n v="1192943.4147235826"/>
    <n v="1192943.4147235826"/>
    <n v="1332242.6247299113"/>
    <n v="1206946.0649037813"/>
    <n v="1.1038128906249998"/>
    <s v="2019"/>
    <d v="2018-10-26T00:00:00"/>
    <x v="10"/>
    <m/>
    <n v="1177508.3560036891"/>
    <n v="632837.40751562454"/>
  </r>
  <r>
    <x v="160"/>
    <x v="160"/>
    <x v="0"/>
    <s v="Information Technology"/>
    <s v="Potential"/>
    <n v="0"/>
    <n v="0"/>
    <n v="0"/>
    <n v="0"/>
    <n v="0"/>
    <n v="0"/>
    <n v="0"/>
    <n v="0"/>
    <m/>
    <m/>
    <m/>
    <s v=""/>
    <s v=""/>
    <n v="108577.48788365891"/>
    <n v="1285829.4978525043"/>
    <n v="1143444.267130869"/>
    <n v="9033.1220907314309"/>
    <s v=""/>
    <s v=""/>
    <n v="2546884.3749577631"/>
    <n v="2546884.3749577631"/>
    <n v="2715137.0456408504"/>
    <n v="2584306.5276771928"/>
    <n v="1.0506249999999999"/>
    <s v="2022"/>
    <d v="2021-02-19T00:00:00"/>
    <x v="15"/>
    <m/>
    <n v="2399785.5192371029"/>
    <n v="9033.1220907314309"/>
  </r>
  <r>
    <x v="161"/>
    <x v="161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62171.405655802089"/>
    <n v="828293.98939660052"/>
    <n v="434386.18126553128"/>
    <s v=""/>
    <n v="1324851.5763179339"/>
    <n v="1324851.5763179339"/>
    <n v="1348706.3534641739"/>
    <n v="1348706.3534641739"/>
    <n v="1"/>
    <s v="2023"/>
    <d v="2022-09-07T00:00:00"/>
    <x v="13"/>
    <m/>
    <n v="1192059.893235507"/>
    <n v="434386.18126553128"/>
  </r>
  <r>
    <x v="162"/>
    <x v="162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1320966.4428699573"/>
    <n v="1197924.9601684962"/>
    <n v="1175321.9658989827"/>
    <n v="2518891.4030384533"/>
    <n v="2518891.4030384533"/>
    <n v="2551915.5641102022"/>
    <n v="2551915.5641102022"/>
    <n v="1"/>
    <s v="2024"/>
    <d v="2024-04-04T00:00:00"/>
    <x v="16"/>
    <m/>
    <n v="2255521.5129562616"/>
    <n v="1175321.9658989827"/>
  </r>
  <r>
    <x v="163"/>
    <x v="163"/>
    <x v="0"/>
    <s v="Replacement"/>
    <s v="Potential"/>
    <n v="0"/>
    <n v="0"/>
    <n v="0"/>
    <n v="0"/>
    <n v="0"/>
    <n v="0"/>
    <n v="0"/>
    <n v="0"/>
    <m/>
    <m/>
    <m/>
    <s v=""/>
    <s v=""/>
    <s v=""/>
    <n v="811511.68276677339"/>
    <n v="1737017.9181988891"/>
    <n v="852560.15182617365"/>
    <s v=""/>
    <s v=""/>
    <n v="3401089.7527918359"/>
    <n v="3401089.7527918359"/>
    <n v="3572737.9291790482"/>
    <n v="3485597.9796868768"/>
    <n v="1.0249999999999999"/>
    <s v="2022"/>
    <d v="2021-10-20T00:00:00"/>
    <x v="14"/>
    <m/>
    <n v="3157779.7372100488"/>
    <n v="852560.15182617365"/>
  </r>
  <r>
    <x v="164"/>
    <x v="164"/>
    <x v="0"/>
    <s v="Information Technology"/>
    <s v="Active"/>
    <n v="0"/>
    <n v="0"/>
    <n v="0"/>
    <n v="0"/>
    <n v="0"/>
    <n v="0"/>
    <n v="0"/>
    <n v="0"/>
    <m/>
    <m/>
    <m/>
    <n v="43971.57"/>
    <n v="401362.08739687904"/>
    <n v="486430.02784897771"/>
    <s v=""/>
    <s v=""/>
    <s v=""/>
    <s v=""/>
    <s v=""/>
    <n v="931763.68524585676"/>
    <n v="931763.68524585676"/>
    <n v="1042025.6374680202"/>
    <n v="944023.79816202866"/>
    <n v="1.1038128906249998"/>
    <s v="2019"/>
    <d v="2018-08-10T00:00:00"/>
    <x v="10"/>
    <m/>
    <n v="920998.82747515"/>
    <n v="486430.02784897771"/>
  </r>
  <r>
    <x v="165"/>
    <x v="165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406600.63581334951"/>
    <n v="681992.52904025814"/>
    <n v="406600.63581334951"/>
    <n v="406600.63581334951"/>
    <n v="406600.63581334951"/>
    <n v="406600.63581334951"/>
    <n v="1"/>
    <s v="2024"/>
    <d v="2024-03-29T00:00:00"/>
    <x v="16"/>
    <m/>
    <n v="359375.71530838474"/>
    <n v="681992.52904025814"/>
  </r>
  <r>
    <x v="166"/>
    <x v="16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45237.31122988963"/>
    <n v="939166.9888767642"/>
    <n v="1531409.397449899"/>
    <n v="984404.30010665383"/>
    <n v="984404.30010665383"/>
    <n v="985535.23288740101"/>
    <n v="985535.23288740101"/>
    <n v="1"/>
    <s v="2024"/>
    <d v="2024-06-25T00:00:00"/>
    <x v="16"/>
    <m/>
    <n v="871069.54117777338"/>
    <n v="1531409.397449899"/>
  </r>
  <r>
    <x v="167"/>
    <x v="167"/>
    <x v="0"/>
    <s v="Facilities"/>
    <s v="Potential"/>
    <n v="0"/>
    <n v="0"/>
    <n v="0"/>
    <n v="0"/>
    <n v="0"/>
    <n v="0"/>
    <n v="0"/>
    <n v="0"/>
    <m/>
    <m/>
    <m/>
    <s v=""/>
    <s v=""/>
    <n v="663162.72915560566"/>
    <s v=""/>
    <s v=""/>
    <s v=""/>
    <s v=""/>
    <s v=""/>
    <n v="663162.72915560566"/>
    <n v="663162.72915560566"/>
    <n v="732007.56902401289"/>
    <n v="663162.72915560566"/>
    <n v="1.1038128906249998"/>
    <s v="2019"/>
    <d v="2018-12-05T00:00:00"/>
    <x v="10"/>
    <m/>
    <n v="646988.02844449342"/>
    <n v="663162.72915560566"/>
  </r>
  <r>
    <x v="168"/>
    <x v="168"/>
    <x v="0"/>
    <s v="Facilities"/>
    <s v="Potential"/>
    <n v="0"/>
    <n v="0"/>
    <n v="0"/>
    <n v="0"/>
    <n v="0"/>
    <n v="0"/>
    <n v="0"/>
    <n v="0"/>
    <m/>
    <m/>
    <m/>
    <s v=""/>
    <s v=""/>
    <s v=""/>
    <n v="349839.34788059822"/>
    <s v=""/>
    <s v=""/>
    <s v=""/>
    <s v=""/>
    <n v="349839.34788059822"/>
    <n v="349839.34788059822"/>
    <n v="376738.71398872981"/>
    <n v="349839.34788059822"/>
    <n v="1.0768906249999999"/>
    <s v="2020"/>
    <d v="2020-01-02T00:00:00"/>
    <x v="12"/>
    <m/>
    <n v="332982.12766743434"/>
    <n v="349839.34788059822"/>
  </r>
  <r>
    <x v="169"/>
    <x v="169"/>
    <x v="0"/>
    <s v="Facilities"/>
    <s v="Potential"/>
    <n v="0"/>
    <n v="0"/>
    <n v="0"/>
    <n v="0"/>
    <n v="0"/>
    <n v="0"/>
    <n v="0"/>
    <n v="0"/>
    <m/>
    <m/>
    <m/>
    <s v=""/>
    <s v=""/>
    <s v=""/>
    <n v="211534.68878052692"/>
    <s v=""/>
    <s v=""/>
    <s v=""/>
    <s v=""/>
    <n v="211534.68878052692"/>
    <n v="211534.68878052692"/>
    <n v="227799.72321004211"/>
    <n v="211534.68878052692"/>
    <n v="1.0768906249999999"/>
    <s v="2020"/>
    <d v="2020-01-02T00:00:00"/>
    <x v="12"/>
    <m/>
    <n v="201341.76207545691"/>
    <n v="211534.68878052692"/>
  </r>
  <r>
    <x v="170"/>
    <x v="170"/>
    <x v="0"/>
    <s v="Information Technology"/>
    <s v="Potential"/>
    <n v="0"/>
    <n v="0"/>
    <n v="0"/>
    <n v="0"/>
    <n v="0"/>
    <n v="0"/>
    <n v="0"/>
    <n v="0"/>
    <m/>
    <m/>
    <m/>
    <s v=""/>
    <s v=""/>
    <n v="672732.49588960747"/>
    <n v="669868.15528013674"/>
    <n v="214822.6924945041"/>
    <s v=""/>
    <s v=""/>
    <s v=""/>
    <n v="1557423.3436642485"/>
    <n v="1557423.3436642485"/>
    <n v="1689643.6286145402"/>
    <n v="1608227.130150663"/>
    <n v="1.0506249999999999"/>
    <s v="2021"/>
    <d v="2020-08-11T00:00:00"/>
    <x v="15"/>
    <m/>
    <n v="1493398.7656830638"/>
    <n v="214822.6924945041"/>
  </r>
  <r>
    <x v="171"/>
    <x v="171"/>
    <x v="0"/>
    <s v="Information Technology"/>
    <s v="Potential"/>
    <n v="0"/>
    <n v="0"/>
    <n v="0"/>
    <n v="0"/>
    <n v="0"/>
    <n v="0"/>
    <n v="0"/>
    <n v="0"/>
    <m/>
    <m/>
    <m/>
    <s v=""/>
    <s v=""/>
    <n v="1223862.4886946003"/>
    <n v="1227169.4487648802"/>
    <n v="35460.390898914986"/>
    <s v=""/>
    <s v=""/>
    <s v=""/>
    <n v="2486492.3283583955"/>
    <n v="2486492.3283583955"/>
    <n v="2709698.0392229827"/>
    <n v="2516224.00299286"/>
    <n v="1.0768906249999999"/>
    <s v="2021"/>
    <d v="2020-03-20T00:00:00"/>
    <x v="12"/>
    <m/>
    <n v="2394978.2300943341"/>
    <n v="35460.390898914986"/>
  </r>
  <r>
    <x v="172"/>
    <x v="172"/>
    <x v="0"/>
    <s v="Information Technology"/>
    <s v="Potential"/>
    <n v="0"/>
    <n v="0"/>
    <n v="0"/>
    <n v="0"/>
    <n v="0"/>
    <n v="0"/>
    <n v="0"/>
    <n v="0"/>
    <m/>
    <m/>
    <m/>
    <s v=""/>
    <s v=""/>
    <n v="330387.60245958192"/>
    <n v="648667.53426185728"/>
    <n v="483934.40484956728"/>
    <s v=""/>
    <s v=""/>
    <s v=""/>
    <n v="1462989.5415710064"/>
    <n v="1462989.5415710064"/>
    <n v="1571663.6649811114"/>
    <n v="1495932.1023020693"/>
    <n v="1.0506249999999999"/>
    <s v="2021"/>
    <d v="2021-01-11T00:00:00"/>
    <x v="15"/>
    <m/>
    <n v="1389121.6689736429"/>
    <n v="483934.40484956728"/>
  </r>
  <r>
    <x v="173"/>
    <x v="173"/>
    <x v="0"/>
    <s v="Replacement"/>
    <s v="Potential"/>
    <n v="0"/>
    <n v="0"/>
    <n v="0"/>
    <n v="0"/>
    <n v="0"/>
    <n v="0"/>
    <n v="0"/>
    <n v="0"/>
    <m/>
    <m/>
    <m/>
    <s v=""/>
    <s v=""/>
    <n v="582181.12852338585"/>
    <n v="907720.06469720614"/>
    <n v="531507.87907957262"/>
    <s v=""/>
    <s v=""/>
    <s v=""/>
    <n v="2021409.0723001647"/>
    <n v="2021409.0723001647"/>
    <n v="2178549.7275975137"/>
    <n v="2073574.993549091"/>
    <n v="1.0506249999999999"/>
    <s v="2021"/>
    <d v="2020-11-13T00:00:00"/>
    <x v="15"/>
    <m/>
    <n v="1925520.517507608"/>
    <n v="531507.87907957262"/>
  </r>
  <r>
    <x v="174"/>
    <x v="174"/>
    <x v="0"/>
    <s v="Inventory/Spares"/>
    <s v="Potential"/>
    <n v="0"/>
    <n v="0"/>
    <n v="0"/>
    <n v="0"/>
    <n v="0"/>
    <n v="0"/>
    <n v="0"/>
    <n v="0"/>
    <m/>
    <m/>
    <m/>
    <s v=""/>
    <s v=""/>
    <s v=""/>
    <n v="2437265.5401293496"/>
    <s v=""/>
    <s v=""/>
    <s v=""/>
    <s v=""/>
    <n v="2437265.5401293496"/>
    <n v="2437265.5401293496"/>
    <n v="2624668.4108008575"/>
    <n v="2437265.5401293496"/>
    <n v="1.0768906249999999"/>
    <s v="2020"/>
    <d v="2020-04-03T00:00:00"/>
    <x v="12"/>
    <m/>
    <n v="2319824.4284395953"/>
    <n v="2437265.5401293496"/>
  </r>
  <r>
    <x v="175"/>
    <x v="175"/>
    <x v="0"/>
    <s v="Information Technology"/>
    <s v="Active"/>
    <n v="0"/>
    <n v="0"/>
    <n v="0"/>
    <n v="0"/>
    <n v="0"/>
    <n v="0"/>
    <n v="0"/>
    <n v="0"/>
    <m/>
    <m/>
    <n v="27690.75"/>
    <n v="424318.46"/>
    <n v="1699613.8572288426"/>
    <s v=""/>
    <s v=""/>
    <s v=""/>
    <s v=""/>
    <s v=""/>
    <s v=""/>
    <n v="2151623.0672288425"/>
    <n v="2151623.0672288425"/>
    <n v="2447831.8017993029"/>
    <n v="2163526.6333672437"/>
    <n v="1.1314082128906247"/>
    <s v="2018"/>
    <d v="2017-09-05T00:00:00"/>
    <x v="5"/>
    <m/>
    <n v="2163526.6333672437"/>
    <n v="1699613.8572288426"/>
  </r>
  <r>
    <x v="176"/>
    <x v="176"/>
    <x v="0"/>
    <s v="Facilities"/>
    <s v="Potential"/>
    <n v="0"/>
    <n v="0"/>
    <n v="0"/>
    <n v="0"/>
    <n v="0"/>
    <n v="0"/>
    <n v="0"/>
    <n v="0"/>
    <m/>
    <m/>
    <m/>
    <s v=""/>
    <s v=""/>
    <s v=""/>
    <s v=""/>
    <n v="260689.29664036393"/>
    <s v=""/>
    <s v=""/>
    <s v=""/>
    <n v="260689.29664036393"/>
    <n v="260689.29664036393"/>
    <n v="273886.69228278234"/>
    <n v="260689.29664036393"/>
    <n v="1.0506249999999999"/>
    <s v="2021"/>
    <d v="2021-01-01T00:00:00"/>
    <x v="15"/>
    <m/>
    <n v="242075.9272933256"/>
    <n v="260689.29664036393"/>
  </r>
  <r>
    <x v="177"/>
    <x v="177"/>
    <x v="0"/>
    <s v="Facilities"/>
    <s v="Potential"/>
    <n v="0"/>
    <n v="0"/>
    <n v="0"/>
    <n v="0"/>
    <n v="0"/>
    <n v="0"/>
    <n v="0"/>
    <n v="0"/>
    <m/>
    <m/>
    <m/>
    <s v=""/>
    <s v=""/>
    <s v=""/>
    <s v=""/>
    <n v="373933.05995536596"/>
    <s v=""/>
    <s v=""/>
    <s v=""/>
    <n v="373933.05995536596"/>
    <n v="373933.05995536596"/>
    <n v="392863.42111560632"/>
    <n v="373933.05995536596"/>
    <n v="1.0506249999999999"/>
    <s v="2021"/>
    <d v="2021-01-01T00:00:00"/>
    <x v="15"/>
    <m/>
    <n v="347234.01919797197"/>
    <n v="373933.05995536596"/>
  </r>
  <r>
    <x v="178"/>
    <x v="178"/>
    <x v="0"/>
    <s v="Facilities"/>
    <s v="Potential"/>
    <n v="0"/>
    <n v="0"/>
    <n v="0"/>
    <n v="0"/>
    <n v="0"/>
    <n v="0"/>
    <n v="0"/>
    <n v="0"/>
    <m/>
    <m/>
    <m/>
    <s v=""/>
    <s v=""/>
    <s v=""/>
    <s v=""/>
    <n v="175194.47032594509"/>
    <s v=""/>
    <s v=""/>
    <s v=""/>
    <n v="175194.47032594509"/>
    <n v="175194.47032594509"/>
    <n v="184063.69038619605"/>
    <n v="175194.47032594509"/>
    <n v="1.0506249999999999"/>
    <s v="2021"/>
    <d v="2021-01-01T00:00:00"/>
    <x v="15"/>
    <m/>
    <n v="162685.48194107003"/>
    <n v="175194.47032594509"/>
  </r>
  <r>
    <x v="179"/>
    <x v="179"/>
    <x v="0"/>
    <s v="Facilities"/>
    <s v="Potential"/>
    <n v="0"/>
    <n v="0"/>
    <n v="0"/>
    <n v="0"/>
    <n v="0"/>
    <n v="0"/>
    <n v="0"/>
    <n v="0"/>
    <m/>
    <m/>
    <m/>
    <s v=""/>
    <s v=""/>
    <s v=""/>
    <s v=""/>
    <n v="281498.49127722986"/>
    <s v=""/>
    <s v=""/>
    <s v=""/>
    <n v="281498.49127722986"/>
    <n v="281498.49127722986"/>
    <n v="295749.3523981396"/>
    <n v="281498.49127722986"/>
    <n v="1.0506249999999999"/>
    <s v="2021"/>
    <d v="2021-02-02T00:00:00"/>
    <x v="15"/>
    <m/>
    <n v="261399.33317483371"/>
    <n v="281498.49127722986"/>
  </r>
  <r>
    <x v="180"/>
    <x v="180"/>
    <x v="0"/>
    <s v="Replacement"/>
    <s v="Potential"/>
    <n v="0"/>
    <n v="0"/>
    <n v="0"/>
    <n v="0"/>
    <n v="0"/>
    <n v="0"/>
    <n v="0"/>
    <n v="0"/>
    <m/>
    <m/>
    <m/>
    <s v=""/>
    <s v=""/>
    <n v="580481.13990325702"/>
    <n v="1276815.6663858558"/>
    <n v="2087397.5422987444"/>
    <n v="2146135.6195062199"/>
    <n v="1339785.5611441289"/>
    <s v=""/>
    <n v="7430615.5292382054"/>
    <n v="7430615.5292382054"/>
    <n v="7748379.9999895878"/>
    <n v="7748379.9999895878"/>
    <n v="1"/>
    <s v="2023"/>
    <d v="2022-12-14T00:00:00"/>
    <x v="13"/>
    <m/>
    <n v="6848438.8850186272"/>
    <n v="1339785.5611441289"/>
  </r>
  <r>
    <x v="181"/>
    <x v="181"/>
    <x v="0"/>
    <s v="Information Technology"/>
    <s v="Potential"/>
    <n v="0"/>
    <n v="0"/>
    <n v="0"/>
    <n v="0"/>
    <n v="0"/>
    <n v="0"/>
    <n v="0"/>
    <n v="0"/>
    <m/>
    <m/>
    <m/>
    <s v=""/>
    <s v=""/>
    <s v=""/>
    <n v="33195.588426421979"/>
    <n v="851647.4832160318"/>
    <n v="962367.90918130288"/>
    <n v="287084.49549548991"/>
    <s v=""/>
    <n v="2134295.4763192465"/>
    <n v="2134295.4763192465"/>
    <n v="2204021.7574279411"/>
    <n v="2204021.7574279411"/>
    <n v="1"/>
    <s v="2023"/>
    <d v="2022-08-03T00:00:00"/>
    <x v="13"/>
    <m/>
    <n v="1948034.0802873487"/>
    <n v="287084.49549548991"/>
  </r>
  <r>
    <x v="182"/>
    <x v="182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385493.17934439122"/>
    <s v=""/>
    <s v=""/>
    <n v="385493.17934439122"/>
    <n v="385493.17934439122"/>
    <n v="395130.50882800098"/>
    <n v="385493.17934439122"/>
    <n v="1.0249999999999999"/>
    <s v="2022"/>
    <d v="2022-01-03T00:00:00"/>
    <x v="14"/>
    <m/>
    <n v="349237.79439295887"/>
    <n v="385493.17934439122"/>
  </r>
  <r>
    <x v="183"/>
    <x v="183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402301.79597769422"/>
    <s v=""/>
    <s v=""/>
    <n v="402301.79597769422"/>
    <n v="402301.79597769422"/>
    <n v="412359.34087713651"/>
    <n v="402301.79597769422"/>
    <n v="1.0249999999999999"/>
    <s v="2022"/>
    <d v="2022-01-04T00:00:00"/>
    <x v="14"/>
    <m/>
    <n v="364465.57147009159"/>
    <n v="402301.79597769422"/>
  </r>
  <r>
    <x v="184"/>
    <x v="184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271501.19079526555"/>
    <s v=""/>
    <s v=""/>
    <n v="271501.19079526555"/>
    <n v="271501.19079526555"/>
    <n v="278288.72056514717"/>
    <n v="271501.19079526555"/>
    <n v="1.0249999999999999"/>
    <s v="2022"/>
    <d v="2022-01-03T00:00:00"/>
    <x v="14"/>
    <m/>
    <n v="245966.67886487214"/>
    <n v="271501.19079526555"/>
  </r>
  <r>
    <x v="185"/>
    <x v="185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728258.24691007205"/>
    <n v="647434.2755246032"/>
    <n v="29605.363614816139"/>
    <s v=""/>
    <n v="1405297.8860494914"/>
    <n v="1405297.8860494914"/>
    <n v="1458351.8166874289"/>
    <n v="1422782.2601828575"/>
    <n v="1.0249999999999999"/>
    <s v="2023"/>
    <d v="2022-04-06T00:00:00"/>
    <x v="14"/>
    <m/>
    <n v="1288970.5060223127"/>
    <n v="29605.363614816139"/>
  </r>
  <r>
    <x v="186"/>
    <x v="18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332020.05190404836"/>
    <n v="727215.89356122073"/>
    <n v="497072.73367832514"/>
    <s v=""/>
    <n v="1556308.6791435941"/>
    <n v="1556308.6791435941"/>
    <n v="1591297.5916102671"/>
    <n v="1591297.5916102671"/>
    <n v="1"/>
    <s v="2023"/>
    <d v="2023-01-24T00:00:00"/>
    <x v="13"/>
    <m/>
    <n v="1406475.199207433"/>
    <n v="497072.73367832514"/>
  </r>
  <r>
    <x v="187"/>
    <x v="187"/>
    <x v="0"/>
    <s v="Replacement"/>
    <s v="Potential"/>
    <n v="0"/>
    <n v="0"/>
    <n v="0"/>
    <n v="0"/>
    <n v="0"/>
    <n v="0"/>
    <n v="0"/>
    <n v="0"/>
    <m/>
    <m/>
    <m/>
    <s v=""/>
    <s v=""/>
    <s v=""/>
    <n v="184968.54822230432"/>
    <n v="852897.00214945257"/>
    <s v=""/>
    <s v=""/>
    <s v=""/>
    <n v="1037865.5503717569"/>
    <n v="1037865.5503717569"/>
    <n v="1095265.8083837284"/>
    <n v="1042489.7640773144"/>
    <n v="1.0506249999999999"/>
    <s v="2021"/>
    <d v="2021-01-06T00:00:00"/>
    <x v="15"/>
    <m/>
    <n v="968055.38081206218"/>
    <n v="852897.00214945257"/>
  </r>
  <r>
    <x v="188"/>
    <x v="188"/>
    <x v="0"/>
    <s v="Replacement"/>
    <s v="Potential"/>
    <n v="0"/>
    <n v="0"/>
    <n v="0"/>
    <n v="0"/>
    <n v="0"/>
    <n v="0"/>
    <n v="0"/>
    <n v="0"/>
    <m/>
    <m/>
    <m/>
    <s v=""/>
    <n v="21384.626313314075"/>
    <n v="1892668.5134663584"/>
    <n v="2718964.4344128692"/>
    <n v="582595.71295318822"/>
    <s v=""/>
    <s v=""/>
    <s v=""/>
    <n v="5215613.2871457301"/>
    <n v="5215613.2871457301"/>
    <n v="5653463.5747337928"/>
    <n v="5381048.0187829081"/>
    <n v="1.0506249999999999"/>
    <s v="2021"/>
    <d v="2020-07-28T00:00:00"/>
    <x v="15"/>
    <m/>
    <n v="4996838.0203726897"/>
    <n v="582595.71295318822"/>
  </r>
  <r>
    <x v="189"/>
    <x v="189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305674.31767801277"/>
    <n v="139463.89549823449"/>
    <n v="305674.31767801277"/>
    <n v="305674.31767801277"/>
    <n v="305674.31767801277"/>
    <n v="305674.31767801277"/>
    <n v="1"/>
    <s v="2024"/>
    <d v="2023-07-27T00:00:00"/>
    <x v="16"/>
    <m/>
    <n v="270171.5562918252"/>
    <n v="139463.89549823449"/>
  </r>
  <r>
    <x v="190"/>
    <x v="190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66773.5284818848"/>
    <n v="63.202174555902964"/>
    <n v="166773.5284818848"/>
    <n v="166773.5284818848"/>
    <n v="166773.5284818848"/>
    <n v="166773.5284818848"/>
    <n v="1"/>
    <s v="2024"/>
    <d v="2023-05-04T00:00:00"/>
    <x v="13"/>
    <m/>
    <n v="147403.49820848182"/>
    <n v="63.202174555902964"/>
  </r>
  <r>
    <x v="191"/>
    <x v="191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42107.35500023625"/>
    <n v="64802.0611282752"/>
    <n v="142107.35500023625"/>
    <n v="142107.35500023625"/>
    <n v="142107.35500023625"/>
    <n v="142107.35500023625"/>
    <n v="1"/>
    <s v="2024"/>
    <d v="2023-07-27T00:00:00"/>
    <x v="16"/>
    <m/>
    <n v="125602.19501780656"/>
    <n v="64802.0611282752"/>
  </r>
  <r>
    <x v="192"/>
    <x v="192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36257.816418140756"/>
    <n v="915620.77518359816"/>
    <n v="999221.85673584847"/>
    <n v="951878.59160173894"/>
    <n v="951878.59160173894"/>
    <n v="952785.03701219242"/>
    <n v="952785.03701219242"/>
    <n v="1"/>
    <s v="2024"/>
    <d v="2024-08-01T00:00:00"/>
    <x v="17"/>
    <m/>
    <n v="842123.14013341872"/>
    <n v="999221.85673584847"/>
  </r>
  <r>
    <x v="193"/>
    <x v="193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741824.47876768862"/>
    <n v="710038.39324753953"/>
    <n v="741824.47876768862"/>
    <n v="741824.47876768862"/>
    <n v="741824.47876768862"/>
    <n v="741824.47876768862"/>
    <n v="1"/>
    <s v="2024"/>
    <d v="2024-04-04T00:00:00"/>
    <x v="16"/>
    <m/>
    <n v="655664.74621251679"/>
    <n v="710038.39324753953"/>
  </r>
  <r>
    <x v="194"/>
    <x v="194"/>
    <x v="0"/>
    <s v="Information Technology"/>
    <s v="Potential"/>
    <n v="0"/>
    <n v="0"/>
    <n v="0"/>
    <n v="0"/>
    <n v="0"/>
    <n v="0"/>
    <n v="0"/>
    <n v="0"/>
    <m/>
    <m/>
    <m/>
    <s v=""/>
    <s v=""/>
    <s v=""/>
    <n v="26027.984161178229"/>
    <n v="1088169.2665525556"/>
    <n v="1591769.0803410981"/>
    <s v=""/>
    <s v=""/>
    <n v="2705966.3310548319"/>
    <n v="2705966.3310548319"/>
    <n v="2802850.4351522252"/>
    <n v="2734488.2294168053"/>
    <n v="1.0249999999999999"/>
    <s v="2022"/>
    <d v="2022-01-21T00:00:00"/>
    <x v="14"/>
    <m/>
    <n v="2477311.3746374953"/>
    <n v="1591769.0803410981"/>
  </r>
  <r>
    <x v="195"/>
    <x v="195"/>
    <x v="0"/>
    <s v="Information Technology"/>
    <s v="Potential"/>
    <n v="0"/>
    <n v="0"/>
    <n v="0"/>
    <n v="0"/>
    <n v="0"/>
    <n v="0"/>
    <n v="0"/>
    <n v="0"/>
    <m/>
    <m/>
    <m/>
    <s v=""/>
    <s v=""/>
    <s v=""/>
    <n v="80203.936872544611"/>
    <n v="701147.48478648171"/>
    <n v="934696.7273968393"/>
    <n v="856823.33571245219"/>
    <n v="6883.2639258030767"/>
    <n v="2572871.484768318"/>
    <n v="2572871.484768318"/>
    <n v="2637901.4252041448"/>
    <n v="2637901.4252041448"/>
    <n v="1"/>
    <s v="2024"/>
    <d v="2023-03-08T00:00:00"/>
    <x v="13"/>
    <m/>
    <n v="2331520.4849579395"/>
    <n v="6883.2639258030767"/>
  </r>
  <r>
    <x v="196"/>
    <x v="19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247307.58253024923"/>
    <n v="238422.16257249823"/>
    <s v=""/>
    <n v="485729.74510274746"/>
    <n v="485729.74510274746"/>
    <n v="491912.43466600368"/>
    <n v="491912.43466600368"/>
    <n v="1"/>
    <s v="2023"/>
    <d v="2023-04-04T00:00:00"/>
    <x v="13"/>
    <m/>
    <n v="434778.91450798383"/>
    <n v="238422.16257249823"/>
  </r>
  <r>
    <x v="197"/>
    <x v="197"/>
    <x v="0"/>
    <s v="Replacement"/>
    <s v="Potential"/>
    <n v="0"/>
    <n v="0"/>
    <n v="0"/>
    <n v="0"/>
    <n v="0"/>
    <n v="0"/>
    <n v="0"/>
    <n v="0"/>
    <m/>
    <m/>
    <m/>
    <s v=""/>
    <s v=""/>
    <s v=""/>
    <n v="154036.44898832982"/>
    <n v="368302.51259460626"/>
    <n v="277465.74265757692"/>
    <n v="203022.50230320467"/>
    <s v=""/>
    <n v="1002827.2065437178"/>
    <n v="1002827.2065437178"/>
    <n v="1040253.1236457522"/>
    <n v="1040253.1236457522"/>
    <n v="1"/>
    <s v="2023"/>
    <d v="2022-12-27T00:00:00"/>
    <x v="13"/>
    <m/>
    <n v="919432.18353349133"/>
    <n v="203022.50230320467"/>
  </r>
  <r>
    <x v="198"/>
    <x v="198"/>
    <x v="0"/>
    <s v="Augmentation"/>
    <s v="Closed"/>
    <n v="0"/>
    <n v="0"/>
    <n v="0"/>
    <n v="0"/>
    <n v="0"/>
    <n v="0"/>
    <n v="0"/>
    <n v="0"/>
    <n v="227479.92"/>
    <n v="915419.84"/>
    <n v="110131.04"/>
    <n v="-3441.67"/>
    <s v=""/>
    <s v=""/>
    <s v=""/>
    <s v=""/>
    <s v=""/>
    <s v=""/>
    <s v=""/>
    <n v="1249589.1300000001"/>
    <n v="1256472.47"/>
    <n v="1501398.538271745"/>
    <n v="1294651.2541094085"/>
    <n v="1.1596934182128902"/>
    <s v="2017"/>
    <d v="2014-10-31T00:00:00"/>
    <x v="0"/>
    <m/>
    <n v="1327017.5354621436"/>
    <n v="-3441.67"/>
  </r>
  <r>
    <x v="199"/>
    <x v="199"/>
    <x v="0"/>
    <s v="Information Technology"/>
    <s v="Closed"/>
    <n v="0"/>
    <n v="0"/>
    <n v="0"/>
    <n v="0"/>
    <n v="0"/>
    <n v="0"/>
    <n v="0"/>
    <n v="0"/>
    <m/>
    <n v="290805.39"/>
    <n v="29718.66"/>
    <n v="-320524.05"/>
    <s v=""/>
    <s v=""/>
    <s v=""/>
    <s v=""/>
    <s v=""/>
    <s v=""/>
    <s v=""/>
    <n v="0"/>
    <n v="641048.1"/>
    <n v="0"/>
    <s v=""/>
    <s v=""/>
    <s v="2017"/>
    <s v=""/>
    <x v="2"/>
    <m/>
    <n v="0"/>
    <n v="-320524.05"/>
  </r>
  <r>
    <x v="200"/>
    <x v="200"/>
    <x v="0"/>
    <s v="Security/Compliance"/>
    <s v="Deferred"/>
    <n v="0"/>
    <n v="0"/>
    <n v="0"/>
    <n v="0"/>
    <n v="0"/>
    <n v="0"/>
    <n v="0"/>
    <n v="0"/>
    <m/>
    <m/>
    <m/>
    <s v=""/>
    <n v="411632.94950826961"/>
    <n v="47948.658110775716"/>
    <s v=""/>
    <s v=""/>
    <s v=""/>
    <s v=""/>
    <s v=""/>
    <n v="459581.6076190453"/>
    <n v="459581.6076190453"/>
    <n v="518651.24668089324"/>
    <n v="469872.431356752"/>
    <n v="1.1038128906249998"/>
    <s v="2019"/>
    <d v="2018-05-31T00:00:00"/>
    <x v="10"/>
    <m/>
    <n v="458412.12815292884"/>
    <n v="47948.658110775716"/>
  </r>
  <r>
    <x v="201"/>
    <x v="201"/>
    <x v="0"/>
    <s v="Replacement"/>
    <s v="Active"/>
    <n v="0"/>
    <n v="0"/>
    <n v="0"/>
    <n v="0"/>
    <n v="0"/>
    <n v="0"/>
    <n v="0"/>
    <n v="0"/>
    <m/>
    <n v="27587.72"/>
    <n v="206586.78"/>
    <n v="144434.71"/>
    <s v=""/>
    <s v=""/>
    <s v=""/>
    <s v=""/>
    <s v=""/>
    <s v=""/>
    <s v=""/>
    <n v="378609.20999999996"/>
    <n v="378609.20999999996"/>
    <n v="445271.66983320471"/>
    <n v="383956.36539817299"/>
    <n v="1.1596934182128902"/>
    <s v="2017"/>
    <d v="2016-05-30T00:00:00"/>
    <x v="8"/>
    <m/>
    <n v="393555.27453312732"/>
    <n v="144434.71"/>
  </r>
  <r>
    <x v="202"/>
    <x v="202"/>
    <x v="0"/>
    <s v="Information Technology"/>
    <s v="Potential"/>
    <n v="0"/>
    <n v="0"/>
    <n v="0"/>
    <n v="0"/>
    <n v="0"/>
    <n v="0"/>
    <n v="0"/>
    <n v="0"/>
    <m/>
    <m/>
    <m/>
    <s v=""/>
    <s v=""/>
    <n v="147873.10958139694"/>
    <n v="338875.20777552674"/>
    <n v="81522.402144467836"/>
    <s v=""/>
    <s v=""/>
    <s v=""/>
    <n v="568270.71950139152"/>
    <n v="568270.71950139152"/>
    <n v="613805.25258417241"/>
    <n v="584228.67586833786"/>
    <n v="1.0506249999999999"/>
    <s v="2021"/>
    <d v="2020-07-16T00:00:00"/>
    <x v="15"/>
    <m/>
    <n v="542514.40425376338"/>
    <n v="81522.402144467836"/>
  </r>
  <r>
    <x v="203"/>
    <x v="203"/>
    <x v="0"/>
    <s v="Replacement"/>
    <s v="Potential"/>
    <n v="0"/>
    <n v="0"/>
    <n v="0"/>
    <n v="0"/>
    <n v="0"/>
    <n v="0"/>
    <n v="0"/>
    <n v="0"/>
    <m/>
    <m/>
    <m/>
    <s v=""/>
    <s v=""/>
    <n v="110149.57395001086"/>
    <n v="298891.00506204116"/>
    <n v="155384.39539592803"/>
    <s v=""/>
    <s v=""/>
    <s v=""/>
    <n v="564424.9744079801"/>
    <n v="564424.9744079801"/>
    <n v="606708.17128386023"/>
    <n v="577473.57171575038"/>
    <n v="1.0506249999999999"/>
    <s v="2021"/>
    <d v="2020-09-10T00:00:00"/>
    <x v="15"/>
    <m/>
    <n v="536241.61851696903"/>
    <n v="155384.39539592803"/>
  </r>
  <r>
    <x v="204"/>
    <x v="204"/>
    <x v="0"/>
    <s v="Security/Compliance"/>
    <s v="Active"/>
    <n v="0"/>
    <n v="0"/>
    <n v="0"/>
    <n v="0"/>
    <n v="0"/>
    <n v="0"/>
    <n v="0"/>
    <n v="0"/>
    <m/>
    <n v="37898.5"/>
    <n v="285581.27"/>
    <n v="96251.93"/>
    <n v="18734.860002335965"/>
    <s v=""/>
    <s v=""/>
    <s v=""/>
    <s v=""/>
    <s v=""/>
    <s v=""/>
    <n v="438466.56000233599"/>
    <n v="438466.56000233599"/>
    <n v="516519.5123853496"/>
    <n v="456527.98565576837"/>
    <n v="1.1314082128906247"/>
    <s v="2018"/>
    <d v="2016-12-23T00:00:00"/>
    <x v="5"/>
    <m/>
    <n v="456527.98565576837"/>
    <n v="18734.860002335965"/>
  </r>
  <r>
    <x v="205"/>
    <x v="205"/>
    <x v="0"/>
    <s v="Replacement"/>
    <s v="Potential"/>
    <n v="0"/>
    <n v="0"/>
    <n v="0"/>
    <n v="0"/>
    <n v="0"/>
    <n v="0"/>
    <n v="0"/>
    <n v="0"/>
    <m/>
    <m/>
    <m/>
    <s v=""/>
    <s v=""/>
    <s v=""/>
    <s v=""/>
    <s v=""/>
    <n v="238026.3850007868"/>
    <n v="873809.32598723599"/>
    <s v=""/>
    <n v="1111835.7109880229"/>
    <n v="1111835.7109880229"/>
    <n v="1117786.3706130425"/>
    <n v="1117786.3706130425"/>
    <n v="1"/>
    <s v="2023"/>
    <d v="2023-01-13T00:00:00"/>
    <x v="13"/>
    <m/>
    <n v="987960.2762978184"/>
    <n v="873809.32598723599"/>
  </r>
  <r>
    <x v="206"/>
    <x v="206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82503.63585213921"/>
    <n v="700333.9932829031"/>
    <n v="945611.83749007119"/>
    <s v=""/>
    <n v="1828449.4666251135"/>
    <n v="1828449.4666251135"/>
    <n v="1855197.0630222005"/>
    <n v="1855197.0630222005"/>
    <n v="1"/>
    <s v="2023"/>
    <d v="2022-12-28T00:00:00"/>
    <x v="13"/>
    <m/>
    <n v="1639723.8785127555"/>
    <n v="945611.83749007119"/>
  </r>
  <r>
    <x v="207"/>
    <x v="207"/>
    <x v="0"/>
    <s v="Information Technology"/>
    <s v="Active"/>
    <n v="0"/>
    <n v="0"/>
    <n v="0"/>
    <n v="0"/>
    <n v="0"/>
    <n v="0"/>
    <n v="0"/>
    <n v="0"/>
    <m/>
    <m/>
    <m/>
    <n v="1394.38"/>
    <n v="264963.67977159249"/>
    <s v=""/>
    <s v=""/>
    <s v=""/>
    <s v=""/>
    <s v=""/>
    <s v=""/>
    <n v="266358.0597715925"/>
    <n v="266358.0597715925"/>
    <n v="301399.13671978889"/>
    <n v="266392.91927159246"/>
    <n v="1.1314082128906247"/>
    <s v="2018"/>
    <d v="2017-09-04T00:00:00"/>
    <x v="5"/>
    <m/>
    <n v="266392.91927159252"/>
    <n v="264963.67977159249"/>
  </r>
  <r>
    <x v="208"/>
    <x v="208"/>
    <x v="0"/>
    <s v="Information Technology"/>
    <s v="Active"/>
    <n v="0"/>
    <n v="0"/>
    <n v="0"/>
    <n v="0"/>
    <n v="0"/>
    <n v="0"/>
    <n v="0"/>
    <n v="0"/>
    <m/>
    <m/>
    <n v="49993.08"/>
    <n v="1585770.66"/>
    <n v="265313.10637812142"/>
    <s v=""/>
    <s v=""/>
    <s v=""/>
    <s v=""/>
    <s v=""/>
    <s v=""/>
    <n v="1901076.8463781215"/>
    <n v="1901076.8463781215"/>
    <n v="2198394.2761683553"/>
    <n v="1943060.2068476218"/>
    <n v="1.1314082128906247"/>
    <s v="2018"/>
    <d v="2017-07-07T00:00:00"/>
    <x v="5"/>
    <m/>
    <n v="1943060.2068476221"/>
    <n v="265313.10637812142"/>
  </r>
  <r>
    <x v="209"/>
    <x v="209"/>
    <x v="0"/>
    <s v="Replacement"/>
    <s v="Potential"/>
    <n v="0"/>
    <n v="0"/>
    <n v="0"/>
    <n v="0"/>
    <n v="0"/>
    <n v="0"/>
    <n v="0"/>
    <n v="0"/>
    <m/>
    <m/>
    <m/>
    <s v=""/>
    <s v=""/>
    <n v="223799.90701975179"/>
    <n v="783877.5528537177"/>
    <s v=""/>
    <s v=""/>
    <s v=""/>
    <s v=""/>
    <n v="1007677.4598734695"/>
    <n v="1007677.4598734695"/>
    <n v="1091183.610105189"/>
    <n v="1013272.4575489634"/>
    <n v="1.0768906249999999"/>
    <s v="2020"/>
    <d v="2019-10-16T00:00:00"/>
    <x v="12"/>
    <m/>
    <n v="964447.31236070278"/>
    <n v="783877.5528537177"/>
  </r>
  <r>
    <x v="210"/>
    <x v="210"/>
    <x v="0"/>
    <s v="Information Technology"/>
    <s v="Active"/>
    <n v="0"/>
    <n v="0"/>
    <n v="0"/>
    <n v="0"/>
    <n v="0"/>
    <n v="0"/>
    <n v="0"/>
    <n v="0"/>
    <m/>
    <m/>
    <m/>
    <n v="72576.850000000006"/>
    <n v="597798.9620986951"/>
    <s v=""/>
    <s v=""/>
    <s v=""/>
    <s v=""/>
    <s v=""/>
    <s v=""/>
    <n v="670375.81209869508"/>
    <n v="670375.81209869508"/>
    <n v="760521.55063557916"/>
    <n v="672190.23334869521"/>
    <n v="1.1314082128906247"/>
    <s v="2018"/>
    <d v="2017-06-23T00:00:00"/>
    <x v="5"/>
    <m/>
    <n v="672190.2333486951"/>
    <n v="597798.9620986951"/>
  </r>
  <r>
    <x v="211"/>
    <x v="211"/>
    <x v="0"/>
    <s v="Information Technology"/>
    <s v="Potential"/>
    <n v="0"/>
    <n v="0"/>
    <n v="0"/>
    <n v="0"/>
    <n v="0"/>
    <n v="0"/>
    <n v="0"/>
    <n v="0"/>
    <m/>
    <m/>
    <m/>
    <s v=""/>
    <s v=""/>
    <n v="306448.4348099762"/>
    <n v="246961.62232855978"/>
    <s v=""/>
    <s v=""/>
    <s v=""/>
    <s v=""/>
    <n v="553410.05713853601"/>
    <n v="553410.05713853601"/>
    <n v="604212.38847552333"/>
    <n v="561071.26800878544"/>
    <n v="1.0768906249999999"/>
    <s v="2020"/>
    <d v="2019-07-25T00:00:00"/>
    <x v="12"/>
    <m/>
    <n v="534035.71018087841"/>
    <n v="246961.62232855978"/>
  </r>
  <r>
    <x v="212"/>
    <x v="212"/>
    <x v="0"/>
    <s v="Information Technology"/>
    <s v="Closed"/>
    <n v="0"/>
    <n v="0"/>
    <n v="0"/>
    <n v="0"/>
    <n v="0"/>
    <n v="0"/>
    <n v="0"/>
    <n v="0"/>
    <m/>
    <m/>
    <n v="371613.36"/>
    <n v="-0.01"/>
    <s v=""/>
    <s v=""/>
    <s v=""/>
    <s v=""/>
    <s v=""/>
    <s v=""/>
    <s v=""/>
    <n v="371613.35"/>
    <n v="371613.37"/>
    <n v="440118.39165790268"/>
    <n v="379512.70977818739"/>
    <n v="1.1596934182128902"/>
    <s v="2017"/>
    <d v="2016-04-15T00:00:00"/>
    <x v="0"/>
    <m/>
    <n v="389000.52752264205"/>
    <n v="-0.01"/>
  </r>
  <r>
    <x v="213"/>
    <x v="213"/>
    <x v="0"/>
    <s v="Information Technology"/>
    <s v="Deferred"/>
    <n v="0"/>
    <n v="0"/>
    <n v="0"/>
    <n v="0"/>
    <n v="0"/>
    <n v="0"/>
    <n v="0"/>
    <n v="0"/>
    <m/>
    <m/>
    <m/>
    <n v="20214.560000000001"/>
    <n v="230066.87997945218"/>
    <n v="468888.91909362108"/>
    <s v=""/>
    <s v=""/>
    <s v=""/>
    <s v=""/>
    <s v=""/>
    <n v="719170.35907307325"/>
    <n v="719170.35907307325"/>
    <n v="801307.88287370489"/>
    <n v="725945.39317255956"/>
    <n v="1.1038128906249998"/>
    <s v="2019"/>
    <d v="2018-12-13T00:00:00"/>
    <x v="10"/>
    <m/>
    <n v="708239.40797322895"/>
    <n v="468888.91909362108"/>
  </r>
  <r>
    <x v="214"/>
    <x v="214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n v="2481290.357593514"/>
    <s v=""/>
    <s v=""/>
    <s v=""/>
    <n v="2481290.357593514"/>
    <n v="2481290.357593514"/>
    <n v="2606905.6819466855"/>
    <n v="2481290.357593514"/>
    <n v="1.0506249999999999"/>
    <s v="2021"/>
    <d v="2021-04-06T00:00:00"/>
    <x v="15"/>
    <m/>
    <n v="2304124.7643821901"/>
    <n v="2481290.357593514"/>
  </r>
  <r>
    <x v="215"/>
    <x v="215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s v=""/>
    <n v="2546728.7216132446"/>
    <s v=""/>
    <s v=""/>
    <n v="2546728.7216132446"/>
    <n v="2546728.7216132446"/>
    <n v="2610396.9396535754"/>
    <n v="2546728.7216132446"/>
    <n v="1.0249999999999999"/>
    <s v="2022"/>
    <d v="2022-04-01T00:00:00"/>
    <x v="14"/>
    <m/>
    <n v="2307210.527475575"/>
    <n v="2546728.7216132446"/>
  </r>
  <r>
    <x v="216"/>
    <x v="216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s v=""/>
    <s v=""/>
    <n v="2612414.5679240176"/>
    <s v=""/>
    <n v="2612414.5679240176"/>
    <n v="2612414.5679240176"/>
    <n v="2612414.5679240176"/>
    <n v="2612414.5679240176"/>
    <n v="1"/>
    <s v="2023"/>
    <d v="2023-04-06T00:00:00"/>
    <x v="13"/>
    <m/>
    <n v="2308993.8168732072"/>
    <n v="2612414.5679240176"/>
  </r>
  <r>
    <x v="217"/>
    <x v="217"/>
    <x v="0"/>
    <s v="Replacement"/>
    <s v="Closed"/>
    <n v="0"/>
    <n v="0"/>
    <n v="0"/>
    <n v="0"/>
    <n v="0"/>
    <n v="0"/>
    <n v="0"/>
    <n v="0"/>
    <m/>
    <m/>
    <n v="3110.54"/>
    <n v="83940.89"/>
    <s v=""/>
    <s v=""/>
    <s v=""/>
    <s v=""/>
    <s v=""/>
    <s v=""/>
    <s v=""/>
    <n v="87051.43"/>
    <n v="87051.43"/>
    <n v="101029.64996747948"/>
    <n v="87117.550536044349"/>
    <n v="1.1596934182128902"/>
    <s v="2017"/>
    <d v="2016-10-06T00:00:00"/>
    <x v="8"/>
    <m/>
    <n v="89295.489299445457"/>
    <n v="83940.89"/>
  </r>
  <r>
    <x v="218"/>
    <x v="218"/>
    <x v="0"/>
    <s v="Security/Compliance"/>
    <s v="Active"/>
    <n v="0"/>
    <n v="0"/>
    <n v="0"/>
    <n v="0"/>
    <n v="0"/>
    <n v="0"/>
    <n v="0"/>
    <n v="0"/>
    <m/>
    <m/>
    <n v="39283.25"/>
    <n v="437438.74"/>
    <n v="907904.67876915389"/>
    <s v=""/>
    <s v=""/>
    <s v=""/>
    <s v=""/>
    <s v=""/>
    <s v=""/>
    <n v="1384626.6687691538"/>
    <n v="1384626.6687691538"/>
    <n v="1581030.5561690945"/>
    <n v="1397400.6359117138"/>
    <n v="1.1314082128906247"/>
    <s v="2018"/>
    <d v="2018-01-10T00:00:00"/>
    <x v="5"/>
    <m/>
    <n v="1397400.6359117138"/>
    <n v="907904.67876915389"/>
  </r>
  <r>
    <x v="219"/>
    <x v="219"/>
    <x v="0"/>
    <s v="Replacement"/>
    <s v="Potential"/>
    <n v="0"/>
    <n v="0"/>
    <n v="0"/>
    <n v="0"/>
    <n v="0"/>
    <n v="0"/>
    <n v="0"/>
    <n v="0"/>
    <m/>
    <m/>
    <m/>
    <s v=""/>
    <n v="342499.12642776372"/>
    <n v="3603113.3240130479"/>
    <n v="7311057.5813293578"/>
    <n v="7121044.6606729487"/>
    <n v="7352382.6735910671"/>
    <n v="6400109.0657039378"/>
    <s v=""/>
    <n v="32130206.431738123"/>
    <n v="32130206.431738123"/>
    <n v="33655727.478899583"/>
    <n v="33655727.478899583"/>
    <n v="1"/>
    <s v="2023"/>
    <d v="2023-03-06T00:00:00"/>
    <x v="13"/>
    <m/>
    <n v="29746759.034842841"/>
    <n v="6400109.0657039378"/>
  </r>
  <r>
    <x v="220"/>
    <x v="220"/>
    <x v="0"/>
    <s v="Replacement"/>
    <s v="Potential"/>
    <n v="0"/>
    <n v="0"/>
    <n v="0"/>
    <n v="0"/>
    <n v="0"/>
    <n v="0"/>
    <n v="0"/>
    <n v="0"/>
    <m/>
    <m/>
    <m/>
    <s v=""/>
    <s v=""/>
    <n v="94876.34106933132"/>
    <n v="108280.01799018314"/>
    <n v="958390.45418144995"/>
    <n v="2422069.9477735762"/>
    <n v="1762528.6548005424"/>
    <s v=""/>
    <n v="5346145.4158150833"/>
    <n v="5346145.4158150833"/>
    <n v="5473390.7867289651"/>
    <n v="5473390.7867289651"/>
    <n v="1"/>
    <s v="2023"/>
    <d v="2023-01-18T00:00:00"/>
    <x v="13"/>
    <m/>
    <n v="4837679.9146128241"/>
    <n v="1762528.6548005424"/>
  </r>
  <r>
    <x v="221"/>
    <x v="221"/>
    <x v="0"/>
    <s v="Replacement"/>
    <s v="Potential"/>
    <n v="0"/>
    <n v="0"/>
    <n v="0"/>
    <n v="0"/>
    <n v="0"/>
    <n v="0"/>
    <n v="0"/>
    <n v="0"/>
    <m/>
    <m/>
    <m/>
    <s v=""/>
    <s v=""/>
    <n v="131078.95667544351"/>
    <n v="149623.24504470042"/>
    <n v="974722.5706942227"/>
    <n v="2407478.3437712421"/>
    <n v="1757675.1773785581"/>
    <s v=""/>
    <n v="5420578.2935641669"/>
    <n v="5420578.2935641669"/>
    <n v="5555222.892518444"/>
    <n v="5555222.892518444"/>
    <n v="1"/>
    <s v="2023"/>
    <d v="2023-01-18T00:00:00"/>
    <x v="13"/>
    <m/>
    <n v="4910007.572178971"/>
    <n v="1757675.1773785581"/>
  </r>
  <r>
    <x v="222"/>
    <x v="222"/>
    <x v="0"/>
    <s v="Replacement"/>
    <s v="Potential"/>
    <n v="0"/>
    <n v="0"/>
    <n v="0"/>
    <n v="0"/>
    <n v="0"/>
    <n v="0"/>
    <n v="0"/>
    <n v="0"/>
    <m/>
    <m/>
    <m/>
    <s v=""/>
    <s v=""/>
    <n v="206656.57116651829"/>
    <n v="346034.7136662688"/>
    <n v="2304752.7043372206"/>
    <n v="5435953.2057059957"/>
    <n v="3940669.0427512387"/>
    <s v=""/>
    <n v="12234066.237627242"/>
    <n v="12234066.237627242"/>
    <n v="12534703.614851907"/>
    <n v="12534703.614851907"/>
    <n v="1"/>
    <s v="2023"/>
    <d v="2023-01-18T00:00:00"/>
    <x v="13"/>
    <m/>
    <n v="11078851.533901371"/>
    <n v="3940669.0427512387"/>
  </r>
  <r>
    <x v="223"/>
    <x v="223"/>
    <x v="3"/>
    <s v="Augmentation"/>
    <s v="Active"/>
    <n v="0"/>
    <n v="0"/>
    <n v="0"/>
    <n v="0"/>
    <n v="0"/>
    <n v="0"/>
    <n v="0"/>
    <n v="0"/>
    <m/>
    <m/>
    <n v="339333.03"/>
    <n v="2599635.7999999998"/>
    <n v="821311.3096390164"/>
    <s v=""/>
    <s v=""/>
    <s v=""/>
    <s v=""/>
    <s v=""/>
    <s v=""/>
    <n v="3760280.1396390162"/>
    <n v="3760280.1396390162"/>
    <n v="4345906.245772928"/>
    <n v="3841147.8688753825"/>
    <n v="1.1314082128906247"/>
    <s v="2018"/>
    <d v="2017-07-04T00:00:00"/>
    <x v="5"/>
    <m/>
    <n v="3841147.8688753825"/>
    <n v="821311.3096390164"/>
  </r>
  <r>
    <x v="224"/>
    <x v="224"/>
    <x v="4"/>
    <s v="Augmentation"/>
    <s v="Closed"/>
    <n v="0"/>
    <n v="0"/>
    <n v="0"/>
    <n v="0"/>
    <n v="0"/>
    <n v="0"/>
    <n v="0"/>
    <n v="0"/>
    <m/>
    <m/>
    <n v="1180071.6499999999"/>
    <n v="1106476.8600000001"/>
    <s v=""/>
    <s v=""/>
    <s v=""/>
    <s v=""/>
    <s v=""/>
    <s v=""/>
    <s v=""/>
    <n v="2286548.5099999998"/>
    <n v="2286548.5099999998"/>
    <n v="2680785.8216924351"/>
    <n v="2311633.2123567429"/>
    <n v="1.1596934182128902"/>
    <s v="2017"/>
    <d v="2016-08-02T00:00:00"/>
    <x v="8"/>
    <m/>
    <n v="2369424.0426656613"/>
    <n v="1106476.8600000001"/>
  </r>
  <r>
    <x v="225"/>
    <x v="225"/>
    <x v="4"/>
    <s v="Augmentation"/>
    <s v="Closed"/>
    <n v="0"/>
    <n v="0"/>
    <n v="0"/>
    <n v="0"/>
    <n v="0"/>
    <n v="0"/>
    <n v="0"/>
    <n v="0"/>
    <m/>
    <m/>
    <n v="1394966.12"/>
    <n v="350484.65"/>
    <s v=""/>
    <s v=""/>
    <s v=""/>
    <s v=""/>
    <s v=""/>
    <s v=""/>
    <s v=""/>
    <n v="1745450.77"/>
    <n v="1745450.77"/>
    <n v="2058575.8101199022"/>
    <n v="1775103.4694084986"/>
    <n v="1.1596934182128902"/>
    <s v="2017"/>
    <d v="2016-06-30T00:00:00"/>
    <x v="8"/>
    <m/>
    <n v="1819481.0561437109"/>
    <n v="350484.65"/>
  </r>
  <r>
    <x v="226"/>
    <x v="226"/>
    <x v="0"/>
    <s v="Security/Compliance"/>
    <s v="Potential"/>
    <n v="0"/>
    <n v="0"/>
    <n v="0"/>
    <n v="0"/>
    <n v="0"/>
    <n v="0"/>
    <n v="0"/>
    <n v="0"/>
    <m/>
    <m/>
    <m/>
    <s v=""/>
    <s v=""/>
    <s v=""/>
    <n v="153960.05718280081"/>
    <n v="1586485.6565505536"/>
    <n v="4637.131279596807"/>
    <s v=""/>
    <s v=""/>
    <n v="1745082.8450129512"/>
    <n v="1745082.8450129512"/>
    <n v="1837352.6946796339"/>
    <n v="1748818.7456796041"/>
    <n v="1.0506249999999999"/>
    <s v="2022"/>
    <d v="2021-03-01T00:00:00"/>
    <x v="15"/>
    <m/>
    <n v="1623952.0570434944"/>
    <n v="4637.131279596807"/>
  </r>
  <r>
    <x v="227"/>
    <x v="227"/>
    <x v="0"/>
    <s v="Replacement"/>
    <s v="Potential"/>
    <n v="0"/>
    <n v="0"/>
    <n v="0"/>
    <n v="0"/>
    <n v="0"/>
    <n v="0"/>
    <n v="0"/>
    <n v="0"/>
    <m/>
    <m/>
    <m/>
    <s v=""/>
    <s v=""/>
    <n v="33235.31617451604"/>
    <n v="81864.325914214394"/>
    <n v="554247.90684592631"/>
    <n v="522181.45023555664"/>
    <s v=""/>
    <s v=""/>
    <n v="1191528.9991702135"/>
    <n v="1191528.9991702135"/>
    <n v="1242387.1891378372"/>
    <n v="1212085.0625734997"/>
    <n v="1.0249999999999999"/>
    <s v="2022"/>
    <d v="2022-04-01T00:00:00"/>
    <x v="14"/>
    <m/>
    <n v="1098089.2439906134"/>
    <n v="522181.45023555664"/>
  </r>
  <r>
    <x v="228"/>
    <x v="228"/>
    <x v="0"/>
    <s v="Replacement"/>
    <s v="Potential"/>
    <n v="0"/>
    <n v="0"/>
    <n v="0"/>
    <n v="0"/>
    <n v="0"/>
    <n v="0"/>
    <n v="0"/>
    <n v="0"/>
    <m/>
    <m/>
    <m/>
    <s v=""/>
    <n v="72888.769424387545"/>
    <n v="517113.22695532802"/>
    <n v="4598619.9409187026"/>
    <n v="4757621.2073864108"/>
    <n v="316923.62446382589"/>
    <s v=""/>
    <s v=""/>
    <n v="10263166.769148655"/>
    <n v="10263166.769148655"/>
    <n v="10928796.3965794"/>
    <n v="10402185.743323641"/>
    <n v="1.0506249999999999"/>
    <s v="2022"/>
    <d v="2021-05-27T00:00:00"/>
    <x v="15"/>
    <m/>
    <n v="9659463.5535281412"/>
    <n v="316923.62446382589"/>
  </r>
  <r>
    <x v="229"/>
    <x v="229"/>
    <x v="0"/>
    <s v="Replacement"/>
    <s v="Potential"/>
    <n v="0"/>
    <n v="0"/>
    <n v="0"/>
    <n v="0"/>
    <n v="0"/>
    <n v="0"/>
    <n v="0"/>
    <n v="0"/>
    <m/>
    <m/>
    <m/>
    <s v=""/>
    <n v="1363691.1189843337"/>
    <n v="254601.18114029116"/>
    <n v="3715242.945789488"/>
    <n v="3348318.6866991366"/>
    <s v=""/>
    <s v=""/>
    <s v=""/>
    <n v="8681853.9326132499"/>
    <n v="8681853.9326132499"/>
    <n v="9342661.015707247"/>
    <n v="8892479.2534988672"/>
    <n v="1.0506249999999999"/>
    <s v="2021"/>
    <d v="2021-04-07T00:00:00"/>
    <x v="15"/>
    <m/>
    <n v="8257550.9964151364"/>
    <n v="3348318.6866991366"/>
  </r>
  <r>
    <x v="230"/>
    <x v="230"/>
    <x v="0"/>
    <s v="Replacement"/>
    <s v="Potential"/>
    <n v="0"/>
    <n v="0"/>
    <n v="0"/>
    <n v="0"/>
    <n v="0"/>
    <n v="0"/>
    <n v="0"/>
    <n v="0"/>
    <m/>
    <m/>
    <m/>
    <s v=""/>
    <s v=""/>
    <n v="1285492.8304980362"/>
    <n v="1693306.4878088445"/>
    <s v=""/>
    <s v=""/>
    <s v=""/>
    <s v=""/>
    <n v="2978799.318306881"/>
    <n v="2978799.318306881"/>
    <n v="3242449.4390827715"/>
    <n v="3010936.6390693318"/>
    <n v="1.0768906249999999"/>
    <s v="2020"/>
    <d v="2019-12-19T00:00:00"/>
    <x v="12"/>
    <m/>
    <n v="2865852.8390903813"/>
    <n v="1693306.4878088445"/>
  </r>
  <r>
    <x v="231"/>
    <x v="231"/>
    <x v="0"/>
    <s v="Security/Compliance"/>
    <s v="Active"/>
    <n v="0"/>
    <n v="0"/>
    <n v="0"/>
    <n v="0"/>
    <n v="0"/>
    <n v="0"/>
    <n v="0"/>
    <n v="0"/>
    <m/>
    <m/>
    <m/>
    <n v="70129.34"/>
    <n v="881893.91466023156"/>
    <n v="52033.956571983123"/>
    <s v=""/>
    <s v=""/>
    <s v=""/>
    <s v=""/>
    <s v=""/>
    <n v="1004057.2112322147"/>
    <n v="1004057.2112322147"/>
    <n v="1136546.3039808401"/>
    <n v="1029654.8569362205"/>
    <n v="1.1038128906249998"/>
    <s v="2019"/>
    <d v="2018-10-31T00:00:00"/>
    <x v="10"/>
    <m/>
    <n v="1004541.323840215"/>
    <n v="52033.956571983123"/>
  </r>
  <r>
    <x v="232"/>
    <x v="232"/>
    <x v="0"/>
    <s v="Information Technology"/>
    <s v="Closed"/>
    <n v="0"/>
    <n v="0"/>
    <n v="0"/>
    <n v="0"/>
    <n v="0"/>
    <n v="0"/>
    <n v="0"/>
    <n v="0"/>
    <m/>
    <m/>
    <n v="257898.37"/>
    <n v="53481.43"/>
    <s v=""/>
    <s v=""/>
    <s v=""/>
    <s v=""/>
    <s v=""/>
    <s v=""/>
    <s v=""/>
    <n v="311379.8"/>
    <n v="311379.8"/>
    <n v="367462.69239885104"/>
    <n v="316861.92801293818"/>
    <n v="1.1596934182128902"/>
    <s v="2017"/>
    <d v="2016-07-01T00:00:00"/>
    <x v="8"/>
    <m/>
    <n v="324783.4762132616"/>
    <n v="53481.43"/>
  </r>
  <r>
    <x v="233"/>
    <x v="233"/>
    <x v="0"/>
    <s v="Security/Compliance"/>
    <s v="Potential"/>
    <n v="0"/>
    <n v="0"/>
    <n v="0"/>
    <n v="0"/>
    <n v="0"/>
    <n v="0"/>
    <n v="0"/>
    <n v="0"/>
    <m/>
    <m/>
    <m/>
    <n v="40611.67"/>
    <n v="1662892.5026336259"/>
    <n v="3230856.5284656961"/>
    <s v=""/>
    <s v=""/>
    <s v=""/>
    <s v=""/>
    <s v=""/>
    <n v="4934360.7010993222"/>
    <n v="4934360.7010993222"/>
    <n v="5494768.4049159344"/>
    <n v="4977988.9794589123"/>
    <n v="1.1038128906249998"/>
    <s v="2019"/>
    <d v="2018-10-04T00:00:00"/>
    <x v="10"/>
    <m/>
    <n v="4856574.6141062565"/>
    <n v="3230856.5284656961"/>
  </r>
  <r>
    <x v="234"/>
    <x v="234"/>
    <x v="0"/>
    <s v="Facilities"/>
    <s v="Active"/>
    <n v="0"/>
    <n v="0"/>
    <n v="0"/>
    <n v="0"/>
    <n v="0"/>
    <n v="0"/>
    <n v="0"/>
    <n v="0"/>
    <m/>
    <m/>
    <m/>
    <n v="172282.23999999999"/>
    <n v="18296.302481221854"/>
    <s v=""/>
    <s v=""/>
    <s v=""/>
    <s v=""/>
    <s v=""/>
    <s v=""/>
    <n v="190578.54248122184"/>
    <n v="190578.54248122184"/>
    <n v="220495.16669575905"/>
    <n v="194885.59848122185"/>
    <n v="1.1314082128906247"/>
    <s v="2018"/>
    <d v="2017-05-05T00:00:00"/>
    <x v="0"/>
    <m/>
    <n v="194885.59848122182"/>
    <n v="18296.302481221854"/>
  </r>
  <r>
    <x v="235"/>
    <x v="235"/>
    <x v="0"/>
    <s v="Facilities"/>
    <s v="Active"/>
    <n v="0"/>
    <n v="0"/>
    <n v="0"/>
    <n v="0"/>
    <n v="0"/>
    <n v="0"/>
    <n v="0"/>
    <n v="0"/>
    <m/>
    <m/>
    <m/>
    <n v="125456.3"/>
    <n v="8640.3656158825943"/>
    <s v=""/>
    <s v=""/>
    <s v=""/>
    <s v=""/>
    <s v=""/>
    <s v=""/>
    <n v="134096.66561588261"/>
    <n v="134096.66561588261"/>
    <n v="155266.62600352915"/>
    <n v="137233.07311588258"/>
    <n v="1.1314082128906247"/>
    <s v="2018"/>
    <d v="2017-05-19T00:00:00"/>
    <x v="0"/>
    <m/>
    <n v="137233.07311588258"/>
    <n v="8640.3656158825943"/>
  </r>
  <r>
    <x v="236"/>
    <x v="236"/>
    <x v="0"/>
    <s v="Facilities"/>
    <s v="Closed"/>
    <n v="0"/>
    <n v="0"/>
    <n v="0"/>
    <n v="0"/>
    <n v="0"/>
    <n v="0"/>
    <n v="0"/>
    <n v="0"/>
    <m/>
    <m/>
    <n v="111682.87"/>
    <n v="29039.79"/>
    <s v=""/>
    <s v=""/>
    <s v=""/>
    <s v=""/>
    <s v=""/>
    <s v=""/>
    <s v=""/>
    <n v="140722.66"/>
    <n v="140722.66"/>
    <n v="165948.29550956975"/>
    <n v="143096.69512938967"/>
    <n v="1.1596934182128902"/>
    <s v="2017"/>
    <d v="2016-06-22T00:00:00"/>
    <x v="8"/>
    <m/>
    <n v="146674.11250762441"/>
    <n v="29039.79"/>
  </r>
  <r>
    <x v="237"/>
    <x v="237"/>
    <x v="0"/>
    <s v="Facilities"/>
    <s v="Potential"/>
    <n v="0"/>
    <n v="0"/>
    <n v="0"/>
    <n v="0"/>
    <n v="0"/>
    <n v="0"/>
    <n v="0"/>
    <n v="0"/>
    <m/>
    <m/>
    <m/>
    <s v=""/>
    <s v=""/>
    <n v="350766.67453077924"/>
    <n v="210503.91222176523"/>
    <s v=""/>
    <s v=""/>
    <s v=""/>
    <s v=""/>
    <n v="561270.58675254451"/>
    <n v="561270.58675254451"/>
    <n v="613870.46654617973"/>
    <n v="570039.75361581391"/>
    <n v="1.0768906249999999"/>
    <s v="2020"/>
    <d v="2019-08-08T00:00:00"/>
    <x v="12"/>
    <m/>
    <n v="542572.04389369569"/>
    <n v="210503.91222176523"/>
  </r>
  <r>
    <x v="238"/>
    <x v="238"/>
    <x v="0"/>
    <s v="Facilities"/>
    <s v="Potential"/>
    <n v="0"/>
    <n v="0"/>
    <n v="0"/>
    <n v="0"/>
    <n v="0"/>
    <n v="0"/>
    <n v="0"/>
    <n v="0"/>
    <m/>
    <m/>
    <m/>
    <s v=""/>
    <s v=""/>
    <s v=""/>
    <n v="444091.50748440955"/>
    <n v="131591.39199126459"/>
    <s v=""/>
    <s v=""/>
    <s v=""/>
    <n v="575682.89947567414"/>
    <n v="575682.89947567414"/>
    <n v="616491.18726290029"/>
    <n v="586785.18716278439"/>
    <n v="1.0506249999999999"/>
    <s v="2021"/>
    <d v="2020-06-26T00:00:00"/>
    <x v="15"/>
    <m/>
    <n v="544888.3791357961"/>
    <n v="131591.39199126459"/>
  </r>
  <r>
    <x v="239"/>
    <x v="239"/>
    <x v="0"/>
    <s v="Facilities"/>
    <s v="Potential"/>
    <n v="0"/>
    <n v="0"/>
    <n v="0"/>
    <n v="0"/>
    <n v="0"/>
    <n v="0"/>
    <n v="0"/>
    <n v="0"/>
    <m/>
    <m/>
    <m/>
    <s v=""/>
    <s v=""/>
    <s v=""/>
    <s v=""/>
    <n v="400426.17190932028"/>
    <n v="187668.10070785036"/>
    <s v=""/>
    <s v=""/>
    <n v="588094.27261717059"/>
    <n v="588094.27261717059"/>
    <n v="613057.55008777627"/>
    <n v="598104.92691490368"/>
    <n v="1.0249999999999999"/>
    <s v="2022"/>
    <d v="2021-07-27T00:00:00"/>
    <x v="14"/>
    <m/>
    <n v="541853.54419646738"/>
    <n v="187668.10070785036"/>
  </r>
  <r>
    <x v="240"/>
    <x v="240"/>
    <x v="0"/>
    <s v="Security/Compliance"/>
    <s v="Potential"/>
    <n v="0"/>
    <n v="0"/>
    <n v="0"/>
    <n v="0"/>
    <n v="0"/>
    <n v="0"/>
    <n v="0"/>
    <n v="0"/>
    <m/>
    <m/>
    <m/>
    <s v=""/>
    <s v=""/>
    <n v="107293.27135743131"/>
    <n v="1235517.0299118508"/>
    <n v="98847.618114164346"/>
    <s v=""/>
    <s v=""/>
    <s v=""/>
    <n v="1441657.9193834465"/>
    <n v="1441657.9193834465"/>
    <n v="1552800.1813227693"/>
    <n v="1441929.3336524027"/>
    <n v="1.0768906249999999"/>
    <s v="2021"/>
    <d v="2020-06-03T00:00:00"/>
    <x v="12"/>
    <m/>
    <n v="1372449.0980629651"/>
    <n v="98847.618114164346"/>
  </r>
  <r>
    <x v="241"/>
    <x v="241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34574.99865764257"/>
    <n v="74.39469884198455"/>
    <n v="134574.99865764257"/>
    <n v="134574.99865764257"/>
    <n v="134574.99865764257"/>
    <n v="134574.99865764257"/>
    <n v="1"/>
    <s v="2024"/>
    <d v="2023-05-04T00:00:00"/>
    <x v="13"/>
    <m/>
    <n v="118944.68956860239"/>
    <n v="74.39469884198455"/>
  </r>
  <r>
    <x v="242"/>
    <x v="242"/>
    <x v="0"/>
    <s v="Replacement"/>
    <s v="Active"/>
    <n v="0"/>
    <n v="0"/>
    <n v="0"/>
    <n v="0"/>
    <n v="0"/>
    <n v="0"/>
    <n v="0"/>
    <n v="0"/>
    <m/>
    <m/>
    <m/>
    <n v="125770.66"/>
    <n v="709026.46734372713"/>
    <n v="50759.829136085718"/>
    <s v=""/>
    <s v=""/>
    <s v=""/>
    <s v=""/>
    <s v=""/>
    <n v="885556.95647981286"/>
    <n v="885556.95647981286"/>
    <n v="1004083.1286421441"/>
    <n v="887463.17836673756"/>
    <n v="1.1314082128906247"/>
    <s v="2019"/>
    <d v="2018-03-15T00:00:00"/>
    <x v="5"/>
    <m/>
    <n v="887463.17836673756"/>
    <n v="50759.829136085718"/>
  </r>
  <r>
    <x v="243"/>
    <x v="243"/>
    <x v="0"/>
    <s v="Replacement"/>
    <s v="Potential"/>
    <n v="0"/>
    <n v="0"/>
    <n v="0"/>
    <n v="0"/>
    <n v="0"/>
    <n v="0"/>
    <n v="0"/>
    <n v="0"/>
    <m/>
    <m/>
    <m/>
    <s v=""/>
    <s v=""/>
    <n v="48473.625310986492"/>
    <n v="117303.94639097802"/>
    <n v="341589.68077612034"/>
    <n v="877808.56545273971"/>
    <n v="620960.66668771417"/>
    <s v=""/>
    <n v="2006136.4846185388"/>
    <n v="2006136.4846185388"/>
    <n v="2059426.4372597237"/>
    <n v="2059426.4372597237"/>
    <n v="1"/>
    <s v="2023"/>
    <d v="2023-01-12T00:00:00"/>
    <x v="13"/>
    <m/>
    <n v="1820232.8865883993"/>
    <n v="620960.66668771417"/>
  </r>
  <r>
    <x v="244"/>
    <x v="77"/>
    <x v="0"/>
    <s v="Replacement"/>
    <s v="Potential"/>
    <n v="0"/>
    <n v="0"/>
    <n v="0"/>
    <n v="0"/>
    <n v="0"/>
    <n v="0"/>
    <n v="0"/>
    <n v="0"/>
    <m/>
    <m/>
    <m/>
    <s v=""/>
    <s v=""/>
    <n v="305680.67991900118"/>
    <n v="1703791.6733597943"/>
    <n v="1659846.3902028925"/>
    <s v=""/>
    <s v=""/>
    <s v=""/>
    <n v="3669318.7434816882"/>
    <n v="3669318.7434816882"/>
    <n v="3916087.668610746"/>
    <n v="3727388.619736582"/>
    <n v="1.0506249999999999"/>
    <s v="2021"/>
    <d v="2021-03-11T00:00:00"/>
    <x v="15"/>
    <m/>
    <n v="3461250.8765563658"/>
    <n v="1659846.3902028925"/>
  </r>
  <r>
    <x v="245"/>
    <x v="244"/>
    <x v="0"/>
    <s v="Security/Compliance"/>
    <s v="Potential"/>
    <n v="0"/>
    <n v="0"/>
    <n v="0"/>
    <n v="0"/>
    <n v="0"/>
    <n v="0"/>
    <n v="0"/>
    <n v="0"/>
    <m/>
    <m/>
    <m/>
    <s v=""/>
    <n v="278043.33850177424"/>
    <n v="2827206.3822550867"/>
    <n v="4056086.9452014253"/>
    <s v=""/>
    <s v=""/>
    <s v=""/>
    <s v=""/>
    <n v="7161336.6659582863"/>
    <n v="7161336.6659582863"/>
    <n v="7803249.3713831743"/>
    <n v="7246092.7695263159"/>
    <n v="1.0768906249999999"/>
    <s v="2020"/>
    <d v="2019-12-16T00:00:00"/>
    <x v="12"/>
    <m/>
    <n v="6896935.4141832869"/>
    <n v="4056086.9452014253"/>
  </r>
  <r>
    <x v="246"/>
    <x v="245"/>
    <x v="0"/>
    <s v="Security/Compliance"/>
    <s v="Potential"/>
    <n v="0"/>
    <n v="0"/>
    <n v="0"/>
    <n v="0"/>
    <n v="0"/>
    <n v="0"/>
    <n v="0"/>
    <n v="0"/>
    <m/>
    <m/>
    <m/>
    <s v=""/>
    <s v=""/>
    <s v=""/>
    <s v=""/>
    <n v="43781.458509426033"/>
    <n v="142471.39383334661"/>
    <n v="774640.84171171964"/>
    <s v=""/>
    <n v="960893.69405449228"/>
    <n v="960893.69405449228"/>
    <n v="966671.91523736564"/>
    <n v="966671.91523736564"/>
    <n v="1"/>
    <s v="2023"/>
    <d v="2023-02-06T00:00:00"/>
    <x v="13"/>
    <m/>
    <n v="854397.1169942494"/>
    <n v="774640.84171171964"/>
  </r>
  <r>
    <x v="247"/>
    <x v="246"/>
    <x v="0"/>
    <s v="Replacement"/>
    <s v="Potential"/>
    <n v="0"/>
    <n v="0"/>
    <n v="0"/>
    <n v="0"/>
    <n v="0"/>
    <n v="0"/>
    <n v="0"/>
    <n v="0"/>
    <m/>
    <m/>
    <m/>
    <s v=""/>
    <s v=""/>
    <n v="29066.524786166734"/>
    <n v="101664.30008371212"/>
    <n v="627983.04245576612"/>
    <n v="587483.46258687356"/>
    <s v=""/>
    <s v=""/>
    <n v="1346197.3299125186"/>
    <n v="1346197.3299125186"/>
    <n v="1403510.5695336128"/>
    <n v="1369278.604423037"/>
    <n v="1.0249999999999999"/>
    <s v="2022"/>
    <d v="2022-04-01T00:00:00"/>
    <x v="14"/>
    <m/>
    <n v="1240498.8345875591"/>
    <n v="587483.46258687356"/>
  </r>
  <r>
    <x v="248"/>
    <x v="247"/>
    <x v="0"/>
    <s v="Refurbishment"/>
    <s v="Potential"/>
    <n v="0"/>
    <n v="0"/>
    <n v="0"/>
    <n v="0"/>
    <n v="0"/>
    <n v="0"/>
    <n v="0"/>
    <n v="0"/>
    <m/>
    <m/>
    <m/>
    <s v=""/>
    <s v=""/>
    <n v="836832.42297502363"/>
    <n v="2315482.885726443"/>
    <n v="2347273.2138793063"/>
    <n v="2422891.1972947172"/>
    <n v="1603397.3164950798"/>
    <s v=""/>
    <n v="9525877.0363705698"/>
    <n v="9525877.0363705698"/>
    <n v="9970192.9418136459"/>
    <n v="9970192.9418136459"/>
    <n v="1"/>
    <s v="2023"/>
    <d v="2022-12-26T00:00:00"/>
    <x v="13"/>
    <m/>
    <n v="8812197.7799161356"/>
    <n v="1603397.3164950798"/>
  </r>
  <r>
    <x v="249"/>
    <x v="248"/>
    <x v="0"/>
    <s v="Replacement"/>
    <s v="Potential"/>
    <n v="0"/>
    <n v="0"/>
    <n v="0"/>
    <n v="0"/>
    <n v="0"/>
    <n v="0"/>
    <n v="0"/>
    <n v="0"/>
    <m/>
    <m/>
    <m/>
    <s v=""/>
    <s v=""/>
    <n v="42933.321997861043"/>
    <n v="131250.24947845834"/>
    <n v="1445935.4013621025"/>
    <n v="1355603.2158186692"/>
    <s v=""/>
    <s v=""/>
    <n v="2975722.188657091"/>
    <n v="2975722.188657091"/>
    <n v="3097361.6947210506"/>
    <n v="3021816.2875327324"/>
    <n v="1.0249999999999999"/>
    <s v="2022"/>
    <d v="2022-04-01T00:00:00"/>
    <x v="14"/>
    <m/>
    <n v="2737616.4141566809"/>
    <n v="1355603.2158186692"/>
  </r>
  <r>
    <x v="250"/>
    <x v="249"/>
    <x v="0"/>
    <s v="Replacement"/>
    <s v="Potential"/>
    <n v="0"/>
    <n v="0"/>
    <n v="0"/>
    <n v="0"/>
    <n v="0"/>
    <n v="0"/>
    <n v="0"/>
    <n v="0"/>
    <m/>
    <m/>
    <m/>
    <s v=""/>
    <s v=""/>
    <n v="32137.880425049229"/>
    <n v="112168.44521620301"/>
    <n v="691177.73836794123"/>
    <n v="643538.15953126305"/>
    <s v=""/>
    <s v=""/>
    <n v="1479022.2235404565"/>
    <n v="1479022.2235404565"/>
    <n v="1542062.578657052"/>
    <n v="1504451.2962507827"/>
    <n v="1.0249999999999999"/>
    <s v="2022"/>
    <d v="2022-04-01T00:00:00"/>
    <x v="14"/>
    <m/>
    <n v="1362958.6219082237"/>
    <n v="643538.15953126305"/>
  </r>
  <r>
    <x v="251"/>
    <x v="250"/>
    <x v="0"/>
    <s v="Replacement"/>
    <s v="Potential"/>
    <n v="0"/>
    <n v="0"/>
    <n v="0"/>
    <n v="0"/>
    <n v="0"/>
    <n v="0"/>
    <n v="0"/>
    <n v="0"/>
    <m/>
    <m/>
    <m/>
    <s v=""/>
    <s v=""/>
    <n v="935162.49570273585"/>
    <n v="2076157.8692446612"/>
    <n v="1288140.4477500694"/>
    <s v=""/>
    <s v=""/>
    <s v=""/>
    <n v="4299460.8126974665"/>
    <n v="4299460.8126974665"/>
    <n v="4621391.9209126942"/>
    <n v="4398707.3607735345"/>
    <n v="1.0506249999999999"/>
    <s v="2021"/>
    <d v="2020-12-15T00:00:00"/>
    <x v="15"/>
    <m/>
    <n v="4084637.0640226668"/>
    <n v="1288140.4477500694"/>
  </r>
  <r>
    <x v="252"/>
    <x v="251"/>
    <x v="0"/>
    <s v="Refurbishment"/>
    <s v="Potential"/>
    <n v="0"/>
    <n v="0"/>
    <n v="0"/>
    <n v="0"/>
    <n v="0"/>
    <n v="0"/>
    <n v="0"/>
    <n v="0"/>
    <m/>
    <m/>
    <m/>
    <s v=""/>
    <s v=""/>
    <n v="2974817.2989782053"/>
    <s v=""/>
    <s v=""/>
    <s v=""/>
    <s v=""/>
    <s v=""/>
    <n v="2974817.2989782053"/>
    <n v="2974817.2989782053"/>
    <n v="3283641.6818663869"/>
    <n v="2974817.2989782053"/>
    <n v="1.1038128906249998"/>
    <s v="2019"/>
    <d v="2023-02-21T00:00:00"/>
    <x v="10"/>
    <m/>
    <n v="2902260.7794909324"/>
    <n v="2974817.2989782053"/>
  </r>
  <r>
    <x v="253"/>
    <x v="252"/>
    <x v="0"/>
    <s v="Refurbishment"/>
    <s v="Potential"/>
    <n v="0"/>
    <n v="0"/>
    <n v="0"/>
    <n v="0"/>
    <n v="0"/>
    <n v="0"/>
    <n v="0"/>
    <n v="0"/>
    <m/>
    <m/>
    <m/>
    <s v=""/>
    <s v=""/>
    <n v="858624.13248160144"/>
    <n v="3057846.5383502087"/>
    <n v="5284574.6417443398"/>
    <s v=""/>
    <s v=""/>
    <s v=""/>
    <n v="9201045.3125761505"/>
    <n v="9201045.3125761505"/>
    <n v="9792832.8884555884"/>
    <n v="9320959.322741786"/>
    <n v="1.0506249999999999"/>
    <s v="2021"/>
    <d v="2022-12-13T00:00:00"/>
    <x v="15"/>
    <m/>
    <n v="8655437.3363049626"/>
    <n v="5284574.6417443398"/>
  </r>
  <r>
    <x v="254"/>
    <x v="253"/>
    <x v="0"/>
    <s v="Connection"/>
    <s v="Potential"/>
    <n v="0"/>
    <n v="0"/>
    <n v="0"/>
    <n v="0"/>
    <n v="0"/>
    <n v="0"/>
    <n v="0"/>
    <n v="0"/>
    <m/>
    <m/>
    <m/>
    <s v=""/>
    <s v=""/>
    <n v="86866.319824794569"/>
    <n v="1318767.4648033672"/>
    <n v="5388971.4146279553"/>
    <n v="7057.2730445704938"/>
    <s v=""/>
    <s v=""/>
    <n v="6801662.4723006869"/>
    <n v="6801662.4723006869"/>
    <n v="7185074.2803497054"/>
    <n v="6838857.1377510587"/>
    <n v="1.0506249999999999"/>
    <s v="2022"/>
    <d v="2021-04-19T00:00:00"/>
    <x v="15"/>
    <m/>
    <n v="6350558.7094799522"/>
    <n v="7057.2730445704938"/>
  </r>
  <r>
    <x v="255"/>
    <x v="254"/>
    <x v="0"/>
    <s v="Information Technology"/>
    <s v="Potential"/>
    <n v="0"/>
    <n v="0"/>
    <n v="0"/>
    <n v="0"/>
    <n v="0"/>
    <n v="0"/>
    <n v="0"/>
    <n v="0"/>
    <m/>
    <m/>
    <m/>
    <s v=""/>
    <n v="353386.06145674526"/>
    <n v="2445.3661246369884"/>
    <s v=""/>
    <s v=""/>
    <s v=""/>
    <s v=""/>
    <s v=""/>
    <n v="355831.42758138222"/>
    <n v="355831.42758138222"/>
    <n v="402523.11890390463"/>
    <n v="364666.07911780087"/>
    <n v="1.1038128906249998"/>
    <s v="2019"/>
    <d v="2018-04-13T00:00:00"/>
    <x v="0"/>
    <m/>
    <n v="355771.78450517158"/>
    <n v="2445.3661246369884"/>
  </r>
  <r>
    <x v="256"/>
    <x v="255"/>
    <x v="0"/>
    <s v="Security/Compliance"/>
    <s v="Active"/>
    <n v="0"/>
    <n v="0"/>
    <n v="0"/>
    <n v="0"/>
    <n v="0"/>
    <n v="0"/>
    <n v="0"/>
    <n v="0"/>
    <m/>
    <m/>
    <n v="162054.01999999999"/>
    <n v="305300.36"/>
    <n v="2144241.9767105887"/>
    <n v="728117.23508324614"/>
    <s v=""/>
    <s v=""/>
    <s v=""/>
    <s v=""/>
    <s v=""/>
    <n v="3339713.5917938347"/>
    <n v="3339713.5917938347"/>
    <n v="3775700.8498163135"/>
    <n v="3420598.6194620724"/>
    <n v="1.1038128906249998"/>
    <s v="2019"/>
    <d v="2018-09-14T00:00:00"/>
    <x v="10"/>
    <m/>
    <n v="3337169.3848410463"/>
    <n v="728117.23508324614"/>
  </r>
  <r>
    <x v="257"/>
    <x v="256"/>
    <x v="0"/>
    <s v="Security/Compliance"/>
    <s v="Active"/>
    <n v="0"/>
    <n v="0"/>
    <n v="0"/>
    <n v="0"/>
    <n v="0"/>
    <n v="0"/>
    <n v="0"/>
    <n v="0"/>
    <m/>
    <m/>
    <n v="51133.84"/>
    <n v="63043.92"/>
    <n v="248341.3509558627"/>
    <n v="1726163.0082419303"/>
    <n v="6470.27313867457"/>
    <s v=""/>
    <s v=""/>
    <s v=""/>
    <s v=""/>
    <n v="2095152.3923364675"/>
    <n v="2095152.3923364675"/>
    <n v="2326975.9242192791"/>
    <n v="2108125.3389799618"/>
    <n v="1.1038128906249998"/>
    <s v="2020"/>
    <d v="2019-06-19T00:00:00"/>
    <x v="10"/>
    <m/>
    <n v="2056707.6477853288"/>
    <n v="6470.27313867457"/>
  </r>
  <r>
    <x v="258"/>
    <x v="257"/>
    <x v="0"/>
    <s v="Replacement"/>
    <s v="Potential"/>
    <n v="0"/>
    <n v="0"/>
    <n v="0"/>
    <n v="0"/>
    <n v="0"/>
    <n v="0"/>
    <n v="0"/>
    <n v="0"/>
    <m/>
    <m/>
    <m/>
    <s v=""/>
    <n v="51540.024011076959"/>
    <n v="63048.238668146092"/>
    <n v="1104098.2896788779"/>
    <n v="1043710.1512715162"/>
    <s v=""/>
    <s v=""/>
    <s v=""/>
    <n v="2262396.7036296171"/>
    <n v="2262396.7036296171"/>
    <n v="2413447.3399451682"/>
    <n v="2297153.9226128906"/>
    <n v="1.0506249999999999"/>
    <s v="2021"/>
    <d v="2021-04-07T00:00:00"/>
    <x v="15"/>
    <m/>
    <n v="2133135.7793303207"/>
    <n v="1043710.1512715162"/>
  </r>
  <r>
    <x v="259"/>
    <x v="258"/>
    <x v="0"/>
    <s v="Replacement"/>
    <s v="Potential"/>
    <n v="0"/>
    <n v="0"/>
    <n v="0"/>
    <n v="0"/>
    <n v="0"/>
    <n v="0"/>
    <n v="0"/>
    <n v="0"/>
    <m/>
    <m/>
    <m/>
    <n v="809856.5"/>
    <n v="109274.61118360804"/>
    <n v="1611120.0237822658"/>
    <n v="1741536.8834572861"/>
    <n v="595345.74921214371"/>
    <s v=""/>
    <s v=""/>
    <s v=""/>
    <n v="4867133.7676353035"/>
    <n v="4867133.7676353035"/>
    <n v="5342124.3665482895"/>
    <n v="5084710.8783326969"/>
    <n v="1.0506249999999999"/>
    <s v="2021"/>
    <d v="2020-09-07T00:00:00"/>
    <x v="15"/>
    <m/>
    <n v="4721659.5263169818"/>
    <n v="595345.74921214371"/>
  </r>
  <r>
    <x v="260"/>
    <x v="259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20318.995602706866"/>
    <n v="364414.01446090679"/>
    <n v="20318.995602706866"/>
    <n v="20318.995602706866"/>
    <n v="20318.995602706866"/>
    <n v="20318.995602706866"/>
    <n v="1"/>
    <s v="2024"/>
    <d v="2024-02-12T00:00:00"/>
    <x v="16"/>
    <m/>
    <n v="17959.031383371388"/>
    <n v="364414.01446090679"/>
  </r>
  <r>
    <x v="261"/>
    <x v="260"/>
    <x v="0"/>
    <s v="Information Technology"/>
    <s v="Active"/>
    <n v="0"/>
    <n v="0"/>
    <n v="0"/>
    <n v="0"/>
    <n v="0"/>
    <n v="0"/>
    <n v="0"/>
    <n v="0"/>
    <m/>
    <m/>
    <m/>
    <n v="433604.87"/>
    <n v="683446.08359025279"/>
    <n v="124096.22994468972"/>
    <s v=""/>
    <s v=""/>
    <s v=""/>
    <s v=""/>
    <s v=""/>
    <n v="1241147.1835349426"/>
    <n v="1241147.1835349426"/>
    <n v="1413084.2441769131"/>
    <n v="1280184.5821684489"/>
    <n v="1.1038128906249998"/>
    <s v="2019"/>
    <d v="2017-07-06T00:00:00"/>
    <x v="0"/>
    <m/>
    <n v="1248960.5679692184"/>
    <n v="124096.22994468972"/>
  </r>
  <r>
    <x v="262"/>
    <x v="261"/>
    <x v="0"/>
    <s v="Facilities"/>
    <s v="Closed"/>
    <n v="0"/>
    <n v="0"/>
    <n v="0"/>
    <n v="0"/>
    <n v="0"/>
    <n v="0"/>
    <n v="0"/>
    <n v="0"/>
    <m/>
    <n v="129615.27"/>
    <n v="55209.26"/>
    <n v="163.02000000000001"/>
    <s v=""/>
    <s v=""/>
    <s v=""/>
    <s v=""/>
    <s v=""/>
    <s v=""/>
    <s v=""/>
    <n v="184987.55"/>
    <n v="184987.55"/>
    <n v="221097.3432089347"/>
    <n v="190651.54612125846"/>
    <n v="1.1596934182128902"/>
    <s v="2017"/>
    <d v="2015-09-21T00:00:00"/>
    <x v="0"/>
    <m/>
    <n v="195417.83477428992"/>
    <n v="163.02000000000001"/>
  </r>
  <r>
    <x v="263"/>
    <x v="262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039833.385788475"/>
    <n v="118012.65900409642"/>
    <s v=""/>
    <s v=""/>
    <n v="1157846.0447925716"/>
    <n v="1157846.0447925716"/>
    <n v="1213437.9264232153"/>
    <n v="1183841.8794372834"/>
    <n v="1.0249999999999999"/>
    <s v="2022"/>
    <d v="2021-05-21T00:00:00"/>
    <x v="14"/>
    <m/>
    <n v="1072502.3140171606"/>
    <n v="118012.65900409642"/>
  </r>
  <r>
    <x v="264"/>
    <x v="263"/>
    <x v="0"/>
    <s v="Replacement"/>
    <s v="Potential"/>
    <n v="0"/>
    <n v="0"/>
    <n v="0"/>
    <n v="0"/>
    <n v="0"/>
    <n v="0"/>
    <n v="0"/>
    <n v="0"/>
    <m/>
    <m/>
    <m/>
    <s v=""/>
    <s v=""/>
    <s v=""/>
    <s v=""/>
    <s v=""/>
    <n v="291357.39103181043"/>
    <n v="995126.42610229331"/>
    <s v=""/>
    <n v="1286483.8171341037"/>
    <n v="1286483.8171341037"/>
    <n v="1293767.7519098991"/>
    <n v="1293767.7519098991"/>
    <n v="1"/>
    <s v="2023"/>
    <d v="2023-02-13T00:00:00"/>
    <x v="13"/>
    <m/>
    <n v="1143502.1746964902"/>
    <n v="995126.42610229331"/>
  </r>
  <r>
    <x v="265"/>
    <x v="264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461207.30583438021"/>
    <s v=""/>
    <s v=""/>
    <s v=""/>
    <n v="461207.30583438021"/>
    <n v="461207.30583438021"/>
    <n v="484555.92569224566"/>
    <n v="461207.30583438021"/>
    <n v="1.0506249999999999"/>
    <s v="2021"/>
    <d v="2021-03-11T00:00:00"/>
    <x v="15"/>
    <m/>
    <n v="428276.83250968991"/>
    <n v="461207.30583438021"/>
  </r>
  <r>
    <x v="266"/>
    <x v="265"/>
    <x v="0"/>
    <s v="Replacement"/>
    <s v="Potential"/>
    <n v="0"/>
    <n v="0"/>
    <n v="0"/>
    <n v="0"/>
    <n v="0"/>
    <n v="0"/>
    <n v="0"/>
    <n v="0"/>
    <m/>
    <m/>
    <m/>
    <s v=""/>
    <s v=""/>
    <s v=""/>
    <n v="558675.62394219812"/>
    <n v="528399.87496695784"/>
    <n v="11185556.17220577"/>
    <s v=""/>
    <s v=""/>
    <n v="12272631.671114925"/>
    <n v="12272631.671114925"/>
    <n v="12621977.736987453"/>
    <n v="12314124.621451175"/>
    <n v="1.0249999999999999"/>
    <s v="2022"/>
    <d v="2022-02-10T00:00:00"/>
    <x v="14"/>
    <m/>
    <n v="11155989.140948232"/>
    <n v="11185556.17220577"/>
  </r>
  <r>
    <x v="267"/>
    <x v="266"/>
    <x v="0"/>
    <s v="Information Technology"/>
    <s v="Potential"/>
    <n v="0"/>
    <n v="0"/>
    <n v="0"/>
    <n v="0"/>
    <n v="0"/>
    <n v="0"/>
    <n v="0"/>
    <n v="0"/>
    <m/>
    <m/>
    <m/>
    <s v=""/>
    <s v=""/>
    <s v=""/>
    <n v="78125.37783023977"/>
    <n v="565076.1817270125"/>
    <n v="141689.26015333211"/>
    <s v=""/>
    <s v=""/>
    <n v="784890.81971058447"/>
    <n v="784890.81971058447"/>
    <n v="823047.14204407576"/>
    <n v="802972.82150641549"/>
    <n v="1.0249999999999999"/>
    <s v="2022"/>
    <d v="2021-07-08T00:00:00"/>
    <x v="14"/>
    <m/>
    <n v="727453.74540041573"/>
    <n v="141689.26015333211"/>
  </r>
  <r>
    <x v="268"/>
    <x v="267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550185.02145369875"/>
    <n v="8141.6802046776547"/>
    <n v="550185.02145369875"/>
    <n v="550185.02145369875"/>
    <n v="550185.02145369875"/>
    <n v="550185.02145369875"/>
    <n v="1"/>
    <s v="2024"/>
    <d v="2023-04-28T00:00:00"/>
    <x v="13"/>
    <m/>
    <n v="486283.39019038581"/>
    <n v="8141.6802046776547"/>
  </r>
  <r>
    <x v="269"/>
    <x v="268"/>
    <x v="0"/>
    <s v="Information Technology"/>
    <s v="Potential"/>
    <n v="0"/>
    <n v="0"/>
    <n v="0"/>
    <n v="0"/>
    <n v="0"/>
    <n v="0"/>
    <n v="0"/>
    <n v="0"/>
    <m/>
    <m/>
    <m/>
    <s v=""/>
    <s v=""/>
    <n v="109843.83014095959"/>
    <n v="159105.89676443892"/>
    <n v="20340.786097067372"/>
    <s v=""/>
    <s v=""/>
    <s v=""/>
    <n v="289290.51300246589"/>
    <n v="289290.51300246589"/>
    <n v="313957.22266628756"/>
    <n v="291540.49202191504"/>
    <n v="1.0768906249999999"/>
    <s v="2021"/>
    <d v="2020-06-08T00:00:00"/>
    <x v="12"/>
    <m/>
    <n v="277492.43737957417"/>
    <n v="20340.786097067372"/>
  </r>
  <r>
    <x v="270"/>
    <x v="269"/>
    <x v="0"/>
    <s v="Easements/Land"/>
    <s v="Deferred"/>
    <n v="0"/>
    <n v="0"/>
    <n v="0"/>
    <n v="0"/>
    <n v="0"/>
    <n v="0"/>
    <n v="0"/>
    <n v="0"/>
    <m/>
    <m/>
    <n v="8906.7900000000009"/>
    <n v="-8906.7900000000009"/>
    <s v=""/>
    <s v=""/>
    <s v=""/>
    <s v=""/>
    <s v=""/>
    <s v=""/>
    <s v=""/>
    <n v="0"/>
    <n v="17813.580000000002"/>
    <n v="0"/>
    <s v=""/>
    <s v=""/>
    <s v="2017"/>
    <s v=""/>
    <x v="2"/>
    <m/>
    <n v="0"/>
    <n v="-8906.7900000000009"/>
  </r>
  <r>
    <x v="271"/>
    <x v="270"/>
    <x v="0"/>
    <s v="Information Technology"/>
    <s v="Potential"/>
    <n v="0"/>
    <n v="0"/>
    <n v="0"/>
    <n v="0"/>
    <n v="0"/>
    <n v="0"/>
    <n v="0"/>
    <n v="0"/>
    <m/>
    <m/>
    <m/>
    <s v=""/>
    <s v=""/>
    <s v=""/>
    <n v="467418.36665281031"/>
    <n v="235070.88406867269"/>
    <s v=""/>
    <s v=""/>
    <s v=""/>
    <n v="702489.25072148303"/>
    <n v="702489.25072148303"/>
    <n v="750329.80457587319"/>
    <n v="714174.70988780318"/>
    <n v="1.0506249999999999"/>
    <s v="2021"/>
    <d v="2020-09-22T00:00:00"/>
    <x v="15"/>
    <m/>
    <n v="663182.21489559661"/>
    <n v="235070.88406867269"/>
  </r>
  <r>
    <x v="272"/>
    <x v="271"/>
    <x v="0"/>
    <s v="Information Technology"/>
    <s v="Potential"/>
    <n v="0"/>
    <n v="0"/>
    <n v="0"/>
    <n v="0"/>
    <n v="0"/>
    <n v="0"/>
    <n v="0"/>
    <n v="0"/>
    <m/>
    <m/>
    <m/>
    <s v=""/>
    <s v=""/>
    <n v="38578.714824827206"/>
    <n v="251030.45794933234"/>
    <n v="432219.4285981268"/>
    <n v="199132.95488665134"/>
    <s v=""/>
    <s v=""/>
    <n v="920961.55625893769"/>
    <n v="920961.55625893769"/>
    <n v="971127.8454122073"/>
    <n v="947441.80040215352"/>
    <n v="1.0249999999999999"/>
    <s v="2022"/>
    <d v="2021-09-30T00:00:00"/>
    <x v="14"/>
    <m/>
    <n v="858335.50998457172"/>
    <n v="199132.95488665134"/>
  </r>
  <r>
    <x v="273"/>
    <x v="272"/>
    <x v="0"/>
    <s v="Information Technology"/>
    <s v="Potential"/>
    <n v="0"/>
    <n v="0"/>
    <n v="0"/>
    <n v="0"/>
    <n v="0"/>
    <n v="0"/>
    <n v="0"/>
    <n v="0"/>
    <m/>
    <m/>
    <m/>
    <s v=""/>
    <s v=""/>
    <n v="423310.54324111959"/>
    <n v="528354.32952766039"/>
    <n v="2153990.4481626186"/>
    <s v=""/>
    <s v=""/>
    <s v=""/>
    <n v="3105655.3209313983"/>
    <n v="3105655.3209313983"/>
    <n v="3299271.6731143682"/>
    <n v="3140294.2754211714"/>
    <n v="1.0506249999999999"/>
    <s v="2021"/>
    <d v="2021-01-13T00:00:00"/>
    <x v="15"/>
    <m/>
    <n v="2916075.4142707596"/>
    <n v="2153990.4481626186"/>
  </r>
  <r>
    <x v="274"/>
    <x v="273"/>
    <x v="0"/>
    <s v="Augmentation"/>
    <s v="Closed"/>
    <n v="0"/>
    <n v="0"/>
    <n v="0"/>
    <n v="0"/>
    <n v="0"/>
    <n v="0"/>
    <n v="0"/>
    <n v="0"/>
    <m/>
    <m/>
    <n v="40481.32"/>
    <s v=""/>
    <s v=""/>
    <s v=""/>
    <s v=""/>
    <s v=""/>
    <s v=""/>
    <s v=""/>
    <s v=""/>
    <n v="40481.32"/>
    <n v="40481.32"/>
    <n v="47943.846583040213"/>
    <n v="40481.32"/>
    <n v="1.1843449418902401"/>
    <s v="2016"/>
    <d v="2015-11-17T00:00:00"/>
    <x v="9"/>
    <m/>
    <n v="42375.374366912991"/>
    <n v="40481.32"/>
  </r>
  <r>
    <x v="275"/>
    <x v="274"/>
    <x v="0"/>
    <s v="Security/Compliance"/>
    <s v="Active"/>
    <n v="0"/>
    <n v="0"/>
    <n v="0"/>
    <n v="0"/>
    <n v="0"/>
    <n v="0"/>
    <n v="0"/>
    <n v="0"/>
    <m/>
    <m/>
    <n v="48019.06"/>
    <n v="195473.35"/>
    <n v="4540478.6186283464"/>
    <n v="1103159.3433146733"/>
    <s v=""/>
    <s v=""/>
    <s v=""/>
    <s v=""/>
    <s v=""/>
    <n v="5887130.3719430193"/>
    <n v="5887130.3719430193"/>
    <n v="6638376.5913908845"/>
    <n v="6014041.5533941714"/>
    <n v="1.1038128906249998"/>
    <s v="2019"/>
    <d v="2018-09-17T00:00:00"/>
    <x v="10"/>
    <m/>
    <n v="5867357.6130674845"/>
    <n v="1103159.3433146733"/>
  </r>
  <r>
    <x v="276"/>
    <x v="275"/>
    <x v="0"/>
    <s v="Augmentation"/>
    <s v="Potential"/>
    <n v="0"/>
    <n v="0"/>
    <n v="0"/>
    <n v="0"/>
    <n v="0"/>
    <n v="0"/>
    <n v="0"/>
    <n v="0"/>
    <m/>
    <m/>
    <m/>
    <s v=""/>
    <s v=""/>
    <n v="50978.246596344012"/>
    <n v="1512242.6006729228"/>
    <n v="142426.72014809249"/>
    <s v=""/>
    <s v=""/>
    <s v=""/>
    <n v="1705647.5674173594"/>
    <n v="1705647.5674173594"/>
    <n v="1834427.3979803834"/>
    <n v="1703448.2011396317"/>
    <n v="1.0768906249999999"/>
    <s v="2021"/>
    <d v="2020-06-10T00:00:00"/>
    <x v="12"/>
    <m/>
    <n v="1621366.5210133316"/>
    <n v="142426.72014809249"/>
  </r>
  <r>
    <x v="277"/>
    <x v="276"/>
    <x v="0"/>
    <s v="Security/Compliance"/>
    <s v="Closed"/>
    <n v="0"/>
    <n v="0"/>
    <n v="0"/>
    <n v="0"/>
    <n v="0"/>
    <n v="0"/>
    <n v="0"/>
    <n v="0"/>
    <m/>
    <m/>
    <n v="187262.35"/>
    <n v="29471.98"/>
    <s v=""/>
    <s v=""/>
    <s v=""/>
    <s v=""/>
    <s v=""/>
    <s v=""/>
    <s v=""/>
    <n v="216734.33000000002"/>
    <n v="216734.33000000002"/>
    <n v="255961.67825668171"/>
    <n v="220714.95296672769"/>
    <n v="1.1596934182128902"/>
    <s v="2017"/>
    <d v="2016-07-07T00:00:00"/>
    <x v="8"/>
    <m/>
    <n v="226232.8267908959"/>
    <n v="29471.98"/>
  </r>
  <r>
    <x v="278"/>
    <x v="277"/>
    <x v="0"/>
    <s v="Replacement"/>
    <s v="Active"/>
    <n v="0"/>
    <n v="0"/>
    <n v="0"/>
    <n v="0"/>
    <n v="0"/>
    <n v="0"/>
    <n v="0"/>
    <n v="0"/>
    <m/>
    <m/>
    <m/>
    <n v="198898.81"/>
    <n v="1132529.2946075629"/>
    <n v="49107.215419542554"/>
    <s v=""/>
    <s v=""/>
    <s v=""/>
    <s v=""/>
    <s v=""/>
    <n v="1380535.3200271055"/>
    <n v="1380535.3200271055"/>
    <n v="1566219.7635083885"/>
    <n v="1384310.0533156532"/>
    <n v="1.1314082128906247"/>
    <s v="2019"/>
    <d v="2018-03-01T00:00:00"/>
    <x v="5"/>
    <m/>
    <n v="1384310.0533156532"/>
    <n v="49107.215419542554"/>
  </r>
  <r>
    <x v="279"/>
    <x v="278"/>
    <x v="0"/>
    <s v="Replacement"/>
    <s v="Active"/>
    <n v="0"/>
    <n v="0"/>
    <n v="0"/>
    <n v="0"/>
    <n v="0"/>
    <n v="0"/>
    <n v="0"/>
    <n v="0"/>
    <m/>
    <m/>
    <m/>
    <n v="288956.69"/>
    <n v="2288213.8979617842"/>
    <n v="477747.29364202078"/>
    <s v=""/>
    <s v=""/>
    <s v=""/>
    <s v=""/>
    <s v=""/>
    <n v="3054917.8816038049"/>
    <n v="3054917.8816038049"/>
    <n v="3451348.7897292841"/>
    <n v="3050489.4258381459"/>
    <n v="1.1314082128906247"/>
    <s v="2019"/>
    <d v="2018-06-18T00:00:00"/>
    <x v="5"/>
    <m/>
    <n v="3050489.4258381459"/>
    <n v="477747.29364202078"/>
  </r>
  <r>
    <x v="280"/>
    <x v="279"/>
    <x v="0"/>
    <s v="Security/Compliance"/>
    <s v="Potential"/>
    <n v="0"/>
    <n v="0"/>
    <n v="0"/>
    <n v="0"/>
    <n v="0"/>
    <n v="0"/>
    <n v="0"/>
    <n v="0"/>
    <m/>
    <m/>
    <m/>
    <s v=""/>
    <s v=""/>
    <s v=""/>
    <s v=""/>
    <s v=""/>
    <s v=""/>
    <s v=""/>
    <s v=""/>
    <n v="0"/>
    <n v="0"/>
    <n v="0"/>
    <s v=""/>
    <s v=""/>
    <s v=""/>
    <s v=""/>
    <x v="2"/>
    <m/>
    <n v="0"/>
    <n v="0"/>
  </r>
  <r>
    <x v="281"/>
    <x v="280"/>
    <x v="0"/>
    <s v="Replacement"/>
    <s v="Closed"/>
    <n v="0"/>
    <n v="0"/>
    <n v="0"/>
    <n v="0"/>
    <n v="0"/>
    <n v="0"/>
    <n v="0"/>
    <n v="0"/>
    <m/>
    <m/>
    <n v="420650.41"/>
    <n v="62007.65"/>
    <s v=""/>
    <s v=""/>
    <s v=""/>
    <s v=""/>
    <s v=""/>
    <s v=""/>
    <s v=""/>
    <n v="482658.06"/>
    <n v="482658.06"/>
    <n v="570105.04897140409"/>
    <n v="491599.79699630174"/>
    <n v="1.1596934182128902"/>
    <s v="2017"/>
    <d v="2016-12-23T00:00:00"/>
    <x v="8"/>
    <m/>
    <n v="503889.79192120937"/>
    <n v="62007.65"/>
  </r>
  <r>
    <x v="282"/>
    <x v="281"/>
    <x v="0"/>
    <s v="Replacement"/>
    <s v="Active"/>
    <n v="0"/>
    <n v="0"/>
    <n v="0"/>
    <n v="0"/>
    <n v="0"/>
    <n v="0"/>
    <n v="0"/>
    <n v="0"/>
    <m/>
    <m/>
    <n v="1350.18"/>
    <n v="62981.9"/>
    <n v="311222.06213744648"/>
    <n v="1326893.799118899"/>
    <s v=""/>
    <s v=""/>
    <s v=""/>
    <s v=""/>
    <s v=""/>
    <n v="1702447.9412563455"/>
    <n v="1702447.9412563455"/>
    <n v="1891400.4508430667"/>
    <n v="1713515.4580158235"/>
    <n v="1.1038128906249998"/>
    <s v="2019"/>
    <d v="2019-01-28T00:00:00"/>
    <x v="10"/>
    <m/>
    <n v="1671722.3980642185"/>
    <n v="1326893.799118899"/>
  </r>
  <r>
    <x v="283"/>
    <x v="282"/>
    <x v="0"/>
    <s v="Security/Compliance"/>
    <s v="Active"/>
    <n v="0"/>
    <n v="0"/>
    <n v="0"/>
    <n v="0"/>
    <n v="0"/>
    <n v="0"/>
    <n v="0"/>
    <n v="0"/>
    <m/>
    <m/>
    <m/>
    <n v="1158691.8600000001"/>
    <n v="7797297.2977104625"/>
    <n v="3866307.0550413793"/>
    <n v="4102.6235731918887"/>
    <s v=""/>
    <s v=""/>
    <s v=""/>
    <s v=""/>
    <n v="12826398.836325034"/>
    <n v="12826398.836325034"/>
    <n v="14437751.168091271"/>
    <n v="13079889.980190704"/>
    <n v="1.1038128906249998"/>
    <s v="2020"/>
    <d v="2018-07-11T00:00:00"/>
    <x v="10"/>
    <m/>
    <n v="12760868.273356786"/>
    <n v="4102.6235731918887"/>
  </r>
  <r>
    <x v="284"/>
    <x v="283"/>
    <x v="0"/>
    <s v="Security/Compliance"/>
    <s v="Active"/>
    <n v="0"/>
    <n v="0"/>
    <n v="0"/>
    <n v="0"/>
    <n v="0"/>
    <n v="0"/>
    <n v="0"/>
    <n v="0"/>
    <m/>
    <m/>
    <m/>
    <n v="1717.95"/>
    <n v="660080.52682844875"/>
    <n v="259420.38531361753"/>
    <s v=""/>
    <s v=""/>
    <s v=""/>
    <s v=""/>
    <s v=""/>
    <n v="921218.86214206624"/>
    <n v="921218.86214206624"/>
    <n v="1035164.3899307714"/>
    <n v="937807.84653152747"/>
    <n v="1.1038128906249998"/>
    <s v="2019"/>
    <d v="2018-07-09T00:00:00"/>
    <x v="10"/>
    <m/>
    <n v="914934.48442100245"/>
    <n v="259420.38531361753"/>
  </r>
  <r>
    <x v="285"/>
    <x v="284"/>
    <x v="4"/>
    <s v="Augmentation"/>
    <s v="Potential"/>
    <n v="0"/>
    <n v="0"/>
    <n v="0"/>
    <n v="0"/>
    <n v="0"/>
    <n v="0"/>
    <n v="0"/>
    <n v="0"/>
    <m/>
    <m/>
    <m/>
    <n v="159351.10999999999"/>
    <n v="5876837.6319704922"/>
    <n v="0"/>
    <n v="0"/>
    <s v=""/>
    <s v=""/>
    <s v=""/>
    <s v=""/>
    <n v="6036188.7419704925"/>
    <n v="6036188.7419704925"/>
    <n v="6833900.7960880231"/>
    <n v="6040172.519720492"/>
    <n v="1.1314082128906247"/>
    <s v=""/>
    <d v="2018-04-05T00:00:00"/>
    <x v="5"/>
    <m/>
    <n v="6040172.519720492"/>
    <n v="0"/>
  </r>
  <r>
    <x v="286"/>
    <x v="285"/>
    <x v="0"/>
    <s v="Inventory/Spares"/>
    <s v="Active"/>
    <n v="0"/>
    <n v="0"/>
    <n v="0"/>
    <n v="0"/>
    <n v="0"/>
    <n v="0"/>
    <n v="0"/>
    <n v="0"/>
    <m/>
    <m/>
    <n v="334653.59999999998"/>
    <n v="2606238.6"/>
    <n v="473273.32775072841"/>
    <s v=""/>
    <s v=""/>
    <s v=""/>
    <s v=""/>
    <s v=""/>
    <s v=""/>
    <n v="3414165.5277507287"/>
    <n v="3414165.5277507287"/>
    <n v="3954248.3791169878"/>
    <n v="3494979.3841555333"/>
    <n v="1.1314082128906247"/>
    <s v="2018"/>
    <d v="2017-06-27T00:00:00"/>
    <x v="5"/>
    <m/>
    <n v="3494979.3841555333"/>
    <n v="473273.32775072841"/>
  </r>
  <r>
    <x v="287"/>
    <x v="286"/>
    <x v="0"/>
    <s v="Facilities"/>
    <s v="Active"/>
    <n v="0"/>
    <n v="0"/>
    <n v="0"/>
    <n v="0"/>
    <n v="0"/>
    <n v="0"/>
    <n v="0"/>
    <n v="0"/>
    <m/>
    <m/>
    <m/>
    <n v="6110.72"/>
    <n v="279929.10486943775"/>
    <s v=""/>
    <s v=""/>
    <s v=""/>
    <s v=""/>
    <s v=""/>
    <s v=""/>
    <n v="286039.82486943773"/>
    <n v="286039.82486943773"/>
    <n v="323800.65004094475"/>
    <n v="286192.59286943782"/>
    <n v="1.1314082128906247"/>
    <s v="2018"/>
    <d v="2017-10-24T00:00:00"/>
    <x v="5"/>
    <m/>
    <n v="286192.59286943777"/>
    <n v="279929.10486943775"/>
  </r>
  <r>
    <x v="288"/>
    <x v="287"/>
    <x v="0"/>
    <s v="Facilities"/>
    <s v="Active"/>
    <n v="0"/>
    <n v="0"/>
    <n v="0"/>
    <n v="0"/>
    <n v="0"/>
    <n v="0"/>
    <n v="0"/>
    <n v="0"/>
    <m/>
    <m/>
    <m/>
    <n v="14198.62"/>
    <n v="836883.28798430087"/>
    <s v=""/>
    <s v=""/>
    <s v=""/>
    <s v=""/>
    <s v=""/>
    <s v=""/>
    <n v="851081.90798430087"/>
    <n v="851081.90798430087"/>
    <n v="963322.67141805368"/>
    <n v="851436.8734843008"/>
    <n v="1.1314082128906247"/>
    <s v="2018"/>
    <d v="2017-07-07T00:00:00"/>
    <x v="5"/>
    <m/>
    <n v="851436.87348430092"/>
    <n v="836883.28798430087"/>
  </r>
  <r>
    <x v="289"/>
    <x v="288"/>
    <x v="0"/>
    <s v="Refurbishment"/>
    <s v="Potential"/>
    <n v="0"/>
    <n v="0"/>
    <n v="0"/>
    <n v="0"/>
    <n v="0"/>
    <n v="0"/>
    <n v="0"/>
    <n v="0"/>
    <m/>
    <m/>
    <m/>
    <s v=""/>
    <s v=""/>
    <n v="981622.43598361488"/>
    <n v="11593858.042678086"/>
    <n v="16637908.767530857"/>
    <n v="8982024.2991171069"/>
    <s v=""/>
    <s v=""/>
    <n v="38195413.545309663"/>
    <n v="38195413.545309663"/>
    <n v="40255622.337788448"/>
    <n v="39273777.890525319"/>
    <n v="1.0249999999999999"/>
    <s v="2022"/>
    <d v="2021-11-12T00:00:00"/>
    <x v="14"/>
    <m/>
    <n v="35580104.403643772"/>
    <n v="8982024.2991171069"/>
  </r>
  <r>
    <x v="290"/>
    <x v="289"/>
    <x v="0"/>
    <s v="Refurbishment"/>
    <s v="Potential"/>
    <n v="0"/>
    <n v="0"/>
    <n v="0"/>
    <n v="0"/>
    <n v="0"/>
    <n v="0"/>
    <n v="0"/>
    <n v="0"/>
    <m/>
    <m/>
    <m/>
    <s v=""/>
    <s v=""/>
    <n v="893060.84266640362"/>
    <n v="8769708.8522280343"/>
    <n v="12367911.405371292"/>
    <n v="12762936.484755663"/>
    <n v="6852911.7943860535"/>
    <s v=""/>
    <n v="41646529.379407443"/>
    <n v="41646529.379407443"/>
    <n v="43358747.928720303"/>
    <n v="43358747.928720303"/>
    <n v="1"/>
    <s v="2023"/>
    <d v="2022-11-11T00:00:00"/>
    <x v="13"/>
    <m/>
    <n v="38322815.26217971"/>
    <n v="6852911.7943860535"/>
  </r>
  <r>
    <x v="291"/>
    <x v="290"/>
    <x v="0"/>
    <s v="Facilities"/>
    <s v="Closed"/>
    <n v="0"/>
    <n v="0"/>
    <n v="0"/>
    <n v="0"/>
    <n v="0"/>
    <n v="0"/>
    <n v="0"/>
    <n v="0"/>
    <m/>
    <m/>
    <m/>
    <n v="185471.46"/>
    <s v=""/>
    <s v=""/>
    <s v=""/>
    <s v=""/>
    <s v=""/>
    <s v=""/>
    <s v=""/>
    <n v="185471.46"/>
    <n v="185471.46"/>
    <n v="215090.03142833532"/>
    <n v="185471.46"/>
    <n v="1.1596934182128902"/>
    <s v="2017"/>
    <d v="2016-09-02T00:00:00"/>
    <x v="8"/>
    <m/>
    <n v="190108.24649999998"/>
    <n v="185471.46"/>
  </r>
  <r>
    <x v="292"/>
    <x v="291"/>
    <x v="0"/>
    <s v="Security/Compliance"/>
    <s v="Potential"/>
    <n v="0"/>
    <n v="0"/>
    <n v="0"/>
    <n v="0"/>
    <n v="0"/>
    <n v="0"/>
    <n v="0"/>
    <n v="0"/>
    <m/>
    <m/>
    <m/>
    <s v=""/>
    <s v=""/>
    <n v="138269.70333076845"/>
    <s v=""/>
    <s v=""/>
    <s v=""/>
    <s v=""/>
    <s v=""/>
    <n v="138269.70333076845"/>
    <n v="138269.70333076845"/>
    <n v="152623.88091939667"/>
    <n v="138269.70333076845"/>
    <n v="1.1038128906249998"/>
    <s v="2019"/>
    <d v="2019-04-08T00:00:00"/>
    <x v="10"/>
    <m/>
    <n v="134897.27154221313"/>
    <n v="138269.70333076845"/>
  </r>
  <r>
    <x v="293"/>
    <x v="292"/>
    <x v="1"/>
    <s v="Augmentation"/>
    <s v="Active"/>
    <n v="0"/>
    <n v="0"/>
    <n v="0"/>
    <n v="0"/>
    <n v="0"/>
    <n v="0"/>
    <n v="0"/>
    <n v="0"/>
    <m/>
    <m/>
    <m/>
    <n v="1402875.54"/>
    <n v="1048730.8432517184"/>
    <s v=""/>
    <s v=""/>
    <s v=""/>
    <s v=""/>
    <s v=""/>
    <s v=""/>
    <n v="2451606.3832517182"/>
    <n v="2451606.3832517182"/>
    <n v="2813448.2194765587"/>
    <n v="2486678.2717517181"/>
    <n v="1.1314082128906247"/>
    <s v="2018"/>
    <m/>
    <x v="6"/>
    <m/>
    <n v="2486678.2717517186"/>
    <n v="1048730.8432517184"/>
  </r>
  <r>
    <x v="294"/>
    <x v="293"/>
    <x v="1"/>
    <s v="Augmentation"/>
    <s v="Active"/>
    <n v="0"/>
    <n v="0"/>
    <n v="0"/>
    <n v="0"/>
    <n v="0"/>
    <n v="0"/>
    <n v="0"/>
    <n v="0"/>
    <m/>
    <m/>
    <m/>
    <n v="110928.9"/>
    <n v="398209.81366369047"/>
    <s v=""/>
    <s v=""/>
    <s v=""/>
    <s v=""/>
    <s v=""/>
    <s v=""/>
    <n v="509138.71366369049"/>
    <n v="509138.71366369049"/>
    <n v="579181.36885234062"/>
    <n v="511911.93616369052"/>
    <n v="1.1314082128906247"/>
    <s v="2018"/>
    <m/>
    <x v="6"/>
    <m/>
    <n v="511911.93616369047"/>
    <n v="398209.81366369047"/>
  </r>
  <r>
    <x v="295"/>
    <x v="294"/>
    <x v="0"/>
    <s v="Augmentation"/>
    <s v="Potential"/>
    <n v="0"/>
    <n v="0"/>
    <n v="0"/>
    <n v="0"/>
    <n v="0"/>
    <n v="0"/>
    <n v="0"/>
    <n v="0"/>
    <m/>
    <m/>
    <m/>
    <s v=""/>
    <n v="26426.390524435621"/>
    <n v="584.72218071822135"/>
    <s v=""/>
    <s v=""/>
    <s v=""/>
    <s v=""/>
    <s v=""/>
    <n v="27011.112705153842"/>
    <n v="27011.112705153842"/>
    <n v="30544.459156912577"/>
    <n v="26996.851188550958"/>
    <n v="1.1314082128906247"/>
    <s v="2019"/>
    <d v="2018-05-01T00:00:00"/>
    <x v="5"/>
    <m/>
    <n v="26996.851188550958"/>
    <n v="584.72218071822135"/>
  </r>
  <r>
    <x v="296"/>
    <x v="295"/>
    <x v="0"/>
    <s v="Replacement"/>
    <s v="Potential"/>
    <n v="0"/>
    <n v="0"/>
    <n v="0"/>
    <n v="0"/>
    <n v="0"/>
    <n v="0"/>
    <n v="0"/>
    <n v="0"/>
    <m/>
    <m/>
    <m/>
    <s v=""/>
    <s v=""/>
    <n v="20456.383356597355"/>
    <s v=""/>
    <n v="140156.23658971122"/>
    <n v="1376849.6000700854"/>
    <n v="1307853.9489850539"/>
    <s v=""/>
    <n v="2845316.169001448"/>
    <n v="2845316.169001448"/>
    <n v="2888956.4547685357"/>
    <n v="2888956.4547685357"/>
    <n v="1"/>
    <s v="2023"/>
    <d v="2023-01-25T00:00:00"/>
    <x v="13"/>
    <m/>
    <n v="2553416.5492643602"/>
    <n v="1307853.9489850539"/>
  </r>
  <r>
    <x v="297"/>
    <x v="296"/>
    <x v="0"/>
    <s v="Facilities"/>
    <s v="Active"/>
    <n v="0"/>
    <n v="0"/>
    <n v="0"/>
    <n v="0"/>
    <n v="0"/>
    <n v="0"/>
    <n v="0"/>
    <n v="0"/>
    <m/>
    <m/>
    <m/>
    <n v="57915.38"/>
    <n v="1936654.9689461312"/>
    <s v=""/>
    <s v=""/>
    <s v=""/>
    <s v=""/>
    <s v=""/>
    <s v=""/>
    <n v="1994570.3489461311"/>
    <n v="1994570.3489461311"/>
    <n v="2258311.4224003893"/>
    <n v="1996018.2334461315"/>
    <n v="1.1314082128906247"/>
    <s v="2018"/>
    <d v="2018-03-19T00:00:00"/>
    <x v="5"/>
    <m/>
    <n v="1996018.2334461312"/>
    <n v="1936654.9689461312"/>
  </r>
  <r>
    <x v="298"/>
    <x v="297"/>
    <x v="0"/>
    <s v="Replacement"/>
    <s v="Active"/>
    <n v="0"/>
    <n v="0"/>
    <n v="0"/>
    <n v="0"/>
    <n v="0"/>
    <n v="0"/>
    <n v="0"/>
    <n v="0"/>
    <m/>
    <m/>
    <m/>
    <n v="126987.51"/>
    <n v="638480.2871535751"/>
    <s v=""/>
    <s v=""/>
    <s v=""/>
    <s v=""/>
    <s v=""/>
    <s v=""/>
    <n v="765467.79715357511"/>
    <n v="765467.79715357511"/>
    <n v="869648.42019656277"/>
    <n v="768642.48490357504"/>
    <n v="1.1314082128906247"/>
    <s v="2018"/>
    <d v="2017-06-29T00:00:00"/>
    <x v="5"/>
    <m/>
    <n v="768642.48490357504"/>
    <n v="638480.2871535751"/>
  </r>
  <r>
    <x v="299"/>
    <x v="298"/>
    <x v="0"/>
    <s v="Replacement"/>
    <s v="Potential"/>
    <n v="0"/>
    <n v="0"/>
    <n v="0"/>
    <n v="0"/>
    <n v="0"/>
    <n v="0"/>
    <n v="0"/>
    <n v="0"/>
    <m/>
    <m/>
    <m/>
    <n v="93300.67"/>
    <n v="2599125.4503873312"/>
    <s v=""/>
    <s v=""/>
    <s v=""/>
    <s v=""/>
    <s v=""/>
    <s v=""/>
    <n v="2692426.1203873311"/>
    <n v="2692426.1203873311"/>
    <n v="3048872.0538151232"/>
    <n v="2762127.6030657641"/>
    <n v="1.1038128906249998"/>
    <s v="2018"/>
    <d v="2018-07-10T00:00:00"/>
    <x v="10"/>
    <m/>
    <n v="2694758.6371373311"/>
    <n v="2599125.4503873312"/>
  </r>
  <r>
    <x v="300"/>
    <x v="299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973733.72760446521"/>
    <n v="3985327.7143492382"/>
    <s v=""/>
    <s v=""/>
    <n v="4959061.4419537038"/>
    <n v="4959061.4419537038"/>
    <n v="5107989.9047724102"/>
    <n v="4983404.785143815"/>
    <n v="1.0249999999999999"/>
    <s v="2022"/>
    <d v="2022-04-08T00:00:00"/>
    <x v="14"/>
    <m/>
    <n v="4514718.7783992244"/>
    <n v="3985327.7143492382"/>
  </r>
  <r>
    <x v="301"/>
    <x v="300"/>
    <x v="0"/>
    <s v="Replacement"/>
    <s v="Closed"/>
    <n v="0"/>
    <n v="0"/>
    <n v="0"/>
    <n v="0"/>
    <n v="0"/>
    <n v="0"/>
    <n v="0"/>
    <n v="0"/>
    <m/>
    <m/>
    <m/>
    <n v="53395.19"/>
    <s v=""/>
    <s v=""/>
    <s v=""/>
    <s v=""/>
    <s v=""/>
    <s v=""/>
    <s v=""/>
    <n v="53395.19"/>
    <n v="53395.19"/>
    <n v="61922.050407226736"/>
    <n v="53395.19"/>
    <n v="1.1596934182128902"/>
    <s v="2017"/>
    <d v="2016-11-30T00:00:00"/>
    <x v="8"/>
    <m/>
    <n v="54730.069749999995"/>
    <n v="53395.19"/>
  </r>
  <r>
    <x v="302"/>
    <x v="301"/>
    <x v="0"/>
    <s v="Facilities"/>
    <s v="Active"/>
    <n v="0"/>
    <n v="0"/>
    <n v="0"/>
    <n v="0"/>
    <n v="0"/>
    <n v="0"/>
    <n v="0"/>
    <n v="0"/>
    <m/>
    <m/>
    <m/>
    <n v="115672.59"/>
    <n v="13224.75805028069"/>
    <s v=""/>
    <s v=""/>
    <s v=""/>
    <s v=""/>
    <s v=""/>
    <s v=""/>
    <n v="128897.34805028069"/>
    <n v="128897.34805028069"/>
    <n v="149107.34116221714"/>
    <n v="131789.16280028067"/>
    <n v="1.1314082128906247"/>
    <s v="2018"/>
    <d v="2017-04-21T00:00:00"/>
    <x v="0"/>
    <m/>
    <n v="131789.16280028067"/>
    <n v="13224.75805028069"/>
  </r>
  <r>
    <x v="303"/>
    <x v="302"/>
    <x v="0"/>
    <s v="Security/Compliance"/>
    <s v="Active"/>
    <m/>
    <m/>
    <m/>
    <m/>
    <m/>
    <m/>
    <m/>
    <m/>
    <m/>
    <m/>
    <m/>
    <n v="112917.27"/>
    <n v="466456.16548480111"/>
    <s v=""/>
    <s v=""/>
    <s v=""/>
    <s v=""/>
    <s v=""/>
    <s v=""/>
    <n v="579373.43548480107"/>
    <n v="579373.43548480107"/>
    <n v="658701.75140454015"/>
    <n v="582196.36723480106"/>
    <n v="1.1314082128906247"/>
    <s v="2018"/>
    <d v="2017-06-26T00:00:00"/>
    <x v="5"/>
    <m/>
    <n v="582196.36723480106"/>
    <n v="466456.16548480111"/>
  </r>
  <r>
    <x v="304"/>
    <x v="303"/>
    <x v="0"/>
    <s v="Facilities"/>
    <s v="Active"/>
    <m/>
    <m/>
    <m/>
    <m/>
    <m/>
    <m/>
    <m/>
    <m/>
    <m/>
    <m/>
    <m/>
    <n v="33336.53"/>
    <n v="5690391.5036444636"/>
    <s v=""/>
    <s v=""/>
    <s v=""/>
    <s v=""/>
    <s v=""/>
    <s v=""/>
    <n v="5723728.0336444639"/>
    <n v="5723728.0336444639"/>
    <n v="6476815.8362134332"/>
    <n v="5724561.4468944632"/>
    <n v="1.1314082128906247"/>
    <s v="2018"/>
    <d v="2018-05-04T00:00:00"/>
    <x v="5"/>
    <m/>
    <n v="5724561.4468944632"/>
    <n v="5690391.5036444636"/>
  </r>
  <r>
    <x v="305"/>
    <x v="304"/>
    <x v="0"/>
    <s v="Inventory/Spares"/>
    <s v="Active"/>
    <m/>
    <m/>
    <m/>
    <m/>
    <m/>
    <m/>
    <m/>
    <m/>
    <m/>
    <m/>
    <m/>
    <n v="1148062.3400000001"/>
    <n v="1824284.9417204317"/>
    <s v=""/>
    <s v=""/>
    <s v=""/>
    <s v=""/>
    <s v=""/>
    <s v=""/>
    <n v="2972347.2817204315"/>
    <n v="2972347.2817204315"/>
    <n v="3395411.3051112802"/>
    <n v="3001048.8402204313"/>
    <n v="1.1314082128906247"/>
    <s v="2018"/>
    <d v="2017-08-16T00:00:00"/>
    <x v="5"/>
    <m/>
    <n v="3001048.8402204318"/>
    <n v="1824284.9417204317"/>
  </r>
  <r>
    <x v="306"/>
    <x v="305"/>
    <x v="0"/>
    <s v="Augmentation"/>
    <s v="Active"/>
    <m/>
    <m/>
    <m/>
    <m/>
    <m/>
    <m/>
    <m/>
    <m/>
    <m/>
    <m/>
    <m/>
    <n v="177945.1"/>
    <n v="2842992.0726030068"/>
    <n v="523764.40555666306"/>
    <s v=""/>
    <s v=""/>
    <s v=""/>
    <s v=""/>
    <s v=""/>
    <n v="3544701.5781596699"/>
    <n v="3544701.5781596699"/>
    <n v="4001084.2439032006"/>
    <n v="3624784.8506622449"/>
    <n v="1.1038128906249998"/>
    <s v="2019"/>
    <d v="2018-06-19T00:00:00"/>
    <x v="10"/>
    <m/>
    <n v="3536375.464060727"/>
    <n v="523764.40555666306"/>
  </r>
  <r>
    <x v="307"/>
    <x v="306"/>
    <x v="0"/>
    <s v="Augmentation"/>
    <s v="Active"/>
    <m/>
    <m/>
    <m/>
    <m/>
    <m/>
    <m/>
    <m/>
    <m/>
    <m/>
    <m/>
    <m/>
    <n v="56209.279999999999"/>
    <n v="2731781.2206110707"/>
    <n v="1020157.0056801342"/>
    <s v=""/>
    <s v=""/>
    <s v=""/>
    <s v=""/>
    <s v=""/>
    <n v="3808147.5062912046"/>
    <n v="3808147.5062912046"/>
    <n v="4282007.6942093596"/>
    <n v="3879287.6316064815"/>
    <n v="1.1038128906249998"/>
    <s v="2019"/>
    <d v="2018-06-27T00:00:00"/>
    <x v="10"/>
    <m/>
    <n v="3784670.8601038847"/>
    <n v="1020157.0056801342"/>
  </r>
  <r>
    <x v="308"/>
    <x v="307"/>
    <x v="0"/>
    <s v="Security/Compliance"/>
    <s v="Potential"/>
    <m/>
    <m/>
    <m/>
    <m/>
    <m/>
    <m/>
    <m/>
    <m/>
    <m/>
    <m/>
    <m/>
    <s v=""/>
    <n v="21909.708635922281"/>
    <n v="411028.92571338237"/>
    <s v=""/>
    <s v=""/>
    <s v=""/>
    <s v=""/>
    <s v=""/>
    <n v="432938.63434930466"/>
    <n v="432938.63434930466"/>
    <n v="478487.85091489996"/>
    <n v="433486.37706520269"/>
    <n v="1.1038128906249998"/>
    <s v="2019"/>
    <d v="2019-03-01T00:00:00"/>
    <x v="10"/>
    <m/>
    <n v="422913.53860019782"/>
    <n v="411028.92571338237"/>
  </r>
  <r>
    <x v="309"/>
    <x v="308"/>
    <x v="0"/>
    <s v="Replacement"/>
    <s v="Active"/>
    <m/>
    <m/>
    <m/>
    <m/>
    <m/>
    <m/>
    <m/>
    <m/>
    <m/>
    <m/>
    <m/>
    <n v="32144.98"/>
    <n v="931056.05268294213"/>
    <s v=""/>
    <s v=""/>
    <s v=""/>
    <s v=""/>
    <s v=""/>
    <s v=""/>
    <n v="963201.03268294211"/>
    <n v="963201.03268294211"/>
    <n v="1090682.786401592"/>
    <n v="964004.65718294226"/>
    <n v="1.1314082128906247"/>
    <s v="2018"/>
    <d v="2017-09-29T00:00:00"/>
    <x v="5"/>
    <m/>
    <n v="964004.65718294214"/>
    <n v="931056.05268294213"/>
  </r>
  <r>
    <x v="310"/>
    <x v="309"/>
    <x v="0"/>
    <s v="Security/Compliance"/>
    <s v="Active"/>
    <m/>
    <m/>
    <m/>
    <m/>
    <m/>
    <m/>
    <m/>
    <m/>
    <m/>
    <m/>
    <m/>
    <n v="37331.14"/>
    <n v="1936235.8345369927"/>
    <s v=""/>
    <s v=""/>
    <s v=""/>
    <s v=""/>
    <s v=""/>
    <s v=""/>
    <n v="1973566.9745369926"/>
    <n v="1973566.9745369926"/>
    <n v="2233965.80264067"/>
    <n v="1974500.2530369926"/>
    <n v="1.1314082128906247"/>
    <s v="2018"/>
    <d v="2018-05-09T00:00:00"/>
    <x v="5"/>
    <m/>
    <n v="1974500.2530369926"/>
    <n v="1936235.8345369927"/>
  </r>
  <r>
    <x v="311"/>
    <x v="310"/>
    <x v="0"/>
    <s v="Security/Compliance"/>
    <s v="Potential"/>
    <m/>
    <m/>
    <m/>
    <m/>
    <m/>
    <m/>
    <m/>
    <m/>
    <m/>
    <m/>
    <m/>
    <n v="19135.87"/>
    <n v="621427.81225323619"/>
    <n v="1899988.9884543"/>
    <n v="6434.9404926955485"/>
    <s v=""/>
    <s v=""/>
    <s v=""/>
    <s v=""/>
    <n v="2546987.6112002316"/>
    <n v="2546987.6112002316"/>
    <n v="2829442.3375831693"/>
    <n v="2563335.1101571983"/>
    <n v="1.1038128906249998"/>
    <s v="2020"/>
    <d v="2018-02-28T00:00:00"/>
    <x v="10"/>
    <m/>
    <n v="2500814.7416167785"/>
    <n v="6434.9404926955485"/>
  </r>
  <r>
    <x v="312"/>
    <x v="311"/>
    <x v="0"/>
    <s v="Security/Compliance"/>
    <s v="Potential"/>
    <m/>
    <m/>
    <m/>
    <m/>
    <m/>
    <m/>
    <m/>
    <m/>
    <m/>
    <m/>
    <m/>
    <n v="36152.019999999997"/>
    <n v="214686.61189878406"/>
    <s v=""/>
    <s v=""/>
    <s v=""/>
    <s v=""/>
    <s v=""/>
    <s v=""/>
    <n v="250838.63189878405"/>
    <n v="250838.63189878405"/>
    <n v="284823.45554904715"/>
    <n v="251742.43239878406"/>
    <n v="1.1314082128906247"/>
    <s v="2018"/>
    <d v="2018-02-28T00:00:00"/>
    <x v="5"/>
    <m/>
    <n v="251742.43239878406"/>
    <n v="214686.61189878406"/>
  </r>
  <r>
    <x v="313"/>
    <x v="312"/>
    <x v="0"/>
    <s v="Security/Compliance"/>
    <s v="Potential"/>
    <m/>
    <m/>
    <m/>
    <m/>
    <m/>
    <m/>
    <m/>
    <m/>
    <m/>
    <m/>
    <m/>
    <n v="4901.7299999999996"/>
    <n v="578615.81892790028"/>
    <n v="590.80904795664753"/>
    <s v=""/>
    <s v=""/>
    <s v=""/>
    <s v=""/>
    <s v=""/>
    <n v="584108.35797585687"/>
    <n v="584108.35797585687"/>
    <n v="660987.33630535007"/>
    <n v="584216.49124907749"/>
    <n v="1.1314082128906247"/>
    <s v="2019"/>
    <d v="2018-03-20T00:00:00"/>
    <x v="5"/>
    <m/>
    <n v="584216.49124907749"/>
    <n v="590.80904795664753"/>
  </r>
  <r>
    <x v="314"/>
    <x v="313"/>
    <x v="0"/>
    <s v="Replacement"/>
    <s v="Potential"/>
    <m/>
    <m/>
    <m/>
    <m/>
    <m/>
    <m/>
    <m/>
    <m/>
    <m/>
    <m/>
    <m/>
    <s v=""/>
    <s v=""/>
    <s v=""/>
    <s v=""/>
    <n v="78469.767446202633"/>
    <n v="874259.33391602221"/>
    <n v="440047.36282926705"/>
    <s v=""/>
    <n v="1392776.4641914919"/>
    <n v="1392776.4641914919"/>
    <n v="1418605.4795163563"/>
    <n v="1418605.4795163563"/>
    <n v="1"/>
    <s v="2023"/>
    <d v="2022-10-19T00:00:00"/>
    <x v="13"/>
    <m/>
    <n v="1253840.5354968866"/>
    <n v="440047.36282926705"/>
  </r>
  <r>
    <x v="315"/>
    <x v="314"/>
    <x v="0"/>
    <s v="Security/Compliance"/>
    <s v="Potential"/>
    <m/>
    <m/>
    <m/>
    <m/>
    <m/>
    <m/>
    <m/>
    <m/>
    <m/>
    <m/>
    <m/>
    <n v="3990.84"/>
    <n v="359276.21140914783"/>
    <s v=""/>
    <s v=""/>
    <s v=""/>
    <s v=""/>
    <s v=""/>
    <s v=""/>
    <n v="363267.05140914785"/>
    <n v="363267.05140914785"/>
    <n v="411116.2071656789"/>
    <n v="363366.8224091478"/>
    <n v="1.1314082128906247"/>
    <s v="2018"/>
    <d v="2018-03-20T00:00:00"/>
    <x v="5"/>
    <m/>
    <n v="363366.8224091478"/>
    <n v="359276.21140914783"/>
  </r>
  <r>
    <x v="316"/>
    <x v="315"/>
    <x v="0"/>
    <s v="Replacement"/>
    <s v="Potential"/>
    <m/>
    <m/>
    <m/>
    <m/>
    <m/>
    <m/>
    <m/>
    <m/>
    <m/>
    <m/>
    <m/>
    <s v=""/>
    <s v=""/>
    <n v="464552.38419734826"/>
    <n v="433788.47017189156"/>
    <n v="443751.95559308876"/>
    <n v="457843.62697682221"/>
    <n v="371186.57565482188"/>
    <s v=""/>
    <n v="2171123.0125939725"/>
    <n v="2171123.0125939725"/>
    <n v="2286614.8384598661"/>
    <n v="2286614.8384598661"/>
    <n v="1"/>
    <s v="2023"/>
    <d v="2023-02-17T00:00:00"/>
    <x v="13"/>
    <m/>
    <n v="2021034.3290842958"/>
    <n v="371186.57565482188"/>
  </r>
  <r>
    <x v="317"/>
    <x v="316"/>
    <x v="0"/>
    <s v="Security/Compliance"/>
    <s v="Potential"/>
    <m/>
    <m/>
    <m/>
    <m/>
    <m/>
    <m/>
    <m/>
    <m/>
    <m/>
    <m/>
    <m/>
    <n v="3215.52"/>
    <n v="247273.09891425667"/>
    <s v=""/>
    <s v=""/>
    <s v=""/>
    <s v=""/>
    <s v=""/>
    <s v=""/>
    <n v="250488.61891425666"/>
    <n v="250488.61891425666"/>
    <n v="283495.83231863775"/>
    <n v="250569.00691425669"/>
    <n v="1.1314082128906247"/>
    <s v="2018"/>
    <d v="2018-01-10T00:00:00"/>
    <x v="5"/>
    <m/>
    <n v="250569.00691425666"/>
    <n v="247273.09891425667"/>
  </r>
  <r>
    <x v="318"/>
    <x v="317"/>
    <x v="0"/>
    <s v="Security/Compliance"/>
    <s v="Potential"/>
    <m/>
    <m/>
    <m/>
    <m/>
    <m/>
    <m/>
    <m/>
    <m/>
    <m/>
    <m/>
    <m/>
    <s v=""/>
    <n v="2116374.3376363064"/>
    <n v="2644173.3628576193"/>
    <n v="650082.61917410721"/>
    <s v=""/>
    <s v=""/>
    <s v=""/>
    <s v=""/>
    <n v="5410630.3196680332"/>
    <n v="5410630.3196680332"/>
    <n v="6013223.8281862093"/>
    <n v="5583876.1045823107"/>
    <n v="1.0768906249999999"/>
    <s v="2020"/>
    <d v="2019-07-26T00:00:00"/>
    <x v="12"/>
    <m/>
    <n v="5314813.6628980953"/>
    <n v="650082.61917410721"/>
  </r>
  <r>
    <x v="319"/>
    <x v="318"/>
    <x v="0"/>
    <s v="Security/Compliance"/>
    <s v="Potential"/>
    <m/>
    <m/>
    <m/>
    <m/>
    <m/>
    <m/>
    <m/>
    <m/>
    <m/>
    <m/>
    <m/>
    <s v=""/>
    <s v=""/>
    <n v="4228096.7616556613"/>
    <n v="3625979.3880028799"/>
    <s v=""/>
    <s v=""/>
    <s v=""/>
    <s v=""/>
    <n v="7854076.1496585412"/>
    <n v="7854076.1496585412"/>
    <n v="8571810.9177088737"/>
    <n v="7959778.5686999317"/>
    <n v="1.0768906249999999"/>
    <s v="2020"/>
    <d v="2019-08-09T00:00:00"/>
    <x v="12"/>
    <m/>
    <n v="7576231.8321950585"/>
    <n v="3625979.3880028799"/>
  </r>
  <r>
    <x v="320"/>
    <x v="319"/>
    <x v="0"/>
    <s v="Security/Compliance"/>
    <s v="Potential"/>
    <m/>
    <m/>
    <m/>
    <m/>
    <m/>
    <m/>
    <m/>
    <m/>
    <m/>
    <m/>
    <m/>
    <n v="16201.47"/>
    <n v="1331219.0376275117"/>
    <n v="1110383.0313722312"/>
    <n v="3761.2822447113522"/>
    <s v=""/>
    <s v=""/>
    <s v=""/>
    <s v=""/>
    <n v="2461564.821244454"/>
    <n v="2461564.821244454"/>
    <n v="2754646.4835997345"/>
    <n v="2434706.1053781048"/>
    <n v="1.1314082128906247"/>
    <s v="2020"/>
    <d v="2018-02-19T00:00:00"/>
    <x v="5"/>
    <m/>
    <n v="2434706.1053781053"/>
    <n v="3761.2822447113522"/>
  </r>
  <r>
    <x v="321"/>
    <x v="320"/>
    <x v="0"/>
    <s v="Security/Compliance"/>
    <s v="Potential"/>
    <m/>
    <m/>
    <m/>
    <m/>
    <m/>
    <m/>
    <m/>
    <m/>
    <m/>
    <m/>
    <m/>
    <s v=""/>
    <s v=""/>
    <n v="1632133.4070524124"/>
    <n v="2088721.3702346112"/>
    <s v=""/>
    <s v=""/>
    <s v=""/>
    <s v=""/>
    <n v="3720854.7772870236"/>
    <n v="3720854.7772870236"/>
    <n v="4050894.3557669595"/>
    <n v="3761658.1124633341"/>
    <n v="1.0768906249999999"/>
    <s v="2020"/>
    <d v="2019-10-10T00:00:00"/>
    <x v="12"/>
    <m/>
    <n v="3580400.3449978195"/>
    <n v="2088721.3702346112"/>
  </r>
  <r>
    <x v="322"/>
    <x v="321"/>
    <x v="0"/>
    <s v="Security/Compliance"/>
    <s v="Potential"/>
    <m/>
    <m/>
    <m/>
    <m/>
    <m/>
    <m/>
    <m/>
    <m/>
    <m/>
    <m/>
    <m/>
    <s v=""/>
    <s v=""/>
    <s v=""/>
    <s v=""/>
    <n v="292810.15291443741"/>
    <n v="3094514.0579186524"/>
    <n v="1535183.7560033598"/>
    <s v=""/>
    <n v="4922507.9668364497"/>
    <n v="4922507.9668364497"/>
    <n v="5014694.3322757091"/>
    <n v="5014694.3322757091"/>
    <n v="1"/>
    <s v="2023"/>
    <d v="2022-10-19T00:00:00"/>
    <x v="13"/>
    <m/>
    <n v="4432259.0866330303"/>
    <n v="1535183.7560033598"/>
  </r>
  <r>
    <x v="323"/>
    <x v="322"/>
    <x v="0"/>
    <s v="Security/Compliance"/>
    <s v="Potential"/>
    <m/>
    <m/>
    <m/>
    <m/>
    <m/>
    <m/>
    <m/>
    <m/>
    <m/>
    <m/>
    <m/>
    <s v=""/>
    <s v=""/>
    <n v="41864.808603458383"/>
    <n v="1348898.8850012699"/>
    <n v="3179956.3540108306"/>
    <n v="144059.17067005538"/>
    <s v=""/>
    <s v=""/>
    <n v="4714779.2182856146"/>
    <n v="4714779.2182856146"/>
    <n v="4987429.7731003016"/>
    <n v="4747107.4580371706"/>
    <n v="1.0506249999999999"/>
    <s v="2022"/>
    <d v="2021-05-21T00:00:00"/>
    <x v="15"/>
    <m/>
    <n v="4408161.1891060621"/>
    <n v="144059.17067005538"/>
  </r>
  <r>
    <x v="324"/>
    <x v="30"/>
    <x v="0"/>
    <s v="Replacement"/>
    <s v="Active"/>
    <m/>
    <m/>
    <m/>
    <m/>
    <m/>
    <m/>
    <m/>
    <m/>
    <m/>
    <m/>
    <m/>
    <n v="31714256.320805699"/>
    <n v="7526150.3333048439"/>
    <s v=""/>
    <s v=""/>
    <s v=""/>
    <s v=""/>
    <s v=""/>
    <s v=""/>
    <n v="39240406.654110543"/>
    <n v="39240406.654110543"/>
    <n v="45293962.617305532"/>
    <n v="40033263.062130682"/>
    <n v="1.1314082128906247"/>
    <s v="2018"/>
    <d v="2018-11-16T00:00:00"/>
    <x v="5"/>
    <m/>
    <n v="40033263.062130682"/>
    <n v="7526150.3333048439"/>
  </r>
  <r>
    <x v="325"/>
    <x v="147"/>
    <x v="0"/>
    <s v="Replacement"/>
    <s v="Active"/>
    <m/>
    <m/>
    <m/>
    <m/>
    <m/>
    <m/>
    <m/>
    <m/>
    <m/>
    <m/>
    <m/>
    <n v="7659944.3399999999"/>
    <n v="4411985.3973099431"/>
    <s v=""/>
    <s v=""/>
    <s v=""/>
    <s v=""/>
    <s v=""/>
    <s v=""/>
    <n v="12071929.737309944"/>
    <n v="12071929.737309944"/>
    <n v="13874943.548645057"/>
    <n v="12263428.345809942"/>
    <n v="1.1314082128906247"/>
    <s v="2018"/>
    <d v="2018-03-15T00:00:00"/>
    <x v="5"/>
    <m/>
    <n v="12263428.345809942"/>
    <n v="4411985.3973099431"/>
  </r>
  <r>
    <x v="326"/>
    <x v="30"/>
    <x v="0"/>
    <s v="Replacement"/>
    <s v="Active"/>
    <m/>
    <m/>
    <m/>
    <m/>
    <m/>
    <m/>
    <m/>
    <m/>
    <m/>
    <m/>
    <m/>
    <s v=""/>
    <n v="4070664.7007297357"/>
    <n v="4236037.7720359033"/>
    <n v="142192.06482783283"/>
    <s v=""/>
    <s v=""/>
    <s v=""/>
    <s v=""/>
    <n v="8448894.5375934727"/>
    <n v="8448894.5375934727"/>
    <n v="9434501.8738397006"/>
    <n v="8547193.0559695736"/>
    <n v="1.1038128906249998"/>
    <s v="2020"/>
    <d v="2018-11-16T00:00:00"/>
    <x v="10"/>
    <m/>
    <n v="8338724.9326532427"/>
    <n v="142192.06482783283"/>
  </r>
  <r>
    <x v="327"/>
    <x v="147"/>
    <x v="0"/>
    <s v="Replacement"/>
    <s v="Active"/>
    <m/>
    <m/>
    <m/>
    <m/>
    <m/>
    <m/>
    <m/>
    <m/>
    <m/>
    <m/>
    <m/>
    <s v=""/>
    <s v=""/>
    <n v="311158.10551558208"/>
    <s v=""/>
    <s v=""/>
    <s v=""/>
    <s v=""/>
    <s v=""/>
    <n v="311158.10551558208"/>
    <n v="311158.10551558208"/>
    <n v="343460.32789055334"/>
    <n v="311158.10551558208"/>
    <n v="1.1038128906249998"/>
    <s v="2019"/>
    <d v="2018-03-15T00:00:00"/>
    <x v="10"/>
    <m/>
    <n v="303568.88342983619"/>
    <n v="311158.10551558208"/>
  </r>
  <r>
    <x v="328"/>
    <x v="251"/>
    <x v="0"/>
    <s v="Refurbishment"/>
    <s v="Potential"/>
    <m/>
    <m/>
    <m/>
    <m/>
    <m/>
    <m/>
    <m/>
    <m/>
    <m/>
    <m/>
    <m/>
    <s v=""/>
    <s v=""/>
    <n v="3688147.2072523702"/>
    <n v="6744668.9796447782"/>
    <s v=""/>
    <s v=""/>
    <s v=""/>
    <s v=""/>
    <n v="10432816.186897147"/>
    <n v="10432816.186897147"/>
    <n v="11334295.222795535"/>
    <n v="10525019.867078457"/>
    <n v="1.0768906249999999"/>
    <s v="2020"/>
    <d v="2023-02-21T00:00:00"/>
    <x v="12"/>
    <m/>
    <n v="10017865.429699901"/>
    <n v="6744668.9796447782"/>
  </r>
  <r>
    <x v="329"/>
    <x v="251"/>
    <x v="0"/>
    <s v="Refurbishment"/>
    <s v="Potential"/>
    <m/>
    <m/>
    <m/>
    <m/>
    <m/>
    <m/>
    <m/>
    <m/>
    <m/>
    <m/>
    <m/>
    <s v=""/>
    <s v=""/>
    <s v=""/>
    <n v="7819432.6562504871"/>
    <n v="5303610.3439045791"/>
    <s v=""/>
    <s v=""/>
    <s v=""/>
    <n v="13123043.000155065"/>
    <n v="13123043.000155065"/>
    <n v="13992779.337899745"/>
    <n v="13318528.816561328"/>
    <n v="1.0506249999999999"/>
    <s v="2021"/>
    <d v="2023-02-21T00:00:00"/>
    <x v="15"/>
    <m/>
    <n v="12367578.013376549"/>
    <n v="5303610.3439045791"/>
  </r>
  <r>
    <x v="330"/>
    <x v="251"/>
    <x v="0"/>
    <s v="Refurbishment"/>
    <s v="Potential"/>
    <m/>
    <m/>
    <m/>
    <m/>
    <m/>
    <m/>
    <m/>
    <m/>
    <m/>
    <m/>
    <m/>
    <s v=""/>
    <s v=""/>
    <s v=""/>
    <s v=""/>
    <n v="9449139.0901709497"/>
    <n v="9704541.8249577004"/>
    <s v=""/>
    <s v=""/>
    <n v="19153680.915128648"/>
    <n v="19153680.915128648"/>
    <n v="19874657.127192497"/>
    <n v="19389909.392382927"/>
    <n v="1.0249999999999999"/>
    <s v="2022"/>
    <d v="2023-02-21T00:00:00"/>
    <x v="14"/>
    <m/>
    <n v="17566300.916638136"/>
    <n v="9704541.8249577004"/>
  </r>
  <r>
    <x v="331"/>
    <x v="252"/>
    <x v="0"/>
    <s v="Refurbishment"/>
    <s v="Potential"/>
    <m/>
    <m/>
    <m/>
    <m/>
    <m/>
    <m/>
    <m/>
    <m/>
    <m/>
    <m/>
    <m/>
    <s v=""/>
    <s v=""/>
    <s v=""/>
    <s v=""/>
    <n v="453472.55402505829"/>
    <n v="5913770.0353570646"/>
    <s v=""/>
    <s v=""/>
    <n v="6367242.5893821232"/>
    <n v="6367242.5893821232"/>
    <n v="6538043.8883135673"/>
    <n v="6378579.4032327496"/>
    <n v="1.0249999999999999"/>
    <s v="2022"/>
    <d v="2022-12-13T00:00:00"/>
    <x v="14"/>
    <m/>
    <n v="5778678.1232651463"/>
    <n v="5913770.0353570646"/>
  </r>
  <r>
    <x v="332"/>
    <x v="251"/>
    <x v="0"/>
    <s v="Refurbishment"/>
    <s v="Potential"/>
    <m/>
    <m/>
    <m/>
    <m/>
    <m/>
    <m/>
    <m/>
    <m/>
    <m/>
    <m/>
    <m/>
    <s v=""/>
    <s v=""/>
    <s v=""/>
    <s v=""/>
    <s v=""/>
    <n v="5506629.1253415057"/>
    <n v="12521121.08187261"/>
    <s v=""/>
    <n v="18027750.207214117"/>
    <n v="18027750.207214117"/>
    <n v="18165415.935347654"/>
    <n v="18165415.935347654"/>
    <n v="1"/>
    <s v="2023"/>
    <d v="2023-02-21T00:00:00"/>
    <x v="13"/>
    <m/>
    <n v="16055580.76066727"/>
    <n v="12521121.08187261"/>
  </r>
  <r>
    <x v="333"/>
    <x v="252"/>
    <x v="0"/>
    <s v="Refurbishment"/>
    <s v="Potential"/>
    <m/>
    <m/>
    <m/>
    <m/>
    <m/>
    <m/>
    <m/>
    <m/>
    <m/>
    <m/>
    <m/>
    <s v=""/>
    <s v=""/>
    <s v=""/>
    <s v=""/>
    <s v=""/>
    <n v="16399.310878943648"/>
    <n v="3712071.1530471547"/>
    <s v=""/>
    <n v="3728470.4639260983"/>
    <n v="3728470.4639260983"/>
    <n v="3728880.4466980719"/>
    <n v="3728880.4466980719"/>
    <n v="1"/>
    <s v="2023"/>
    <d v="2022-12-13T00:00:00"/>
    <x v="13"/>
    <m/>
    <n v="3295786.9707973823"/>
    <n v="3712071.1530471547"/>
  </r>
  <r>
    <x v="334"/>
    <x v="129"/>
    <x v="0"/>
    <s v="Replacement"/>
    <s v="Active"/>
    <m/>
    <m/>
    <m/>
    <m/>
    <m/>
    <m/>
    <m/>
    <m/>
    <m/>
    <m/>
    <m/>
    <s v=""/>
    <n v="3432572.8232458602"/>
    <n v="70097.460048831141"/>
    <s v=""/>
    <s v=""/>
    <s v=""/>
    <s v=""/>
    <s v=""/>
    <n v="3502670.2832946912"/>
    <n v="3502670.2832946912"/>
    <n v="3961015.5635674954"/>
    <n v="3500960.5891471589"/>
    <n v="1.1314082128906247"/>
    <s v="2019"/>
    <d v="2017-05-08T00:00:00"/>
    <x v="5"/>
    <m/>
    <n v="3500960.5891471589"/>
    <n v="70097.460048831141"/>
  </r>
  <r>
    <x v="335"/>
    <x v="309"/>
    <x v="0"/>
    <s v="Security/Compliance"/>
    <s v="Active"/>
    <m/>
    <m/>
    <m/>
    <m/>
    <m/>
    <m/>
    <m/>
    <m/>
    <m/>
    <m/>
    <m/>
    <s v=""/>
    <n v="645411.94484566431"/>
    <n v="565119.64253268426"/>
    <n v="1671.7931007206842"/>
    <n v="0"/>
    <n v="0"/>
    <n v="0"/>
    <m/>
    <n v="1212203.3804790694"/>
    <n v="1212203.3804790694"/>
    <n v="1355811.0595861699"/>
    <n v="1228297.9036587297"/>
    <n v="1.1038128906249998"/>
    <s v=""/>
    <d v="2018-05-09T00:00:00"/>
    <x v="10"/>
    <m/>
    <n v="1198339.4182036389"/>
    <n v="0"/>
  </r>
  <r>
    <x v="336"/>
    <x v="323"/>
    <x v="0"/>
    <s v="Replacement"/>
    <m/>
    <m/>
    <m/>
    <m/>
    <m/>
    <m/>
    <m/>
    <m/>
    <m/>
    <m/>
    <m/>
    <m/>
    <m/>
    <n v="0"/>
    <n v="0"/>
    <n v="292729.84672014345"/>
    <s v=""/>
    <s v=""/>
    <s v=""/>
    <m/>
    <n v="292729.84672014345"/>
    <n v="292729.84672014345"/>
    <n v="315238.02759060945"/>
    <n v="292729.84672014345"/>
    <n v="1.0768906249999999"/>
    <s v="2020"/>
    <d v="2020-06-30T00:00:00"/>
    <x v="12"/>
    <m/>
    <n v="278624.48230352742"/>
    <n v="292729.84672014345"/>
  </r>
  <r>
    <x v="337"/>
    <x v="323"/>
    <x v="0"/>
    <s v="Replacement"/>
    <m/>
    <m/>
    <m/>
    <m/>
    <m/>
    <m/>
    <m/>
    <m/>
    <m/>
    <m/>
    <m/>
    <m/>
    <m/>
    <n v="0"/>
    <n v="0"/>
    <n v="0"/>
    <n v="709545.31430132454"/>
    <s v=""/>
    <s v=""/>
    <m/>
    <n v="709545.31430132454"/>
    <n v="709545.31430132454"/>
    <n v="745466.04583782901"/>
    <n v="709545.31430132454"/>
    <n v="1.0506249999999999"/>
    <s v="2021"/>
    <d v="2021-06-30T00:00:00"/>
    <x v="15"/>
    <m/>
    <n v="658883.36088107806"/>
    <n v="709545.31430132454"/>
  </r>
  <r>
    <x v="338"/>
    <x v="324"/>
    <x v="0"/>
    <s v="Refurbishment"/>
    <m/>
    <m/>
    <m/>
    <m/>
    <m/>
    <m/>
    <m/>
    <m/>
    <m/>
    <m/>
    <m/>
    <m/>
    <m/>
    <n v="0"/>
    <n v="0"/>
    <n v="0"/>
    <n v="1060506.544052338"/>
    <s v=""/>
    <s v=""/>
    <m/>
    <n v="1060506.544052338"/>
    <n v="1060506.544052338"/>
    <n v="1114194.6878449875"/>
    <n v="1060506.544052338"/>
    <n v="1.0506249999999999"/>
    <s v="2021"/>
    <d v="2021-06-30T00:00:00"/>
    <x v="15"/>
    <m/>
    <n v="984785.75208353973"/>
    <n v="1060506.544052338"/>
  </r>
  <r>
    <x v="339"/>
    <x v="324"/>
    <x v="0"/>
    <s v="Refurbishment"/>
    <m/>
    <m/>
    <m/>
    <m/>
    <m/>
    <m/>
    <m/>
    <m/>
    <m/>
    <m/>
    <m/>
    <m/>
    <m/>
    <n v="0"/>
    <n v="0"/>
    <n v="0"/>
    <n v="0"/>
    <n v="2088026.7401382183"/>
    <n v="2224.262377766076"/>
    <m/>
    <n v="2090251.0025159842"/>
    <n v="2090251.0025159842"/>
    <n v="2142451.6710194396"/>
    <n v="2090196.7522140876"/>
    <n v="1.0249999999999999"/>
    <s v="2023"/>
    <d v="2022-06-30T00:00:00"/>
    <x v="14"/>
    <m/>
    <n v="1893615.0954267064"/>
    <n v="2224.262377766076"/>
  </r>
  <r>
    <x v="340"/>
    <x v="325"/>
    <x v="0"/>
    <s v="Security/Compliance"/>
    <s v="Potential"/>
    <m/>
    <m/>
    <m/>
    <m/>
    <m/>
    <m/>
    <m/>
    <m/>
    <m/>
    <m/>
    <m/>
    <n v="2281.92"/>
    <n v="2714578.5489146113"/>
    <n v="640122.90900941228"/>
    <s v=""/>
    <s v=""/>
    <s v=""/>
    <s v=""/>
    <s v=""/>
    <n v="3356983.3779240237"/>
    <n v="3356983.3779240237"/>
    <n v="3780518.710932557"/>
    <n v="3341427.6720457454"/>
    <n v="1.1314082128906247"/>
    <s v="2019"/>
    <d v="2018-06-05T00:00:00"/>
    <x v="5"/>
    <m/>
    <n v="3341427.672045745"/>
    <n v="640122.90900941228"/>
  </r>
  <r>
    <x v="341"/>
    <x v="326"/>
    <x v="0"/>
    <s v="Security/Compliance"/>
    <s v="Potential"/>
    <m/>
    <m/>
    <m/>
    <m/>
    <m/>
    <m/>
    <m/>
    <m/>
    <m/>
    <m/>
    <m/>
    <s v=""/>
    <s v=""/>
    <s v=""/>
    <s v=""/>
    <n v="96399.221701077666"/>
    <n v="466188.06078376336"/>
    <n v="1046045.311171516"/>
    <s v=""/>
    <n v="1608632.5936563569"/>
    <n v="1608632.5936563569"/>
    <n v="1625167.5057745681"/>
    <n v="1625167.5057745681"/>
    <n v="1"/>
    <s v="2023"/>
    <d v="2023-03-06T00:00:00"/>
    <x v="13"/>
    <m/>
    <n v="1436411.2680625166"/>
    <n v="1046045.311171516"/>
  </r>
  <r>
    <x v="342"/>
    <x v="327"/>
    <x v="0"/>
    <s v="Augmentation"/>
    <s v="Active"/>
    <m/>
    <m/>
    <m/>
    <m/>
    <m/>
    <m/>
    <m/>
    <m/>
    <m/>
    <m/>
    <m/>
    <n v="267107.65000000002"/>
    <n v="361375.8636642255"/>
    <s v=""/>
    <s v=""/>
    <s v=""/>
    <s v=""/>
    <s v=""/>
    <s v=""/>
    <n v="628483.51366422558"/>
    <n v="628483.51366422558"/>
    <n v="718626.60374945973"/>
    <n v="635161.2049142255"/>
    <n v="1.1314082128906247"/>
    <s v="2018"/>
    <d v="2018-02-20T00:00:00"/>
    <x v="0"/>
    <m/>
    <n v="635161.2049142255"/>
    <n v="361375.8636642255"/>
  </r>
  <r>
    <x v="343"/>
    <x v="328"/>
    <x v="0"/>
    <s v="Security/Compliance"/>
    <s v="Active"/>
    <m/>
    <m/>
    <m/>
    <m/>
    <m/>
    <m/>
    <m/>
    <m/>
    <m/>
    <m/>
    <m/>
    <n v="72701.73"/>
    <n v="1521958.2046512887"/>
    <s v=""/>
    <s v=""/>
    <s v=""/>
    <s v=""/>
    <s v=""/>
    <s v=""/>
    <n v="1594659.9346512887"/>
    <n v="1594659.9346512887"/>
    <n v="1806267.7301924287"/>
    <n v="1596477.4779012885"/>
    <n v="1.1314082128906247"/>
    <s v="2018"/>
    <d v="2018-05-08T00:00:00"/>
    <x v="5"/>
    <m/>
    <n v="1596477.4779012888"/>
    <n v="1521958.2046512887"/>
  </r>
  <r>
    <x v="344"/>
    <x v="324"/>
    <x v="0"/>
    <s v="Refurbishment"/>
    <s v="Active"/>
    <m/>
    <m/>
    <m/>
    <m/>
    <m/>
    <m/>
    <m/>
    <m/>
    <m/>
    <m/>
    <m/>
    <n v="34115.019999999997"/>
    <n v="7994734.9320768593"/>
    <s v=""/>
    <s v=""/>
    <s v=""/>
    <s v=""/>
    <s v=""/>
    <s v=""/>
    <n v="8028849.9520768588"/>
    <n v="8028849.9520768588"/>
    <n v="9084871.72619153"/>
    <n v="8230445.3982662801"/>
    <n v="1.1038128906249998"/>
    <s v="2018"/>
    <d v="2018-10-31T00:00:00"/>
    <x v="10"/>
    <m/>
    <n v="8029702.8275768589"/>
    <n v="7994734.9320768593"/>
  </r>
  <r>
    <x v="345"/>
    <x v="329"/>
    <x v="0"/>
    <s v="Information Technology"/>
    <s v="Active"/>
    <m/>
    <m/>
    <m/>
    <m/>
    <m/>
    <m/>
    <m/>
    <m/>
    <m/>
    <m/>
    <m/>
    <n v="190856.07"/>
    <n v="53819.674080912198"/>
    <s v=""/>
    <s v=""/>
    <s v=""/>
    <s v=""/>
    <s v=""/>
    <s v=""/>
    <n v="244675.74408091221"/>
    <n v="244675.74408091221"/>
    <n v="282226.54947521939"/>
    <n v="249447.1458309122"/>
    <n v="1.1314082128906247"/>
    <s v="2018"/>
    <d v="2017-12-04T00:00:00"/>
    <x v="5"/>
    <m/>
    <n v="249447.1458309122"/>
    <n v="53819.674080912198"/>
  </r>
  <r>
    <x v="346"/>
    <x v="330"/>
    <x v="0"/>
    <s v="Replacement"/>
    <s v="Active"/>
    <m/>
    <m/>
    <m/>
    <m/>
    <m/>
    <m/>
    <m/>
    <m/>
    <m/>
    <m/>
    <m/>
    <n v="3906700"/>
    <s v=""/>
    <s v=""/>
    <s v=""/>
    <s v=""/>
    <s v=""/>
    <s v=""/>
    <s v=""/>
    <n v="3906700"/>
    <n v="3906700"/>
    <n v="4530574.2769322982"/>
    <n v="4004367.5"/>
    <n v="1.1314082128906247"/>
    <s v="2017"/>
    <d v="2017-06-29T00:00:00"/>
    <x v="5"/>
    <m/>
    <n v="4004367.4999999995"/>
    <n v="39067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>
  <location ref="A17:J262" firstHeaderRow="1" firstDataRow="2" firstDataCol="2" rowPageCount="1" colPageCount="1"/>
  <pivotFields count="35">
    <pivotField axis="axisRow" compact="0" outline="0" showAll="0" sortType="ascending" defaultSubtotal="0">
      <items count="347">
        <item x="0"/>
        <item x="1"/>
        <item x="2"/>
        <item x="3"/>
        <item x="4"/>
        <item x="5"/>
        <item x="6"/>
        <item x="7"/>
        <item x="8"/>
        <item x="342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4"/>
        <item x="3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334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5"/>
        <item x="32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343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34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328"/>
        <item x="329"/>
        <item x="330"/>
        <item x="332"/>
        <item x="253"/>
        <item x="331"/>
        <item x="33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36"/>
        <item x="337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35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40"/>
        <item x="344"/>
        <item x="338"/>
        <item x="339"/>
        <item x="345"/>
        <item x="346"/>
      </items>
    </pivotField>
    <pivotField axis="axisRow" compact="0" outline="0" showAll="0">
      <items count="334">
        <item x="34"/>
        <item x="45"/>
        <item x="50"/>
        <item x="107"/>
        <item x="14"/>
        <item x="44"/>
        <item x="228"/>
        <item x="76"/>
        <item x="0"/>
        <item x="28"/>
        <item x="31"/>
        <item x="8"/>
        <item x="218"/>
        <item x="208"/>
        <item x="22"/>
        <item x="260"/>
        <item x="84"/>
        <item x="187"/>
        <item x="202"/>
        <item x="209"/>
        <item x="274"/>
        <item x="118"/>
        <item x="227"/>
        <item x="265"/>
        <item x="48"/>
        <item x="43"/>
        <item x="51"/>
        <item x="249"/>
        <item x="119"/>
        <item x="60"/>
        <item x="66"/>
        <item x="36"/>
        <item x="61"/>
        <item x="85"/>
        <item x="191"/>
        <item x="221"/>
        <item x="2"/>
        <item x="13"/>
        <item x="198"/>
        <item x="27"/>
        <item x="127"/>
        <item x="69"/>
        <item x="10"/>
        <item x="54"/>
        <item x="132"/>
        <item x="276"/>
        <item x="163"/>
        <item x="25"/>
        <item x="203"/>
        <item x="240"/>
        <item x="232"/>
        <item x="176"/>
        <item x="71"/>
        <item x="94"/>
        <item x="55"/>
        <item x="32"/>
        <item x="206"/>
        <item x="108"/>
        <item x="41"/>
        <item x="211"/>
        <item x="91"/>
        <item x="18"/>
        <item x="89"/>
        <item x="86"/>
        <item x="144"/>
        <item x="15"/>
        <item x="189"/>
        <item x="79"/>
        <item x="124"/>
        <item x="145"/>
        <item x="154"/>
        <item x="168"/>
        <item x="177"/>
        <item x="183"/>
        <item x="253"/>
        <item x="278"/>
        <item x="146"/>
        <item x="182"/>
        <item x="1"/>
        <item x="255"/>
        <item x="135"/>
        <item x="280"/>
        <item x="26"/>
        <item x="220"/>
        <item x="16"/>
        <item x="24"/>
        <item x="80"/>
        <item x="106"/>
        <item x="125"/>
        <item x="148"/>
        <item x="157"/>
        <item x="174"/>
        <item x="214"/>
        <item x="215"/>
        <item x="216"/>
        <item x="156"/>
        <item x="283"/>
        <item x="222"/>
        <item x="56"/>
        <item x="101"/>
        <item x="104"/>
        <item x="103"/>
        <item x="172"/>
        <item x="212"/>
        <item x="57"/>
        <item x="102"/>
        <item x="160"/>
        <item x="63"/>
        <item x="269"/>
        <item x="241"/>
        <item x="252"/>
        <item x="251"/>
        <item x="247"/>
        <item x="73"/>
        <item x="256"/>
        <item x="281"/>
        <item x="67"/>
        <item x="49"/>
        <item x="115"/>
        <item x="248"/>
        <item x="167"/>
        <item x="178"/>
        <item x="88"/>
        <item x="5"/>
        <item x="277"/>
        <item x="282"/>
        <item x="257"/>
        <item x="20"/>
        <item x="242"/>
        <item m="1" x="331"/>
        <item x="224"/>
        <item x="225"/>
        <item m="1" x="332"/>
        <item x="273"/>
        <item x="113"/>
        <item x="139"/>
        <item x="23"/>
        <item x="245"/>
        <item x="134"/>
        <item x="11"/>
        <item x="188"/>
        <item x="129"/>
        <item x="258"/>
        <item x="112"/>
        <item x="204"/>
        <item x="263"/>
        <item x="231"/>
        <item x="264"/>
        <item x="143"/>
        <item x="173"/>
        <item x="181"/>
        <item x="192"/>
        <item x="111"/>
        <item x="128"/>
        <item x="42"/>
        <item x="233"/>
        <item x="29"/>
        <item x="19"/>
        <item x="46"/>
        <item x="38"/>
        <item x="234"/>
        <item x="52"/>
        <item x="275"/>
        <item x="164"/>
        <item x="219"/>
        <item x="78"/>
        <item x="90"/>
        <item x="175"/>
        <item x="133"/>
        <item x="39"/>
        <item x="120"/>
        <item x="3"/>
        <item x="244"/>
        <item x="87"/>
        <item x="30"/>
        <item x="149"/>
        <item x="53"/>
        <item x="213"/>
        <item x="279"/>
        <item x="35"/>
        <item x="235"/>
        <item x="201"/>
        <item x="65"/>
        <item x="7"/>
        <item x="21"/>
        <item x="70"/>
        <item x="285"/>
        <item x="246"/>
        <item x="97"/>
        <item x="98"/>
        <item x="99"/>
        <item x="121"/>
        <item x="77"/>
        <item x="250"/>
        <item x="138"/>
        <item x="9"/>
        <item x="68"/>
        <item x="217"/>
        <item x="205"/>
        <item x="37"/>
        <item x="81"/>
        <item x="47"/>
        <item x="136"/>
        <item x="64"/>
        <item x="137"/>
        <item x="180"/>
        <item x="262"/>
        <item x="243"/>
        <item x="116"/>
        <item x="12"/>
        <item x="100"/>
        <item x="229"/>
        <item x="114"/>
        <item x="74"/>
        <item x="147"/>
        <item x="92"/>
        <item x="96"/>
        <item x="72"/>
        <item x="110"/>
        <item x="150"/>
        <item x="155"/>
        <item x="169"/>
        <item x="179"/>
        <item x="184"/>
        <item x="190"/>
        <item x="4"/>
        <item x="131"/>
        <item x="123"/>
        <item x="6"/>
        <item x="237"/>
        <item x="238"/>
        <item x="239"/>
        <item x="33"/>
        <item x="152"/>
        <item x="284"/>
        <item x="17"/>
        <item x="58"/>
        <item x="59"/>
        <item x="62"/>
        <item x="75"/>
        <item x="82"/>
        <item x="83"/>
        <item x="93"/>
        <item x="95"/>
        <item x="105"/>
        <item x="109"/>
        <item x="117"/>
        <item x="122"/>
        <item x="126"/>
        <item x="130"/>
        <item x="140"/>
        <item x="141"/>
        <item x="142"/>
        <item x="151"/>
        <item x="153"/>
        <item x="158"/>
        <item x="159"/>
        <item x="161"/>
        <item x="162"/>
        <item x="165"/>
        <item x="166"/>
        <item x="170"/>
        <item x="171"/>
        <item x="185"/>
        <item x="186"/>
        <item x="193"/>
        <item x="194"/>
        <item x="195"/>
        <item x="196"/>
        <item x="197"/>
        <item x="199"/>
        <item x="200"/>
        <item x="207"/>
        <item x="210"/>
        <item x="226"/>
        <item x="230"/>
        <item x="236"/>
        <item x="254"/>
        <item x="259"/>
        <item x="261"/>
        <item x="266"/>
        <item x="267"/>
        <item x="268"/>
        <item x="270"/>
        <item x="271"/>
        <item x="272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4"/>
        <item x="329"/>
        <item x="330"/>
        <item x="323"/>
        <item x="40"/>
        <item x="223"/>
        <item t="default"/>
      </items>
    </pivotField>
    <pivotField axis="axisPage" compact="0" outline="0" showAll="0">
      <items count="6">
        <item x="2"/>
        <item x="1"/>
        <item x="0"/>
        <item x="4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6">
        <item h="1" m="1" x="34"/>
        <item h="1" x="4"/>
        <item h="1" x="7"/>
        <item h="1" x="11"/>
        <item h="1" x="3"/>
        <item h="1" x="9"/>
        <item x="8"/>
        <item x="5"/>
        <item x="10"/>
        <item x="12"/>
        <item x="15"/>
        <item x="14"/>
        <item x="13"/>
        <item h="1" x="16"/>
        <item h="1" x="17"/>
        <item h="1" m="1" x="27"/>
        <item h="1" m="1" x="29"/>
        <item h="1" m="1" x="19"/>
        <item h="1" m="1" x="21"/>
        <item h="1" m="1" x="31"/>
        <item h="1" m="1" x="18"/>
        <item h="1" m="1" x="26"/>
        <item h="1" m="1" x="32"/>
        <item h="1" m="1" x="23"/>
        <item h="1" m="1" x="30"/>
        <item h="1" m="1" x="28"/>
        <item h="1" m="1" x="22"/>
        <item h="1" x="0"/>
        <item h="1" m="1" x="25"/>
        <item h="1" m="1" x="33"/>
        <item h="1" m="1" x="24"/>
        <item h="1" m="1" x="20"/>
        <item h="1" x="2"/>
        <item h="1" x="1"/>
        <item h="1" x="6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0"/>
    <field x="1"/>
  </rowFields>
  <rowItems count="244">
    <i>
      <x v="17"/>
      <x v="84"/>
    </i>
    <i>
      <x v="25"/>
      <x v="85"/>
    </i>
    <i>
      <x v="28"/>
      <x v="39"/>
    </i>
    <i>
      <x v="29"/>
      <x v="9"/>
    </i>
    <i>
      <x v="31"/>
      <x v="174"/>
    </i>
    <i>
      <x v="32"/>
      <x v="174"/>
    </i>
    <i>
      <x v="33"/>
      <x v="174"/>
    </i>
    <i>
      <x v="34"/>
      <x v="10"/>
    </i>
    <i>
      <x v="35"/>
      <x v="55"/>
    </i>
    <i>
      <x v="38"/>
      <x v="179"/>
    </i>
    <i>
      <x v="43"/>
      <x v="331"/>
    </i>
    <i>
      <x v="44"/>
      <x v="58"/>
    </i>
    <i>
      <x v="45"/>
      <x v="154"/>
    </i>
    <i>
      <x v="48"/>
      <x v="1"/>
    </i>
    <i>
      <x v="51"/>
      <x v="24"/>
    </i>
    <i>
      <x v="56"/>
      <x v="176"/>
    </i>
    <i>
      <x v="57"/>
      <x v="43"/>
    </i>
    <i>
      <x v="58"/>
      <x v="54"/>
    </i>
    <i>
      <x v="65"/>
      <x v="238"/>
    </i>
    <i>
      <x v="66"/>
      <x v="107"/>
    </i>
    <i>
      <x v="67"/>
      <x v="203"/>
    </i>
    <i>
      <x v="69"/>
      <x v="30"/>
    </i>
    <i>
      <x v="71"/>
      <x v="196"/>
    </i>
    <i>
      <x v="72"/>
      <x v="41"/>
    </i>
    <i>
      <x v="76"/>
      <x v="113"/>
    </i>
    <i>
      <x v="77"/>
      <x v="213"/>
    </i>
    <i>
      <x v="80"/>
      <x v="192"/>
    </i>
    <i>
      <x v="84"/>
      <x v="200"/>
    </i>
    <i>
      <x v="85"/>
      <x v="240"/>
    </i>
    <i>
      <x v="86"/>
      <x v="241"/>
    </i>
    <i>
      <x v="87"/>
      <x v="16"/>
    </i>
    <i>
      <x v="89"/>
      <x v="63"/>
    </i>
    <i>
      <x v="90"/>
      <x v="173"/>
    </i>
    <i>
      <x v="91"/>
      <x v="122"/>
    </i>
    <i>
      <x v="92"/>
      <x v="62"/>
    </i>
    <i>
      <x v="93"/>
      <x v="166"/>
    </i>
    <i>
      <x v="94"/>
      <x v="60"/>
    </i>
    <i>
      <x v="97"/>
      <x v="53"/>
    </i>
    <i>
      <x v="99"/>
      <x v="216"/>
    </i>
    <i>
      <x v="100"/>
      <x v="188"/>
    </i>
    <i>
      <x v="101"/>
      <x v="189"/>
    </i>
    <i>
      <x v="102"/>
      <x v="190"/>
    </i>
    <i>
      <x v="103"/>
      <x v="210"/>
    </i>
    <i>
      <x v="109"/>
      <x v="87"/>
    </i>
    <i>
      <x v="111"/>
      <x v="57"/>
    </i>
    <i>
      <x v="115"/>
      <x v="143"/>
    </i>
    <i>
      <x v="116"/>
      <x v="134"/>
    </i>
    <i>
      <x v="117"/>
      <x v="212"/>
    </i>
    <i>
      <x v="120"/>
      <x v="246"/>
    </i>
    <i>
      <x v="121"/>
      <x v="21"/>
    </i>
    <i>
      <x v="122"/>
      <x v="28"/>
    </i>
    <i>
      <x v="125"/>
      <x v="247"/>
    </i>
    <i>
      <x v="126"/>
      <x v="227"/>
    </i>
    <i>
      <x v="129"/>
      <x v="248"/>
    </i>
    <i>
      <x v="130"/>
      <x v="40"/>
    </i>
    <i>
      <x v="131"/>
      <x v="153"/>
    </i>
    <i>
      <x v="132"/>
      <x v="141"/>
    </i>
    <i>
      <x v="133"/>
      <x v="141"/>
    </i>
    <i>
      <x v="137"/>
      <x v="168"/>
    </i>
    <i>
      <x v="139"/>
      <x v="80"/>
    </i>
    <i>
      <x v="140"/>
      <x v="202"/>
    </i>
    <i>
      <x v="141"/>
      <x v="204"/>
    </i>
    <i>
      <x v="142"/>
      <x v="194"/>
    </i>
    <i>
      <x v="143"/>
      <x v="135"/>
    </i>
    <i>
      <x v="144"/>
      <x v="250"/>
    </i>
    <i>
      <x v="146"/>
      <x v="252"/>
    </i>
    <i>
      <x v="147"/>
      <x v="148"/>
    </i>
    <i>
      <x v="148"/>
      <x v="64"/>
    </i>
    <i>
      <x v="149"/>
      <x v="69"/>
    </i>
    <i>
      <x v="150"/>
      <x v="76"/>
    </i>
    <i>
      <x v="151"/>
      <x v="214"/>
    </i>
    <i>
      <x v="152"/>
      <x v="214"/>
    </i>
    <i>
      <x v="153"/>
      <x v="214"/>
    </i>
    <i>
      <x v="154"/>
      <x v="89"/>
    </i>
    <i>
      <x v="155"/>
      <x v="175"/>
    </i>
    <i>
      <x v="156"/>
      <x v="219"/>
    </i>
    <i>
      <x v="157"/>
      <x v="253"/>
    </i>
    <i>
      <x v="159"/>
      <x v="254"/>
    </i>
    <i>
      <x v="160"/>
      <x v="70"/>
    </i>
    <i>
      <x v="161"/>
      <x v="220"/>
    </i>
    <i>
      <x v="162"/>
      <x v="95"/>
    </i>
    <i>
      <x v="163"/>
      <x v="90"/>
    </i>
    <i>
      <x v="164"/>
      <x v="255"/>
    </i>
    <i>
      <x v="165"/>
      <x v="256"/>
    </i>
    <i>
      <x v="166"/>
      <x v="106"/>
    </i>
    <i>
      <x v="167"/>
      <x v="257"/>
    </i>
    <i>
      <x v="169"/>
      <x v="46"/>
    </i>
    <i>
      <x v="170"/>
      <x v="163"/>
    </i>
    <i>
      <x v="173"/>
      <x v="120"/>
    </i>
    <i>
      <x v="174"/>
      <x v="71"/>
    </i>
    <i>
      <x v="175"/>
      <x v="221"/>
    </i>
    <i>
      <x v="176"/>
      <x v="261"/>
    </i>
    <i>
      <x v="177"/>
      <x v="262"/>
    </i>
    <i>
      <x v="178"/>
      <x v="102"/>
    </i>
    <i>
      <x v="179"/>
      <x v="149"/>
    </i>
    <i>
      <x v="180"/>
      <x v="91"/>
    </i>
    <i>
      <x v="181"/>
      <x v="167"/>
    </i>
    <i>
      <x v="182"/>
      <x v="51"/>
    </i>
    <i>
      <x v="183"/>
      <x v="72"/>
    </i>
    <i>
      <x v="184"/>
      <x v="121"/>
    </i>
    <i>
      <x v="185"/>
      <x v="222"/>
    </i>
    <i>
      <x v="186"/>
      <x v="205"/>
    </i>
    <i>
      <x v="187"/>
      <x v="150"/>
    </i>
    <i>
      <x v="188"/>
      <x v="77"/>
    </i>
    <i>
      <x v="189"/>
      <x v="73"/>
    </i>
    <i>
      <x v="190"/>
      <x v="223"/>
    </i>
    <i>
      <x v="191"/>
      <x v="263"/>
    </i>
    <i>
      <x v="192"/>
      <x v="264"/>
    </i>
    <i>
      <x v="193"/>
      <x v="17"/>
    </i>
    <i>
      <x v="194"/>
      <x v="140"/>
    </i>
    <i>
      <x v="196"/>
      <x v="224"/>
    </i>
    <i>
      <x v="200"/>
      <x v="266"/>
    </i>
    <i>
      <x v="201"/>
      <x v="267"/>
    </i>
    <i>
      <x v="202"/>
      <x v="268"/>
    </i>
    <i>
      <x v="203"/>
      <x v="269"/>
    </i>
    <i>
      <x v="204"/>
      <x v="326"/>
    </i>
    <i>
      <x v="207"/>
      <x v="271"/>
    </i>
    <i>
      <x v="208"/>
      <x v="181"/>
    </i>
    <i>
      <x v="209"/>
      <x v="18"/>
    </i>
    <i>
      <x v="210"/>
      <x v="48"/>
    </i>
    <i>
      <x v="211"/>
      <x v="144"/>
    </i>
    <i>
      <x v="212"/>
      <x v="198"/>
    </i>
    <i>
      <x v="213"/>
      <x v="56"/>
    </i>
    <i>
      <x v="214"/>
      <x v="272"/>
    </i>
    <i>
      <x v="215"/>
      <x v="13"/>
    </i>
    <i>
      <x v="216"/>
      <x v="19"/>
    </i>
    <i>
      <x v="217"/>
      <x v="273"/>
    </i>
    <i>
      <x v="218"/>
      <x v="59"/>
    </i>
    <i>
      <x v="220"/>
      <x v="177"/>
    </i>
    <i>
      <x v="221"/>
      <x v="92"/>
    </i>
    <i>
      <x v="222"/>
      <x v="93"/>
    </i>
    <i>
      <x v="223"/>
      <x v="94"/>
    </i>
    <i>
      <x v="224"/>
      <x v="197"/>
    </i>
    <i>
      <x v="225"/>
      <x v="12"/>
    </i>
    <i>
      <x v="226"/>
      <x v="164"/>
    </i>
    <i>
      <x v="227"/>
      <x v="83"/>
    </i>
    <i>
      <x v="228"/>
      <x v="35"/>
    </i>
    <i>
      <x v="229"/>
      <x v="97"/>
    </i>
    <i>
      <x v="230"/>
      <x v="332"/>
    </i>
    <i>
      <x v="231"/>
      <x v="130"/>
    </i>
    <i>
      <x v="232"/>
      <x v="131"/>
    </i>
    <i>
      <x v="233"/>
      <x v="274"/>
    </i>
    <i>
      <x v="234"/>
      <x v="22"/>
    </i>
    <i>
      <x v="235"/>
      <x v="6"/>
    </i>
    <i>
      <x v="236"/>
      <x v="211"/>
    </i>
    <i>
      <x v="237"/>
      <x v="275"/>
    </i>
    <i>
      <x v="238"/>
      <x v="146"/>
    </i>
    <i>
      <x v="239"/>
      <x v="50"/>
    </i>
    <i>
      <x v="240"/>
      <x v="324"/>
    </i>
    <i>
      <x v="241"/>
      <x v="155"/>
    </i>
    <i>
      <x v="244"/>
      <x v="276"/>
    </i>
    <i>
      <x v="245"/>
      <x v="229"/>
    </i>
    <i>
      <x v="246"/>
      <x v="230"/>
    </i>
    <i>
      <x v="247"/>
      <x v="231"/>
    </i>
    <i>
      <x v="248"/>
      <x v="49"/>
    </i>
    <i>
      <x v="249"/>
      <x v="109"/>
    </i>
    <i>
      <x v="250"/>
      <x v="128"/>
    </i>
    <i>
      <x v="251"/>
      <x v="207"/>
    </i>
    <i>
      <x v="252"/>
      <x v="192"/>
    </i>
    <i>
      <x v="253"/>
      <x v="172"/>
    </i>
    <i>
      <x v="254"/>
      <x v="137"/>
    </i>
    <i>
      <x v="255"/>
      <x v="187"/>
    </i>
    <i>
      <x v="256"/>
      <x v="112"/>
    </i>
    <i>
      <x v="257"/>
      <x v="119"/>
    </i>
    <i>
      <x v="258"/>
      <x v="27"/>
    </i>
    <i>
      <x v="259"/>
      <x v="193"/>
    </i>
    <i>
      <x v="260"/>
      <x v="111"/>
    </i>
    <i>
      <x v="261"/>
      <x v="111"/>
    </i>
    <i>
      <x v="262"/>
      <x v="111"/>
    </i>
    <i>
      <x v="263"/>
      <x v="111"/>
    </i>
    <i>
      <x v="264"/>
      <x v="111"/>
    </i>
    <i>
      <x v="265"/>
      <x v="110"/>
    </i>
    <i>
      <x v="266"/>
      <x v="110"/>
    </i>
    <i>
      <x v="267"/>
      <x v="110"/>
    </i>
    <i>
      <x v="268"/>
      <x v="74"/>
    </i>
    <i>
      <x v="270"/>
      <x v="79"/>
    </i>
    <i>
      <x v="271"/>
      <x v="114"/>
    </i>
    <i>
      <x v="272"/>
      <x v="126"/>
    </i>
    <i>
      <x v="273"/>
      <x v="142"/>
    </i>
    <i>
      <x v="277"/>
      <x v="206"/>
    </i>
    <i>
      <x v="278"/>
      <x v="145"/>
    </i>
    <i>
      <x v="279"/>
      <x v="147"/>
    </i>
    <i>
      <x v="280"/>
      <x v="23"/>
    </i>
    <i>
      <x v="281"/>
      <x v="280"/>
    </i>
    <i>
      <x v="282"/>
      <x v="281"/>
    </i>
    <i>
      <x v="283"/>
      <x v="282"/>
    </i>
    <i>
      <x v="285"/>
      <x v="283"/>
    </i>
    <i>
      <x v="286"/>
      <x v="284"/>
    </i>
    <i>
      <x v="287"/>
      <x v="285"/>
    </i>
    <i>
      <x v="289"/>
      <x v="20"/>
    </i>
    <i>
      <x v="290"/>
      <x v="162"/>
    </i>
    <i>
      <x v="291"/>
      <x v="45"/>
    </i>
    <i>
      <x v="292"/>
      <x v="124"/>
    </i>
    <i>
      <x v="293"/>
      <x v="75"/>
    </i>
    <i>
      <x v="295"/>
      <x v="81"/>
    </i>
    <i>
      <x v="296"/>
      <x v="115"/>
    </i>
    <i>
      <x v="297"/>
      <x v="125"/>
    </i>
    <i>
      <x v="298"/>
      <x v="96"/>
    </i>
    <i>
      <x v="299"/>
      <x v="234"/>
    </i>
    <i>
      <x v="300"/>
      <x v="186"/>
    </i>
    <i>
      <x v="301"/>
      <x v="286"/>
    </i>
    <i>
      <x v="302"/>
      <x v="287"/>
    </i>
    <i>
      <x v="303"/>
      <x v="288"/>
    </i>
    <i>
      <x v="304"/>
      <x v="289"/>
    </i>
    <i>
      <x v="305"/>
      <x v="290"/>
    </i>
    <i>
      <x v="306"/>
      <x v="291"/>
    </i>
    <i>
      <x v="309"/>
      <x v="294"/>
    </i>
    <i>
      <x v="310"/>
      <x v="295"/>
    </i>
    <i>
      <x v="311"/>
      <x v="296"/>
    </i>
    <i>
      <x v="312"/>
      <x v="297"/>
    </i>
    <i>
      <x v="313"/>
      <x v="298"/>
    </i>
    <i>
      <x v="314"/>
      <x v="330"/>
    </i>
    <i>
      <x v="315"/>
      <x v="330"/>
    </i>
    <i>
      <x v="316"/>
      <x v="299"/>
    </i>
    <i>
      <x v="317"/>
      <x v="300"/>
    </i>
    <i>
      <x v="319"/>
      <x v="302"/>
    </i>
    <i>
      <x v="320"/>
      <x v="303"/>
    </i>
    <i>
      <x v="321"/>
      <x v="304"/>
    </i>
    <i>
      <x v="322"/>
      <x v="305"/>
    </i>
    <i>
      <x v="323"/>
      <x v="306"/>
    </i>
    <i>
      <x v="324"/>
      <x v="307"/>
    </i>
    <i>
      <x v="325"/>
      <x v="308"/>
    </i>
    <i>
      <x v="326"/>
      <x v="309"/>
    </i>
    <i>
      <x v="327"/>
      <x v="309"/>
    </i>
    <i>
      <x v="328"/>
      <x v="310"/>
    </i>
    <i>
      <x v="329"/>
      <x v="311"/>
    </i>
    <i>
      <x v="330"/>
      <x v="312"/>
    </i>
    <i>
      <x v="331"/>
      <x v="313"/>
    </i>
    <i>
      <x v="332"/>
      <x v="314"/>
    </i>
    <i>
      <x v="333"/>
      <x v="315"/>
    </i>
    <i>
      <x v="334"/>
      <x v="316"/>
    </i>
    <i>
      <x v="335"/>
      <x v="317"/>
    </i>
    <i>
      <x v="336"/>
      <x v="318"/>
    </i>
    <i>
      <x v="337"/>
      <x v="319"/>
    </i>
    <i>
      <x v="338"/>
      <x v="320"/>
    </i>
    <i>
      <x v="339"/>
      <x v="321"/>
    </i>
    <i>
      <x v="340"/>
      <x v="322"/>
    </i>
    <i>
      <x v="341"/>
      <x v="323"/>
    </i>
    <i>
      <x v="342"/>
      <x v="327"/>
    </i>
    <i>
      <x v="343"/>
      <x v="327"/>
    </i>
    <i>
      <x v="344"/>
      <x v="327"/>
    </i>
    <i>
      <x v="345"/>
      <x v="328"/>
    </i>
    <i>
      <x v="346"/>
      <x v="329"/>
    </i>
    <i t="grand">
      <x/>
    </i>
  </rowItems>
  <colFields count="1">
    <field x="31"/>
  </colFields>
  <colItems count="8"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2" hier="-1"/>
  </pageFields>
  <dataFields count="1">
    <dataField name="Sum of Commissioned $" fld="27" baseField="0" baseItem="0" numFmtId="165"/>
  </dataFields>
  <formats count="603">
    <format dxfId="602">
      <pivotArea outline="0" collapsedLevelsAreSubtotals="1" fieldPosition="0"/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dataOnly="0" labelOnly="1" outline="0" fieldPosition="0">
        <references count="1">
          <reference field="0" count="33">
            <x v="1"/>
            <x v="4"/>
            <x v="5"/>
            <x v="6"/>
            <x v="7"/>
            <x v="10"/>
            <x v="11"/>
            <x v="12"/>
            <x v="13"/>
            <x v="17"/>
            <x v="21"/>
            <x v="23"/>
            <x v="24"/>
            <x v="25"/>
            <x v="26"/>
            <x v="27"/>
            <x v="29"/>
            <x v="30"/>
            <x v="31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598">
      <pivotArea dataOnly="0" labelOnly="1" outline="0" fieldPosition="0">
        <references count="1">
          <reference field="0" count="3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97">
      <pivotArea dataOnly="0" labelOnly="1" outline="0" fieldPosition="0">
        <references count="1">
          <reference field="0" count="48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96">
      <pivotArea dataOnly="0" labelOnly="1" outline="0" fieldPosition="0">
        <references count="1">
          <reference field="0" count="41">
            <x v="128"/>
            <x v="129"/>
            <x v="130"/>
            <x v="132"/>
            <x v="134"/>
            <x v="135"/>
            <x v="136"/>
            <x v="138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57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3"/>
            <x v="174"/>
            <x v="175"/>
            <x v="176"/>
            <x v="177"/>
            <x v="178"/>
          </reference>
        </references>
      </pivotArea>
    </format>
    <format dxfId="595">
      <pivotArea dataOnly="0" labelOnly="1" outline="0" fieldPosition="0">
        <references count="1">
          <reference field="0" count="46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6"/>
            <x v="200"/>
            <x v="201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94">
      <pivotArea dataOnly="0" labelOnly="1" outline="0" fieldPosition="0">
        <references count="1">
          <reference field="0" count="41"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5"/>
            <x v="268"/>
            <x v="269"/>
            <x v="270"/>
            <x v="271"/>
            <x v="272"/>
            <x v="273"/>
            <x v="275"/>
            <x v="276"/>
            <x v="277"/>
            <x v="278"/>
            <x v="279"/>
            <x v="280"/>
            <x v="281"/>
          </reference>
        </references>
      </pivotArea>
    </format>
    <format dxfId="593">
      <pivotArea dataOnly="0" labelOnly="1" outline="0" fieldPosition="0">
        <references count="1">
          <reference field="0" count="18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</reference>
        </references>
      </pivotArea>
    </format>
    <format dxfId="592">
      <pivotArea dataOnly="0" labelOnly="1" grandRow="1" outline="0" fieldPosition="0"/>
    </format>
    <format dxfId="591">
      <pivotArea dataOnly="0" labelOnly="1" outline="0" fieldPosition="0">
        <references count="2">
          <reference field="0" count="1" selected="0">
            <x v="1"/>
          </reference>
          <reference field="1" count="1">
            <x v="78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4"/>
          </reference>
          <reference field="1" count="1">
            <x v="225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5"/>
          </reference>
          <reference field="1" count="1">
            <x v="123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6"/>
          </reference>
          <reference field="1" count="1">
            <x v="228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7"/>
          </reference>
          <reference field="1" count="1">
            <x v="183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10"/>
          </reference>
          <reference field="1" count="1">
            <x v="195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12"/>
          </reference>
          <reference field="1" count="1">
            <x v="139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13"/>
          </reference>
          <reference field="1" count="1">
            <x v="209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17"/>
          </reference>
          <reference field="1" count="1">
            <x v="84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21"/>
          </reference>
          <reference field="1" count="1">
            <x v="127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23"/>
          </reference>
          <reference field="1" count="1">
            <x v="14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24"/>
          </reference>
          <reference field="1" count="1">
            <x v="136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25"/>
          </reference>
          <reference field="1" count="1">
            <x v="85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27"/>
          </reference>
          <reference field="1" count="1">
            <x v="82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29"/>
          </reference>
          <reference field="1" count="1">
            <x v="9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30"/>
          </reference>
          <reference field="1" count="1">
            <x v="156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35"/>
          </reference>
          <reference field="1" count="1">
            <x v="55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36"/>
          </reference>
          <reference field="1" count="1">
            <x v="232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37"/>
          </reference>
          <reference field="1" count="1">
            <x v="0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38"/>
          </reference>
          <reference field="1" count="1">
            <x v="179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39"/>
          </reference>
          <reference field="1" count="1">
            <x v="31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41"/>
          </reference>
          <reference field="1" count="1">
            <x v="159"/>
          </reference>
        </references>
      </pivotArea>
    </format>
    <format dxfId="565">
      <pivotArea dataOnly="0" labelOnly="1" outline="0" fieldPosition="0">
        <references count="2">
          <reference field="0" count="1" selected="0">
            <x v="42"/>
          </reference>
          <reference field="1" count="1">
            <x v="169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43"/>
          </reference>
          <reference field="1" count="1">
            <x v="132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44"/>
          </reference>
          <reference field="1" count="1">
            <x v="58"/>
          </reference>
        </references>
      </pivotArea>
    </format>
    <format dxfId="562">
      <pivotArea dataOnly="0" labelOnly="1" outline="0" fieldPosition="0">
        <references count="2">
          <reference field="0" count="1" selected="0">
            <x v="45"/>
          </reference>
          <reference field="1" count="1">
            <x v="154"/>
          </reference>
        </references>
      </pivotArea>
    </format>
    <format dxfId="561">
      <pivotArea dataOnly="0" labelOnly="1" outline="0" fieldPosition="0">
        <references count="2">
          <reference field="0" count="1" selected="0">
            <x v="46"/>
          </reference>
          <reference field="1" count="1">
            <x v="25"/>
          </reference>
        </references>
      </pivotArea>
    </format>
    <format dxfId="560">
      <pivotArea dataOnly="0" labelOnly="1" outline="0" fieldPosition="0">
        <references count="2">
          <reference field="0" count="1" selected="0">
            <x v="47"/>
          </reference>
          <reference field="1" count="1">
            <x v="5"/>
          </reference>
        </references>
      </pivotArea>
    </format>
    <format dxfId="559">
      <pivotArea dataOnly="0" labelOnly="1" outline="0" fieldPosition="0">
        <references count="2">
          <reference field="0" count="1" selected="0">
            <x v="48"/>
          </reference>
          <reference field="1" count="1">
            <x v="1"/>
          </reference>
        </references>
      </pivotArea>
    </format>
    <format dxfId="558">
      <pivotArea dataOnly="0" labelOnly="1" outline="0" fieldPosition="0">
        <references count="2">
          <reference field="0" count="1" selected="0">
            <x v="49"/>
          </reference>
          <reference field="1" count="1">
            <x v="158"/>
          </reference>
        </references>
      </pivotArea>
    </format>
    <format dxfId="557">
      <pivotArea dataOnly="0" labelOnly="1" outline="0" fieldPosition="0">
        <references count="2">
          <reference field="0" count="1" selected="0">
            <x v="50"/>
          </reference>
          <reference field="1" count="1">
            <x v="201"/>
          </reference>
        </references>
      </pivotArea>
    </format>
    <format dxfId="556">
      <pivotArea dataOnly="0" labelOnly="1" outline="0" fieldPosition="0">
        <references count="2">
          <reference field="0" count="1" selected="0">
            <x v="51"/>
          </reference>
          <reference field="1" count="1">
            <x v="24"/>
          </reference>
        </references>
      </pivotArea>
    </format>
    <format dxfId="555">
      <pivotArea dataOnly="0" labelOnly="1" outline="0" fieldPosition="0">
        <references count="2">
          <reference field="0" count="1" selected="0">
            <x v="52"/>
          </reference>
          <reference field="1" count="1">
            <x v="117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53"/>
          </reference>
          <reference field="1" count="1">
            <x v="2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54"/>
          </reference>
          <reference field="1" count="1">
            <x v="26"/>
          </reference>
        </references>
      </pivotArea>
    </format>
    <format dxfId="552">
      <pivotArea dataOnly="0" labelOnly="1" outline="0" fieldPosition="0">
        <references count="2">
          <reference field="0" count="1" selected="0">
            <x v="55"/>
          </reference>
          <reference field="1" count="1">
            <x v="161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56"/>
          </reference>
          <reference field="1" count="1">
            <x v="176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57"/>
          </reference>
          <reference field="1" count="1">
            <x v="43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58"/>
          </reference>
          <reference field="1" count="1">
            <x v="54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59"/>
          </reference>
          <reference field="1" count="1">
            <x v="98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60"/>
          </reference>
          <reference field="1" count="1">
            <x v="104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64"/>
          </reference>
          <reference field="1" count="1">
            <x v="32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66"/>
          </reference>
          <reference field="1" count="1">
            <x v="107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67"/>
          </reference>
          <reference field="1" count="1">
            <x v="203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68"/>
          </reference>
          <reference field="1" count="1">
            <x v="182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69"/>
          </reference>
          <reference field="1" count="1">
            <x v="30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70"/>
          </reference>
          <reference field="1" count="1">
            <x v="116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71"/>
          </reference>
          <reference field="1" count="1">
            <x v="196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72"/>
          </reference>
          <reference field="1" count="1">
            <x v="41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73"/>
          </reference>
          <reference field="1" count="1">
            <x v="185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74"/>
          </reference>
          <reference field="1" count="1">
            <x v="52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75"/>
          </reference>
          <reference field="1" count="1">
            <x v="217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76"/>
          </reference>
          <reference field="1" count="1">
            <x v="113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77"/>
          </reference>
          <reference field="1" count="1">
            <x v="213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79"/>
          </reference>
          <reference field="1" count="1">
            <x v="7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80"/>
          </reference>
          <reference field="1" count="1">
            <x v="192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81"/>
          </reference>
          <reference field="1" count="1">
            <x v="165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82"/>
          </reference>
          <reference field="1" count="1">
            <x v="67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83"/>
          </reference>
          <reference field="1" count="1">
            <x v="86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84"/>
          </reference>
          <reference field="1" count="1">
            <x v="200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87"/>
          </reference>
          <reference field="1" count="1">
            <x v="16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88"/>
          </reference>
          <reference field="1" count="1">
            <x v="33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89"/>
          </reference>
          <reference field="1" count="1">
            <x v="63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90"/>
          </reference>
          <reference field="1" count="1">
            <x v="173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91"/>
          </reference>
          <reference field="1" count="1">
            <x v="122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92"/>
          </reference>
          <reference field="1" count="1">
            <x v="62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93"/>
          </reference>
          <reference field="1" count="1">
            <x v="166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94"/>
          </reference>
          <reference field="1" count="1">
            <x v="60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95"/>
          </reference>
          <reference field="1" count="1">
            <x v="215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97"/>
          </reference>
          <reference field="1" count="1">
            <x v="53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99"/>
          </reference>
          <reference field="1" count="1">
            <x v="216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100"/>
          </reference>
          <reference field="1" count="1">
            <x v="188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101"/>
          </reference>
          <reference field="1" count="1">
            <x v="189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102"/>
          </reference>
          <reference field="1" count="1">
            <x v="190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103"/>
          </reference>
          <reference field="1" count="1">
            <x v="210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104"/>
          </reference>
          <reference field="1" count="1">
            <x v="99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105"/>
          </reference>
          <reference field="1" count="1">
            <x v="105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106"/>
          </reference>
          <reference field="1" count="1">
            <x v="101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107"/>
          </reference>
          <reference field="1" count="1">
            <x v="100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109"/>
          </reference>
          <reference field="1" count="1">
            <x v="87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110"/>
          </reference>
          <reference field="1" count="1">
            <x v="3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111"/>
          </reference>
          <reference field="1" count="1">
            <x v="57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113"/>
          </reference>
          <reference field="1" count="1">
            <x v="218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114"/>
          </reference>
          <reference field="1" count="1">
            <x v="152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115"/>
          </reference>
          <reference field="1" count="1">
            <x v="143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116"/>
          </reference>
          <reference field="1" count="1">
            <x v="134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117"/>
          </reference>
          <reference field="1" count="1">
            <x v="212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118"/>
          </reference>
          <reference field="1" count="1">
            <x v="118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119"/>
          </reference>
          <reference field="1" count="1">
            <x v="208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121"/>
          </reference>
          <reference field="1" count="1">
            <x v="21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122"/>
          </reference>
          <reference field="1" count="1">
            <x v="28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123"/>
          </reference>
          <reference field="1" count="1">
            <x v="170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124"/>
          </reference>
          <reference field="1" count="1">
            <x v="191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126"/>
          </reference>
          <reference field="1" count="1">
            <x v="227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127"/>
          </reference>
          <reference field="1" count="1">
            <x v="68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128"/>
          </reference>
          <reference field="1" count="1">
            <x v="88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130"/>
          </reference>
          <reference field="1" count="1">
            <x v="40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135"/>
          </reference>
          <reference field="1" count="1">
            <x v="226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136"/>
          </reference>
          <reference field="1" count="1">
            <x v="44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138"/>
          </reference>
          <reference field="1" count="1">
            <x v="138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140"/>
          </reference>
          <reference field="1" count="1">
            <x v="202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141"/>
          </reference>
          <reference field="1" count="1">
            <x v="204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142"/>
          </reference>
          <reference field="1" count="1">
            <x v="194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143"/>
          </reference>
          <reference field="1" count="1">
            <x v="135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147"/>
          </reference>
          <reference field="1" count="1">
            <x v="148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148"/>
          </reference>
          <reference field="1" count="1">
            <x v="64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149"/>
          </reference>
          <reference field="1" count="1">
            <x v="69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150"/>
          </reference>
          <reference field="1" count="1">
            <x v="76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154"/>
          </reference>
          <reference field="1" count="1">
            <x v="89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155"/>
          </reference>
          <reference field="1" count="1">
            <x v="175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156"/>
          </reference>
          <reference field="1" count="1">
            <x v="219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160"/>
          </reference>
          <reference field="1" count="1">
            <x v="70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161"/>
          </reference>
          <reference field="1" count="1">
            <x v="220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162"/>
          </reference>
          <reference field="1" count="1">
            <x v="95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163"/>
          </reference>
          <reference field="1" count="1">
            <x v="90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166"/>
          </reference>
          <reference field="1" count="1">
            <x v="106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169"/>
          </reference>
          <reference field="1" count="1">
            <x v="46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170"/>
          </reference>
          <reference field="1" count="1">
            <x v="163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173"/>
          </reference>
          <reference field="1" count="1">
            <x v="120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174"/>
          </reference>
          <reference field="1" count="1">
            <x v="71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175"/>
          </reference>
          <reference field="1" count="1">
            <x v="221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178"/>
          </reference>
          <reference field="1" count="1">
            <x v="102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179"/>
          </reference>
          <reference field="1" count="1">
            <x v="149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180"/>
          </reference>
          <reference field="1" count="1">
            <x v="91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181"/>
          </reference>
          <reference field="1" count="1">
            <x v="167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182"/>
          </reference>
          <reference field="1" count="1">
            <x v="51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183"/>
          </reference>
          <reference field="1" count="1">
            <x v="72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184"/>
          </reference>
          <reference field="1" count="1">
            <x v="121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185"/>
          </reference>
          <reference field="1" count="1">
            <x v="222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186"/>
          </reference>
          <reference field="1" count="1">
            <x v="205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187"/>
          </reference>
          <reference field="1" count="1">
            <x v="150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188"/>
          </reference>
          <reference field="1" count="1">
            <x v="77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189"/>
          </reference>
          <reference field="1" count="1">
            <x v="73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190"/>
          </reference>
          <reference field="1" count="1">
            <x v="223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193"/>
          </reference>
          <reference field="1" count="1">
            <x v="17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194"/>
          </reference>
          <reference field="1" count="1">
            <x v="140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196"/>
          </reference>
          <reference field="1" count="1">
            <x v="224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205"/>
          </reference>
          <reference field="1" count="1">
            <x v="38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208"/>
          </reference>
          <reference field="1" count="1">
            <x v="181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209"/>
          </reference>
          <reference field="1" count="1">
            <x v="18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210"/>
          </reference>
          <reference field="1" count="1">
            <x v="48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211"/>
          </reference>
          <reference field="1" count="1">
            <x v="144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212"/>
          </reference>
          <reference field="1" count="1">
            <x v="198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213"/>
          </reference>
          <reference field="1" count="1">
            <x v="56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215"/>
          </reference>
          <reference field="1" count="1">
            <x v="13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216"/>
          </reference>
          <reference field="1" count="1">
            <x v="19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218"/>
          </reference>
          <reference field="1" count="1">
            <x v="59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219"/>
          </reference>
          <reference field="1" count="1">
            <x v="103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220"/>
          </reference>
          <reference field="1" count="1">
            <x v="177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221"/>
          </reference>
          <reference field="1" count="1">
            <x v="92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222"/>
          </reference>
          <reference field="1" count="1">
            <x v="93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223"/>
          </reference>
          <reference field="1" count="1">
            <x v="94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224"/>
          </reference>
          <reference field="1" count="1">
            <x v="197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225"/>
          </reference>
          <reference field="1" count="1">
            <x v="12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226"/>
          </reference>
          <reference field="1" count="1">
            <x v="164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227"/>
          </reference>
          <reference field="1" count="1">
            <x v="83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228"/>
          </reference>
          <reference field="1" count="1">
            <x v="35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229"/>
          </reference>
          <reference field="1" count="1">
            <x v="97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230"/>
          </reference>
          <reference field="1" count="1">
            <x v="129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231"/>
          </reference>
          <reference field="1" count="1">
            <x v="130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232"/>
          </reference>
          <reference field="1" count="1">
            <x v="131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234"/>
          </reference>
          <reference field="1" count="1">
            <x v="22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235"/>
          </reference>
          <reference field="1" count="1">
            <x v="6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236"/>
          </reference>
          <reference field="1" count="1">
            <x v="211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238"/>
          </reference>
          <reference field="1" count="1">
            <x v="146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239"/>
          </reference>
          <reference field="1" count="1">
            <x v="50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241"/>
          </reference>
          <reference field="1" count="1">
            <x v="155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242"/>
          </reference>
          <reference field="1" count="1">
            <x v="160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243"/>
          </reference>
          <reference field="1" count="1">
            <x v="180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245"/>
          </reference>
          <reference field="1" count="1">
            <x v="229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246"/>
          </reference>
          <reference field="1" count="1">
            <x v="230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247"/>
          </reference>
          <reference field="1" count="1">
            <x v="231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248"/>
          </reference>
          <reference field="1" count="1">
            <x v="49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249"/>
          </reference>
          <reference field="1" count="1">
            <x v="109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250"/>
          </reference>
          <reference field="1" count="1">
            <x v="128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251"/>
          </reference>
          <reference field="1" count="1">
            <x v="207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252"/>
          </reference>
          <reference field="1" count="1">
            <x v="192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253"/>
          </reference>
          <reference field="1" count="1">
            <x v="172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254"/>
          </reference>
          <reference field="1" count="1">
            <x v="137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255"/>
          </reference>
          <reference field="1" count="1">
            <x v="187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256"/>
          </reference>
          <reference field="1" count="1">
            <x v="112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257"/>
          </reference>
          <reference field="1" count="1">
            <x v="119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258"/>
          </reference>
          <reference field="1" count="1">
            <x v="27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259"/>
          </reference>
          <reference field="1" count="1">
            <x v="193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260"/>
          </reference>
          <reference field="1" count="1">
            <x v="111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268"/>
          </reference>
          <reference field="1" count="1">
            <x v="74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270"/>
          </reference>
          <reference field="1" count="1">
            <x v="79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271"/>
          </reference>
          <reference field="1" count="1">
            <x v="114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272"/>
          </reference>
          <reference field="1" count="1">
            <x v="126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273"/>
          </reference>
          <reference field="1" count="1">
            <x v="142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275"/>
          </reference>
          <reference field="1" count="1">
            <x v="15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277"/>
          </reference>
          <reference field="1" count="1">
            <x v="206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278"/>
          </reference>
          <reference field="1" count="1">
            <x v="145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279"/>
          </reference>
          <reference field="1" count="1">
            <x v="147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280"/>
          </reference>
          <reference field="1" count="1">
            <x v="23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284"/>
          </reference>
          <reference field="1" count="1">
            <x v="108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288"/>
          </reference>
          <reference field="1" count="1">
            <x v="133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289"/>
          </reference>
          <reference field="1" count="1">
            <x v="20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290"/>
          </reference>
          <reference field="1" count="1">
            <x v="162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291"/>
          </reference>
          <reference field="1" count="1">
            <x v="45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292"/>
          </reference>
          <reference field="1" count="1">
            <x v="124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293"/>
          </reference>
          <reference field="1" count="1">
            <x v="75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294"/>
          </reference>
          <reference field="1" count="1">
            <x v="178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295"/>
          </reference>
          <reference field="1" count="1">
            <x v="81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296"/>
          </reference>
          <reference field="1" count="1">
            <x v="115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297"/>
          </reference>
          <reference field="1" count="1">
            <x v="125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298"/>
          </reference>
          <reference field="1" count="1">
            <x v="96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300"/>
          </reference>
          <reference field="1" count="1">
            <x v="186"/>
          </reference>
        </references>
      </pivotArea>
    </format>
    <format dxfId="376">
      <pivotArea dataOnly="0" labelOnly="1" outline="0" fieldPosition="0">
        <references count="1">
          <reference field="31" count="0"/>
        </references>
      </pivotArea>
    </format>
    <format dxfId="375">
      <pivotArea dataOnly="0" labelOnly="1" grandCol="1" outline="0" fieldPosition="0"/>
    </format>
    <format dxfId="374">
      <pivotArea type="all" dataOnly="0" outline="0" fieldPosition="0"/>
    </format>
    <format dxfId="373">
      <pivotArea outline="0" collapsedLevelsAreSubtotals="1" fieldPosition="0"/>
    </format>
    <format dxfId="372">
      <pivotArea dataOnly="0" labelOnly="1" outline="0" fieldPosition="0">
        <references count="1">
          <reference field="0" count="33">
            <x v="1"/>
            <x v="4"/>
            <x v="5"/>
            <x v="6"/>
            <x v="7"/>
            <x v="10"/>
            <x v="11"/>
            <x v="12"/>
            <x v="13"/>
            <x v="17"/>
            <x v="21"/>
            <x v="23"/>
            <x v="24"/>
            <x v="25"/>
            <x v="26"/>
            <x v="27"/>
            <x v="29"/>
            <x v="30"/>
            <x v="31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371">
      <pivotArea dataOnly="0" labelOnly="1" outline="0" fieldPosition="0">
        <references count="1">
          <reference field="0" count="3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370">
      <pivotArea dataOnly="0" labelOnly="1" outline="0" fieldPosition="0">
        <references count="1">
          <reference field="0" count="48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69">
      <pivotArea dataOnly="0" labelOnly="1" outline="0" fieldPosition="0">
        <references count="1">
          <reference field="0" count="41">
            <x v="128"/>
            <x v="129"/>
            <x v="130"/>
            <x v="132"/>
            <x v="134"/>
            <x v="135"/>
            <x v="136"/>
            <x v="138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57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3"/>
            <x v="174"/>
            <x v="175"/>
            <x v="176"/>
            <x v="177"/>
            <x v="178"/>
          </reference>
        </references>
      </pivotArea>
    </format>
    <format dxfId="368">
      <pivotArea dataOnly="0" labelOnly="1" outline="0" fieldPosition="0">
        <references count="1">
          <reference field="0" count="46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6"/>
            <x v="200"/>
            <x v="201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67">
      <pivotArea dataOnly="0" labelOnly="1" outline="0" fieldPosition="0">
        <references count="1">
          <reference field="0" count="41"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5"/>
            <x v="268"/>
            <x v="269"/>
            <x v="270"/>
            <x v="271"/>
            <x v="272"/>
            <x v="273"/>
            <x v="275"/>
            <x v="276"/>
            <x v="277"/>
            <x v="278"/>
            <x v="279"/>
            <x v="280"/>
            <x v="281"/>
          </reference>
        </references>
      </pivotArea>
    </format>
    <format dxfId="366">
      <pivotArea dataOnly="0" labelOnly="1" outline="0" fieldPosition="0">
        <references count="1">
          <reference field="0" count="18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</reference>
        </references>
      </pivotArea>
    </format>
    <format dxfId="365">
      <pivotArea dataOnly="0" labelOnly="1" grandRow="1" outline="0" fieldPosition="0"/>
    </format>
    <format dxfId="364">
      <pivotArea dataOnly="0" labelOnly="1" outline="0" fieldPosition="0">
        <references count="2">
          <reference field="0" count="1" selected="0">
            <x v="1"/>
          </reference>
          <reference field="1" count="1">
            <x v="78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4"/>
          </reference>
          <reference field="1" count="1">
            <x v="225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5"/>
          </reference>
          <reference field="1" count="1">
            <x v="123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6"/>
          </reference>
          <reference field="1" count="1">
            <x v="228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7"/>
          </reference>
          <reference field="1" count="1">
            <x v="183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10"/>
          </reference>
          <reference field="1" count="1">
            <x v="195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12"/>
          </reference>
          <reference field="1" count="1">
            <x v="139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13"/>
          </reference>
          <reference field="1" count="1">
            <x v="209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17"/>
          </reference>
          <reference field="1" count="1">
            <x v="84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21"/>
          </reference>
          <reference field="1" count="1">
            <x v="127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23"/>
          </reference>
          <reference field="1" count="1">
            <x v="14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24"/>
          </reference>
          <reference field="1" count="1">
            <x v="136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25"/>
          </reference>
          <reference field="1" count="1">
            <x v="85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27"/>
          </reference>
          <reference field="1" count="1">
            <x v="82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29"/>
          </reference>
          <reference field="1" count="1">
            <x v="9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30"/>
          </reference>
          <reference field="1" count="1">
            <x v="156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35"/>
          </reference>
          <reference field="1" count="1">
            <x v="55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36"/>
          </reference>
          <reference field="1" count="1">
            <x v="232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37"/>
          </reference>
          <reference field="1" count="1">
            <x v="0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38"/>
          </reference>
          <reference field="1" count="1">
            <x v="179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39"/>
          </reference>
          <reference field="1" count="1">
            <x v="31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41"/>
          </reference>
          <reference field="1" count="1">
            <x v="159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42"/>
          </reference>
          <reference field="1" count="1">
            <x v="169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43"/>
          </reference>
          <reference field="1" count="1">
            <x v="132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44"/>
          </reference>
          <reference field="1" count="1">
            <x v="58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45"/>
          </reference>
          <reference field="1" count="1">
            <x v="154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46"/>
          </reference>
          <reference field="1" count="1">
            <x v="25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47"/>
          </reference>
          <reference field="1" count="1">
            <x v="5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48"/>
          </reference>
          <reference field="1" count="1">
            <x v="1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49"/>
          </reference>
          <reference field="1" count="1">
            <x v="158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50"/>
          </reference>
          <reference field="1" count="1">
            <x v="201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51"/>
          </reference>
          <reference field="1" count="1">
            <x v="24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52"/>
          </reference>
          <reference field="1" count="1">
            <x v="117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53"/>
          </reference>
          <reference field="1" count="1">
            <x v="2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54"/>
          </reference>
          <reference field="1" count="1">
            <x v="26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55"/>
          </reference>
          <reference field="1" count="1">
            <x v="161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56"/>
          </reference>
          <reference field="1" count="1">
            <x v="176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57"/>
          </reference>
          <reference field="1" count="1">
            <x v="43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58"/>
          </reference>
          <reference field="1" count="1">
            <x v="54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59"/>
          </reference>
          <reference field="1" count="1">
            <x v="98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60"/>
          </reference>
          <reference field="1" count="1">
            <x v="104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64"/>
          </reference>
          <reference field="1" count="1">
            <x v="32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66"/>
          </reference>
          <reference field="1" count="1">
            <x v="107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67"/>
          </reference>
          <reference field="1" count="1">
            <x v="203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68"/>
          </reference>
          <reference field="1" count="1">
            <x v="182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69"/>
          </reference>
          <reference field="1" count="1">
            <x v="30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70"/>
          </reference>
          <reference field="1" count="1">
            <x v="116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71"/>
          </reference>
          <reference field="1" count="1">
            <x v="196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72"/>
          </reference>
          <reference field="1" count="1">
            <x v="41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73"/>
          </reference>
          <reference field="1" count="1">
            <x v="185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74"/>
          </reference>
          <reference field="1" count="1">
            <x v="52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75"/>
          </reference>
          <reference field="1" count="1">
            <x v="217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76"/>
          </reference>
          <reference field="1" count="1">
            <x v="113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77"/>
          </reference>
          <reference field="1" count="1">
            <x v="213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79"/>
          </reference>
          <reference field="1" count="1">
            <x v="7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80"/>
          </reference>
          <reference field="1" count="1">
            <x v="192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81"/>
          </reference>
          <reference field="1" count="1">
            <x v="165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82"/>
          </reference>
          <reference field="1" count="1">
            <x v="67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83"/>
          </reference>
          <reference field="1" count="1">
            <x v="86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84"/>
          </reference>
          <reference field="1" count="1">
            <x v="200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87"/>
          </reference>
          <reference field="1" count="1">
            <x v="16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88"/>
          </reference>
          <reference field="1" count="1">
            <x v="33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89"/>
          </reference>
          <reference field="1" count="1">
            <x v="63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90"/>
          </reference>
          <reference field="1" count="1">
            <x v="173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91"/>
          </reference>
          <reference field="1" count="1">
            <x v="122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92"/>
          </reference>
          <reference field="1" count="1">
            <x v="62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93"/>
          </reference>
          <reference field="1" count="1">
            <x v="166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94"/>
          </reference>
          <reference field="1" count="1">
            <x v="60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95"/>
          </reference>
          <reference field="1" count="1">
            <x v="215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97"/>
          </reference>
          <reference field="1" count="1">
            <x v="53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99"/>
          </reference>
          <reference field="1" count="1">
            <x v="216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00"/>
          </reference>
          <reference field="1" count="1">
            <x v="188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101"/>
          </reference>
          <reference field="1" count="1">
            <x v="189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102"/>
          </reference>
          <reference field="1" count="1">
            <x v="190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103"/>
          </reference>
          <reference field="1" count="1">
            <x v="210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104"/>
          </reference>
          <reference field="1" count="1">
            <x v="99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105"/>
          </reference>
          <reference field="1" count="1">
            <x v="105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106"/>
          </reference>
          <reference field="1" count="1">
            <x v="101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107"/>
          </reference>
          <reference field="1" count="1">
            <x v="100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109"/>
          </reference>
          <reference field="1" count="1">
            <x v="87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110"/>
          </reference>
          <reference field="1" count="1">
            <x v="3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11"/>
          </reference>
          <reference field="1" count="1">
            <x v="57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113"/>
          </reference>
          <reference field="1" count="1">
            <x v="218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114"/>
          </reference>
          <reference field="1" count="1">
            <x v="152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115"/>
          </reference>
          <reference field="1" count="1">
            <x v="143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116"/>
          </reference>
          <reference field="1" count="1">
            <x v="134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17"/>
          </reference>
          <reference field="1" count="1">
            <x v="212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18"/>
          </reference>
          <reference field="1" count="1">
            <x v="118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19"/>
          </reference>
          <reference field="1" count="1">
            <x v="208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21"/>
          </reference>
          <reference field="1" count="1">
            <x v="21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122"/>
          </reference>
          <reference field="1" count="1">
            <x v="28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23"/>
          </reference>
          <reference field="1" count="1">
            <x v="170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124"/>
          </reference>
          <reference field="1" count="1">
            <x v="191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126"/>
          </reference>
          <reference field="1" count="1">
            <x v="227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127"/>
          </reference>
          <reference field="1" count="1">
            <x v="68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28"/>
          </reference>
          <reference field="1" count="1">
            <x v="88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130"/>
          </reference>
          <reference field="1" count="1">
            <x v="40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135"/>
          </reference>
          <reference field="1" count="1">
            <x v="226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136"/>
          </reference>
          <reference field="1" count="1">
            <x v="44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138"/>
          </reference>
          <reference field="1" count="1">
            <x v="138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140"/>
          </reference>
          <reference field="1" count="1">
            <x v="202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141"/>
          </reference>
          <reference field="1" count="1">
            <x v="204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142"/>
          </reference>
          <reference field="1" count="1">
            <x v="194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143"/>
          </reference>
          <reference field="1" count="1">
            <x v="135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147"/>
          </reference>
          <reference field="1" count="1">
            <x v="148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148"/>
          </reference>
          <reference field="1" count="1">
            <x v="64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149"/>
          </reference>
          <reference field="1" count="1">
            <x v="69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150"/>
          </reference>
          <reference field="1" count="1">
            <x v="76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154"/>
          </reference>
          <reference field="1" count="1">
            <x v="89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155"/>
          </reference>
          <reference field="1" count="1">
            <x v="175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156"/>
          </reference>
          <reference field="1" count="1">
            <x v="219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160"/>
          </reference>
          <reference field="1" count="1">
            <x v="70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161"/>
          </reference>
          <reference field="1" count="1">
            <x v="220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162"/>
          </reference>
          <reference field="1" count="1">
            <x v="95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163"/>
          </reference>
          <reference field="1" count="1">
            <x v="90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166"/>
          </reference>
          <reference field="1" count="1">
            <x v="106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169"/>
          </reference>
          <reference field="1" count="1">
            <x v="46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170"/>
          </reference>
          <reference field="1" count="1">
            <x v="163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173"/>
          </reference>
          <reference field="1" count="1">
            <x v="120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174"/>
          </reference>
          <reference field="1" count="1">
            <x v="71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175"/>
          </reference>
          <reference field="1" count="1">
            <x v="221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178"/>
          </reference>
          <reference field="1" count="1">
            <x v="102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179"/>
          </reference>
          <reference field="1" count="1">
            <x v="149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180"/>
          </reference>
          <reference field="1" count="1">
            <x v="91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181"/>
          </reference>
          <reference field="1" count="1">
            <x v="167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182"/>
          </reference>
          <reference field="1" count="1">
            <x v="51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183"/>
          </reference>
          <reference field="1" count="1">
            <x v="72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184"/>
          </reference>
          <reference field="1" count="1">
            <x v="121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185"/>
          </reference>
          <reference field="1" count="1">
            <x v="222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186"/>
          </reference>
          <reference field="1" count="1">
            <x v="205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187"/>
          </reference>
          <reference field="1" count="1">
            <x v="150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188"/>
          </reference>
          <reference field="1" count="1">
            <x v="77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189"/>
          </reference>
          <reference field="1" count="1">
            <x v="73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190"/>
          </reference>
          <reference field="1" count="1">
            <x v="223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193"/>
          </reference>
          <reference field="1" count="1">
            <x v="17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94"/>
          </reference>
          <reference field="1" count="1">
            <x v="140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196"/>
          </reference>
          <reference field="1" count="1">
            <x v="224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205"/>
          </reference>
          <reference field="1" count="1">
            <x v="38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208"/>
          </reference>
          <reference field="1" count="1">
            <x v="181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209"/>
          </reference>
          <reference field="1" count="1">
            <x v="18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210"/>
          </reference>
          <reference field="1" count="1">
            <x v="48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211"/>
          </reference>
          <reference field="1" count="1">
            <x v="144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212"/>
          </reference>
          <reference field="1" count="1">
            <x v="198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213"/>
          </reference>
          <reference field="1" count="1">
            <x v="56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215"/>
          </reference>
          <reference field="1" count="1">
            <x v="13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216"/>
          </reference>
          <reference field="1" count="1">
            <x v="19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218"/>
          </reference>
          <reference field="1" count="1">
            <x v="59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219"/>
          </reference>
          <reference field="1" count="1">
            <x v="103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220"/>
          </reference>
          <reference field="1" count="1">
            <x v="177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221"/>
          </reference>
          <reference field="1" count="1">
            <x v="92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222"/>
          </reference>
          <reference field="1" count="1">
            <x v="93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223"/>
          </reference>
          <reference field="1" count="1">
            <x v="94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224"/>
          </reference>
          <reference field="1" count="1">
            <x v="197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225"/>
          </reference>
          <reference field="1" count="1">
            <x v="12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226"/>
          </reference>
          <reference field="1" count="1">
            <x v="164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227"/>
          </reference>
          <reference field="1" count="1">
            <x v="83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228"/>
          </reference>
          <reference field="1" count="1">
            <x v="35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229"/>
          </reference>
          <reference field="1" count="1">
            <x v="97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230"/>
          </reference>
          <reference field="1" count="1">
            <x v="129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231"/>
          </reference>
          <reference field="1" count="1">
            <x v="130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232"/>
          </reference>
          <reference field="1" count="1">
            <x v="131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234"/>
          </reference>
          <reference field="1" count="1">
            <x v="22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235"/>
          </reference>
          <reference field="1" count="1">
            <x v="6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236"/>
          </reference>
          <reference field="1" count="1">
            <x v="211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238"/>
          </reference>
          <reference field="1" count="1">
            <x v="146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239"/>
          </reference>
          <reference field="1" count="1">
            <x v="50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241"/>
          </reference>
          <reference field="1" count="1">
            <x v="155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242"/>
          </reference>
          <reference field="1" count="1">
            <x v="160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243"/>
          </reference>
          <reference field="1" count="1">
            <x v="180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245"/>
          </reference>
          <reference field="1" count="1">
            <x v="229"/>
          </reference>
        </references>
      </pivotArea>
    </format>
    <format dxfId="188">
      <pivotArea dataOnly="0" labelOnly="1" outline="0" fieldPosition="0">
        <references count="2">
          <reference field="0" count="1" selected="0">
            <x v="246"/>
          </reference>
          <reference field="1" count="1">
            <x v="230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247"/>
          </reference>
          <reference field="1" count="1">
            <x v="231"/>
          </reference>
        </references>
      </pivotArea>
    </format>
    <format dxfId="186">
      <pivotArea dataOnly="0" labelOnly="1" outline="0" fieldPosition="0">
        <references count="2">
          <reference field="0" count="1" selected="0">
            <x v="248"/>
          </reference>
          <reference field="1" count="1">
            <x v="49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249"/>
          </reference>
          <reference field="1" count="1">
            <x v="109"/>
          </reference>
        </references>
      </pivotArea>
    </format>
    <format dxfId="184">
      <pivotArea dataOnly="0" labelOnly="1" outline="0" fieldPosition="0">
        <references count="2">
          <reference field="0" count="1" selected="0">
            <x v="250"/>
          </reference>
          <reference field="1" count="1">
            <x v="128"/>
          </reference>
        </references>
      </pivotArea>
    </format>
    <format dxfId="183">
      <pivotArea dataOnly="0" labelOnly="1" outline="0" fieldPosition="0">
        <references count="2">
          <reference field="0" count="1" selected="0">
            <x v="251"/>
          </reference>
          <reference field="1" count="1">
            <x v="207"/>
          </reference>
        </references>
      </pivotArea>
    </format>
    <format dxfId="182">
      <pivotArea dataOnly="0" labelOnly="1" outline="0" fieldPosition="0">
        <references count="2">
          <reference field="0" count="1" selected="0">
            <x v="252"/>
          </reference>
          <reference field="1" count="1">
            <x v="192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253"/>
          </reference>
          <reference field="1" count="1">
            <x v="172"/>
          </reference>
        </references>
      </pivotArea>
    </format>
    <format dxfId="180">
      <pivotArea dataOnly="0" labelOnly="1" outline="0" fieldPosition="0">
        <references count="2">
          <reference field="0" count="1" selected="0">
            <x v="254"/>
          </reference>
          <reference field="1" count="1">
            <x v="137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255"/>
          </reference>
          <reference field="1" count="1">
            <x v="187"/>
          </reference>
        </references>
      </pivotArea>
    </format>
    <format dxfId="178">
      <pivotArea dataOnly="0" labelOnly="1" outline="0" fieldPosition="0">
        <references count="2">
          <reference field="0" count="1" selected="0">
            <x v="256"/>
          </reference>
          <reference field="1" count="1">
            <x v="112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257"/>
          </reference>
          <reference field="1" count="1">
            <x v="119"/>
          </reference>
        </references>
      </pivotArea>
    </format>
    <format dxfId="176">
      <pivotArea dataOnly="0" labelOnly="1" outline="0" fieldPosition="0">
        <references count="2">
          <reference field="0" count="1" selected="0">
            <x v="258"/>
          </reference>
          <reference field="1" count="1">
            <x v="27"/>
          </reference>
        </references>
      </pivotArea>
    </format>
    <format dxfId="175">
      <pivotArea dataOnly="0" labelOnly="1" outline="0" fieldPosition="0">
        <references count="2">
          <reference field="0" count="1" selected="0">
            <x v="259"/>
          </reference>
          <reference field="1" count="1">
            <x v="193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260"/>
          </reference>
          <reference field="1" count="1">
            <x v="111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268"/>
          </reference>
          <reference field="1" count="1">
            <x v="74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270"/>
          </reference>
          <reference field="1" count="1">
            <x v="79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271"/>
          </reference>
          <reference field="1" count="1">
            <x v="114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272"/>
          </reference>
          <reference field="1" count="1">
            <x v="126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273"/>
          </reference>
          <reference field="1" count="1">
            <x v="142"/>
          </reference>
        </references>
      </pivotArea>
    </format>
    <format dxfId="167">
      <pivotArea dataOnly="0" labelOnly="1" outline="0" fieldPosition="0">
        <references count="2">
          <reference field="0" count="1" selected="0">
            <x v="275"/>
          </reference>
          <reference field="1" count="1">
            <x v="15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277"/>
          </reference>
          <reference field="1" count="1">
            <x v="206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278"/>
          </reference>
          <reference field="1" count="1">
            <x v="145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279"/>
          </reference>
          <reference field="1" count="1">
            <x v="147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280"/>
          </reference>
          <reference field="1" count="1">
            <x v="23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284"/>
          </reference>
          <reference field="1" count="1">
            <x v="108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288"/>
          </reference>
          <reference field="1" count="1">
            <x v="133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289"/>
          </reference>
          <reference field="1" count="1">
            <x v="20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290"/>
          </reference>
          <reference field="1" count="1">
            <x v="162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291"/>
          </reference>
          <reference field="1" count="1">
            <x v="45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292"/>
          </reference>
          <reference field="1" count="1">
            <x v="124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293"/>
          </reference>
          <reference field="1" count="1">
            <x v="75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294"/>
          </reference>
          <reference field="1" count="1">
            <x v="178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295"/>
          </reference>
          <reference field="1" count="1">
            <x v="81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296"/>
          </reference>
          <reference field="1" count="1">
            <x v="115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297"/>
          </reference>
          <reference field="1" count="1">
            <x v="125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298"/>
          </reference>
          <reference field="1" count="1">
            <x v="96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300"/>
          </reference>
          <reference field="1" count="1">
            <x v="186"/>
          </reference>
        </references>
      </pivotArea>
    </format>
    <format dxfId="149">
      <pivotArea dataOnly="0" labelOnly="1" outline="0" fieldPosition="0">
        <references count="1">
          <reference field="31" count="0"/>
        </references>
      </pivotArea>
    </format>
    <format dxfId="148">
      <pivotArea dataOnly="0" labelOnly="1" grandCol="1" outline="0" fieldPosition="0"/>
    </format>
    <format dxfId="147">
      <pivotArea field="0" type="button" dataOnly="0" labelOnly="1" outline="0" axis="axisRow" fieldPosition="0"/>
    </format>
    <format dxfId="146">
      <pivotArea dataOnly="0" labelOnly="1" outline="0" fieldPosition="0">
        <references count="1">
          <reference field="31" count="0"/>
        </references>
      </pivotArea>
    </format>
    <format dxfId="145">
      <pivotArea dataOnly="0" labelOnly="1" grandCol="1" outline="0" fieldPosition="0"/>
    </format>
    <format dxfId="144">
      <pivotArea outline="0" collapsedLevelsAreSubtotals="1" fieldPosition="0">
        <references count="3">
          <reference field="0" count="1" selected="0">
            <x v="138"/>
          </reference>
          <reference field="1" count="1" selected="0">
            <x v="138"/>
          </reference>
          <reference field="31" count="1" selected="0">
            <x v="6"/>
          </reference>
        </references>
      </pivotArea>
    </format>
    <format dxfId="143">
      <pivotArea outline="0" collapsedLevelsAreSubtotals="1" fieldPosition="0">
        <references count="3">
          <reference field="0" count="1" selected="0">
            <x v="108"/>
          </reference>
          <reference field="1" count="1" selected="0">
            <x v="244"/>
          </reference>
          <reference field="31" count="1" selected="0">
            <x v="6"/>
          </reference>
        </references>
      </pivotArea>
    </format>
    <format dxfId="142">
      <pivotArea outline="0" collapsedLevelsAreSubtotals="1" fieldPosition="0">
        <references count="3">
          <reference field="0" count="1" selected="0">
            <x v="112"/>
          </reference>
          <reference field="1" count="1" selected="0">
            <x v="245"/>
          </reference>
          <reference field="31" count="1" selected="0">
            <x v="6"/>
          </reference>
        </references>
      </pivotArea>
    </format>
    <format dxfId="141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40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39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38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37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136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135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134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133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122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121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110">
      <pivotArea outline="0" collapsedLevelsAreSubtotals="1" fieldPosition="0">
        <references count="2">
          <reference field="0" count="1" selected="0">
            <x v="31"/>
          </reference>
          <reference field="1" count="1" selected="0">
            <x v="174"/>
          </reference>
        </references>
      </pivotArea>
    </format>
    <format dxfId="109">
      <pivotArea dataOnly="0" labelOnly="1" outline="0" fieldPosition="0">
        <references count="1">
          <reference field="0" count="1">
            <x v="31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107">
      <pivotArea outline="0" collapsedLevelsAreSubtotals="1" fieldPosition="0">
        <references count="2">
          <reference field="0" count="1" selected="0">
            <x v="31"/>
          </reference>
          <reference field="1" count="1" selected="0">
            <x v="174"/>
          </reference>
        </references>
      </pivotArea>
    </format>
    <format dxfId="106">
      <pivotArea dataOnly="0" labelOnly="1" outline="0" fieldPosition="0">
        <references count="1">
          <reference field="0" count="1">
            <x v="31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104">
      <pivotArea dataOnly="0" outline="0" fieldPosition="0">
        <references count="2">
          <reference field="0" count="1">
            <x v="151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3">
      <pivotArea dataOnly="0" outline="0" fieldPosition="0">
        <references count="2">
          <reference field="0" count="1">
            <x v="151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2">
      <pivotArea outline="0" collapsedLevelsAreSubtotals="1" fieldPosition="0">
        <references count="2">
          <reference field="0" count="1" selected="0">
            <x v="133"/>
          </reference>
          <reference field="1" count="1" selected="0">
            <x v="141"/>
          </reference>
        </references>
      </pivotArea>
    </format>
    <format dxfId="101">
      <pivotArea dataOnly="0" labelOnly="1" outline="0" fieldPosition="0">
        <references count="1">
          <reference field="0" count="1">
            <x v="133"/>
          </reference>
        </references>
      </pivotArea>
    </format>
    <format dxfId="100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99">
      <pivotArea outline="0" collapsedLevelsAreSubtotals="1" fieldPosition="0">
        <references count="2">
          <reference field="0" count="1" selected="0">
            <x v="133"/>
          </reference>
          <reference field="1" count="1" selected="0">
            <x v="141"/>
          </reference>
        </references>
      </pivotArea>
    </format>
    <format dxfId="98">
      <pivotArea dataOnly="0" labelOnly="1" outline="0" fieldPosition="0">
        <references count="1">
          <reference field="0" count="1">
            <x v="133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96">
      <pivotArea outline="0" collapsedLevelsAreSubtotals="1" fieldPosition="0">
        <references count="3">
          <reference field="0" count="1" selected="0">
            <x v="301"/>
          </reference>
          <reference field="1" count="1" selected="0">
            <x v="286"/>
          </reference>
          <reference field="31" count="1" selected="0">
            <x v="7"/>
          </reference>
        </references>
      </pivotArea>
    </format>
    <format dxfId="95">
      <pivotArea outline="0" collapsedLevelsAreSubtotals="1" fieldPosition="0">
        <references count="3">
          <reference field="0" count="12" selected="0">
            <x v="321"/>
            <x v="322"/>
            <x v="323"/>
            <x v="324"/>
            <x v="325"/>
            <x v="326"/>
            <x v="328"/>
            <x v="329"/>
            <x v="330"/>
            <x v="331"/>
            <x v="332"/>
            <x v="333"/>
          </reference>
          <reference field="1" count="12" selected="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  <reference field="31" count="3" selected="0">
            <x v="6"/>
            <x v="7"/>
            <x v="8"/>
          </reference>
        </references>
      </pivotArea>
    </format>
    <format dxfId="94">
      <pivotArea outline="0" collapsedLevelsAreSubtotals="1" fieldPosition="0">
        <references count="3">
          <reference field="0" count="21" selected="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  <reference field="1" count="21" selected="0">
            <x v="12"/>
            <x v="13"/>
            <x v="19"/>
            <x v="35"/>
            <x v="48"/>
            <x v="56"/>
            <x v="59"/>
            <x v="83"/>
            <x v="92"/>
            <x v="93"/>
            <x v="94"/>
            <x v="97"/>
            <x v="103"/>
            <x v="129"/>
            <x v="144"/>
            <x v="164"/>
            <x v="177"/>
            <x v="197"/>
            <x v="198"/>
            <x v="272"/>
            <x v="273"/>
          </reference>
          <reference field="31" count="3" selected="0">
            <x v="6"/>
            <x v="7"/>
            <x v="8"/>
          </reference>
        </references>
      </pivotArea>
    </format>
    <format dxfId="93">
      <pivotArea outline="0" collapsedLevelsAreSubtotals="1" fieldPosition="0">
        <references count="3">
          <reference field="0" count="3" selected="0">
            <x v="24"/>
            <x v="25"/>
            <x v="26"/>
          </reference>
          <reference field="1" count="3" selected="0">
            <x v="47"/>
            <x v="85"/>
            <x v="136"/>
          </reference>
          <reference field="31" count="3" selected="0">
            <x v="5"/>
            <x v="6"/>
            <x v="7"/>
          </reference>
        </references>
      </pivotArea>
    </format>
    <format dxfId="92">
      <pivotArea outline="0" collapsedLevelsAreSubtotals="1" fieldPosition="0">
        <references count="3">
          <reference field="0" count="1" selected="0">
            <x v="56"/>
          </reference>
          <reference field="1" count="1" selected="0">
            <x v="176"/>
          </reference>
          <reference field="31" count="1" selected="0">
            <x v="6"/>
          </reference>
        </references>
      </pivotArea>
    </format>
    <format dxfId="91">
      <pivotArea outline="0" collapsedLevelsAreSubtotals="1" fieldPosition="0">
        <references count="3">
          <reference field="0" count="18" selected="0">
            <x v="64"/>
            <x v="65"/>
            <x v="66"/>
            <x v="67"/>
            <x v="68"/>
            <x v="69"/>
            <x v="71"/>
            <x v="72"/>
            <x v="73"/>
            <x v="74"/>
            <x v="76"/>
            <x v="77"/>
            <x v="78"/>
            <x v="80"/>
            <x v="81"/>
            <x v="82"/>
            <x v="83"/>
            <x v="84"/>
          </reference>
          <reference field="1" count="18" selected="0">
            <x v="30"/>
            <x v="32"/>
            <x v="41"/>
            <x v="52"/>
            <x v="67"/>
            <x v="86"/>
            <x v="107"/>
            <x v="113"/>
            <x v="165"/>
            <x v="182"/>
            <x v="185"/>
            <x v="192"/>
            <x v="196"/>
            <x v="200"/>
            <x v="203"/>
            <x v="213"/>
            <x v="238"/>
            <x v="239"/>
          </reference>
          <reference field="31" count="4" selected="0">
            <x v="6"/>
            <x v="7"/>
            <x v="8"/>
            <x v="9"/>
          </reference>
        </references>
      </pivotArea>
    </format>
    <format dxfId="90">
      <pivotArea outline="0" collapsedLevelsAreSubtotals="1" fieldPosition="0">
        <references count="3">
          <reference field="0" count="2" selected="0">
            <x v="93"/>
            <x v="94"/>
          </reference>
          <reference field="1" count="2" selected="0">
            <x v="60"/>
            <x v="166"/>
          </reference>
          <reference field="31" count="3" selected="0">
            <x v="7"/>
            <x v="8"/>
            <x v="9"/>
          </reference>
        </references>
      </pivotArea>
    </format>
    <format dxfId="89">
      <pivotArea outline="0" collapsedLevelsAreSubtotals="1" fieldPosition="0">
        <references count="3">
          <reference field="0" count="2" selected="0">
            <x v="119"/>
            <x v="120"/>
          </reference>
          <reference field="1" count="2" selected="0">
            <x v="208"/>
            <x v="246"/>
          </reference>
          <reference field="31" count="2" selected="0">
            <x v="6"/>
            <x v="7"/>
          </reference>
        </references>
      </pivotArea>
    </format>
    <format dxfId="88">
      <pivotArea outline="0" collapsedLevelsAreSubtotals="1" fieldPosition="0">
        <references count="3">
          <reference field="0" count="9" selected="0">
            <x v="156"/>
            <x v="157"/>
            <x v="159"/>
            <x v="160"/>
            <x v="161"/>
            <x v="162"/>
            <x v="163"/>
            <x v="164"/>
            <x v="165"/>
          </reference>
          <reference field="1" count="9" selected="0">
            <x v="70"/>
            <x v="90"/>
            <x v="95"/>
            <x v="219"/>
            <x v="220"/>
            <x v="253"/>
            <x v="254"/>
            <x v="255"/>
            <x v="256"/>
          </reference>
          <reference field="31" count="3" selected="0">
            <x v="6"/>
            <x v="7"/>
            <x v="8"/>
          </reference>
        </references>
      </pivotArea>
    </format>
    <format dxfId="87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256"/>
          </reference>
          <reference field="1" count="1">
            <x v="112"/>
          </reference>
        </references>
      </pivotArea>
    </format>
    <format dxfId="85">
      <pivotArea dataOnly="0" outline="0" fieldPosition="0">
        <references count="1">
          <reference field="0" count="1">
            <x v="151"/>
          </reference>
        </references>
      </pivotArea>
    </format>
    <format dxfId="84">
      <pivotArea outline="0" collapsedLevelsAreSubtotals="1" fieldPosition="0">
        <references count="2">
          <reference field="0" count="1" selected="0">
            <x v="31"/>
          </reference>
          <reference field="1" count="1" selected="0">
            <x v="174"/>
          </reference>
        </references>
      </pivotArea>
    </format>
    <format dxfId="83">
      <pivotArea dataOnly="0" labelOnly="1" outline="0" fieldPosition="0">
        <references count="1">
          <reference field="0" count="1">
            <x v="31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81">
      <pivotArea outline="0" collapsedLevelsAreSubtotals="1" fieldPosition="0">
        <references count="2">
          <reference field="0" count="1" selected="0">
            <x v="151"/>
          </reference>
          <reference field="1" count="1" selected="0">
            <x v="214"/>
          </reference>
        </references>
      </pivotArea>
    </format>
    <format dxfId="80">
      <pivotArea dataOnly="0" labelOnly="1" outline="0" fieldPosition="0">
        <references count="1">
          <reference field="0" count="1">
            <x v="151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78">
      <pivotArea outline="0" collapsedLevelsAreSubtotals="1" fieldPosition="0">
        <references count="2">
          <reference field="0" count="1" selected="0">
            <x v="151"/>
          </reference>
          <reference field="1" count="1" selected="0">
            <x v="214"/>
          </reference>
        </references>
      </pivotArea>
    </format>
    <format dxfId="77">
      <pivotArea dataOnly="0" labelOnly="1" outline="0" fieldPosition="0">
        <references count="1">
          <reference field="0" count="1">
            <x v="151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75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74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63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62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51">
      <pivotArea outline="0" collapsedLevelsAreSubtotals="1" fieldPosition="0">
        <references count="2">
          <reference field="0" count="1" selected="0">
            <x v="133"/>
          </reference>
          <reference field="1" count="1" selected="0">
            <x v="141"/>
          </reference>
        </references>
      </pivotArea>
    </format>
    <format dxfId="50">
      <pivotArea dataOnly="0" labelOnly="1" outline="0" fieldPosition="0">
        <references count="1">
          <reference field="0" count="1">
            <x v="133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48">
      <pivotArea outline="0" fieldPosition="0">
        <references count="2">
          <reference field="0" count="1" selected="0">
            <x v="151"/>
          </reference>
          <reference field="1" count="1" selected="0">
            <x v="214"/>
          </reference>
        </references>
      </pivotArea>
    </format>
    <format dxfId="47">
      <pivotArea dataOnly="0" labelOnly="1" outline="0" fieldPosition="0">
        <references count="1">
          <reference field="0" count="1">
            <x v="151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45">
      <pivotArea outline="0" fieldPosition="0">
        <references count="2">
          <reference field="0" count="2" selected="0">
            <x v="314"/>
            <x v="315"/>
          </reference>
          <reference field="1" count="1" selected="0">
            <x v="330"/>
          </reference>
        </references>
      </pivotArea>
    </format>
    <format dxfId="44">
      <pivotArea dataOnly="0" labelOnly="1" outline="0" fieldPosition="0">
        <references count="1">
          <reference field="0" count="2">
            <x v="314"/>
            <x v="315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314"/>
          </reference>
          <reference field="1" count="1">
            <x v="330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315"/>
          </reference>
          <reference field="1" count="1">
            <x v="330"/>
          </reference>
        </references>
      </pivotArea>
    </format>
    <format dxfId="41">
      <pivotArea dataOnly="0" outline="0" fieldPosition="0">
        <references count="2">
          <reference field="0" count="1">
            <x v="313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0">
      <pivotArea outline="0" fieldPosition="0">
        <references count="2">
          <reference field="0" count="1" selected="0">
            <x v="265"/>
          </reference>
          <reference field="1" count="1" selected="0">
            <x v="110"/>
          </reference>
        </references>
      </pivotArea>
    </format>
    <format dxfId="39">
      <pivotArea dataOnly="0" labelOnly="1" outline="0" fieldPosition="0">
        <references count="1">
          <reference field="0" count="1">
            <x v="265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37">
      <pivotArea outline="0" fieldPosition="0">
        <references count="2">
          <reference field="0" count="1" selected="0">
            <x v="265"/>
          </reference>
          <reference field="1" count="1" selected="0">
            <x v="110"/>
          </reference>
        </references>
      </pivotArea>
    </format>
    <format dxfId="36">
      <pivotArea dataOnly="0" labelOnly="1" outline="0" fieldPosition="0">
        <references count="1">
          <reference field="0" count="1">
            <x v="265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34">
      <pivotArea outline="0" fieldPosition="0">
        <references count="2">
          <reference field="0" count="3" selected="0">
            <x v="313"/>
            <x v="314"/>
            <x v="315"/>
          </reference>
          <reference field="1" count="2" selected="0">
            <x v="298"/>
            <x v="330"/>
          </reference>
        </references>
      </pivotArea>
    </format>
    <format dxfId="33">
      <pivotArea dataOnly="0" labelOnly="1" outline="0" fieldPosition="0">
        <references count="1">
          <reference field="0" count="3">
            <x v="313"/>
            <x v="314"/>
            <x v="31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313"/>
          </reference>
          <reference field="1" count="1">
            <x v="29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314"/>
          </reference>
          <reference field="1" count="1">
            <x v="33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315"/>
          </reference>
          <reference field="1" count="1">
            <x v="330"/>
          </reference>
        </references>
      </pivotArea>
    </format>
    <format dxfId="29">
      <pivotArea outline="0" fieldPosition="0">
        <references count="2">
          <reference field="0" count="3" selected="0">
            <x v="342"/>
            <x v="343"/>
            <x v="344"/>
          </reference>
          <reference field="1" count="1" selected="0">
            <x v="327"/>
          </reference>
        </references>
      </pivotArea>
    </format>
    <format dxfId="28">
      <pivotArea dataOnly="0" labelOnly="1" outline="0" fieldPosition="0">
        <references count="1">
          <reference field="0" count="3">
            <x v="342"/>
            <x v="343"/>
            <x v="344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342"/>
          </reference>
          <reference field="1" count="1">
            <x v="32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343"/>
          </reference>
          <reference field="1" count="1">
            <x v="327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344"/>
          </reference>
          <reference field="1" count="1">
            <x v="327"/>
          </reference>
        </references>
      </pivotArea>
    </format>
    <format dxfId="24">
      <pivotArea outline="0" fieldPosition="0">
        <references count="2">
          <reference field="0" count="3" selected="0">
            <x v="342"/>
            <x v="343"/>
            <x v="344"/>
          </reference>
          <reference field="1" count="1" selected="0">
            <x v="327"/>
          </reference>
        </references>
      </pivotArea>
    </format>
    <format dxfId="23">
      <pivotArea dataOnly="0" labelOnly="1" outline="0" fieldPosition="0">
        <references count="1">
          <reference field="0" count="3">
            <x v="342"/>
            <x v="343"/>
            <x v="344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342"/>
          </reference>
          <reference field="1" count="1">
            <x v="327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343"/>
          </reference>
          <reference field="1" count="1">
            <x v="327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344"/>
          </reference>
          <reference field="1" count="1">
            <x v="327"/>
          </reference>
        </references>
      </pivotArea>
    </format>
    <format dxfId="19">
      <pivotArea outline="0" fieldPosition="0">
        <references count="2">
          <reference field="0" count="2" selected="0">
            <x v="326"/>
            <x v="327"/>
          </reference>
          <reference field="1" count="1" selected="0">
            <x v="309"/>
          </reference>
        </references>
      </pivotArea>
    </format>
    <format dxfId="18">
      <pivotArea dataOnly="0" labelOnly="1" outline="0" fieldPosition="0">
        <references count="1">
          <reference field="0" count="2">
            <x v="326"/>
            <x v="327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326"/>
          </reference>
          <reference field="1" count="1">
            <x v="309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327"/>
          </reference>
          <reference field="1" count="1">
            <x v="309"/>
          </reference>
        </references>
      </pivotArea>
    </format>
    <format dxfId="15">
      <pivotArea outline="0" fieldPosition="0">
        <references count="2">
          <reference field="0" count="2" selected="0">
            <x v="326"/>
            <x v="327"/>
          </reference>
          <reference field="1" count="1" selected="0">
            <x v="309"/>
          </reference>
        </references>
      </pivotArea>
    </format>
    <format dxfId="14">
      <pivotArea dataOnly="0" labelOnly="1" outline="0" fieldPosition="0">
        <references count="1">
          <reference field="0" count="2">
            <x v="326"/>
            <x v="327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326"/>
          </reference>
          <reference field="1" count="1">
            <x v="309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327"/>
          </reference>
          <reference field="1" count="1">
            <x v="309"/>
          </reference>
        </references>
      </pivotArea>
    </format>
    <format dxfId="11">
      <pivotArea outline="0" fieldPosition="0">
        <references count="2">
          <reference field="0" count="2" selected="0">
            <x v="132"/>
            <x v="133"/>
          </reference>
          <reference field="1" count="1" selected="0">
            <x v="141"/>
          </reference>
        </references>
      </pivotArea>
    </format>
    <format dxfId="10">
      <pivotArea dataOnly="0" labelOnly="1" outline="0" fieldPosition="0">
        <references count="1">
          <reference field="0" count="2">
            <x v="132"/>
            <x v="133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7">
      <pivotArea outline="0" fieldPosition="0">
        <references count="2">
          <reference field="0" count="2" selected="0">
            <x v="132"/>
            <x v="133"/>
          </reference>
          <reference field="1" count="1" selected="0">
            <x v="141"/>
          </reference>
        </references>
      </pivotArea>
    </format>
    <format dxfId="6">
      <pivotArea dataOnly="0" labelOnly="1" outline="0" fieldPosition="0">
        <references count="1">
          <reference field="0" count="2">
            <x v="132"/>
            <x v="133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3">
      <pivotArea outline="0" fieldPosition="0">
        <references count="2">
          <reference field="0" count="2" selected="0">
            <x v="132"/>
            <x v="133"/>
          </reference>
          <reference field="1" count="1" selected="0">
            <x v="141"/>
          </reference>
        </references>
      </pivotArea>
    </format>
    <format dxfId="2">
      <pivotArea dataOnly="0" labelOnly="1" outline="0" fieldPosition="0">
        <references count="1">
          <reference field="0" count="2">
            <x v="132"/>
            <x v="133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0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showGridLines="0" tabSelected="1" workbookViewId="0">
      <selection activeCell="B2" sqref="B2"/>
    </sheetView>
  </sheetViews>
  <sheetFormatPr defaultColWidth="9.140625" defaultRowHeight="14.25" x14ac:dyDescent="0.2"/>
  <cols>
    <col min="1" max="1" width="26.7109375" style="381" bestFit="1" customWidth="1"/>
    <col min="2" max="2" width="101.140625" style="381" customWidth="1"/>
    <col min="3" max="16384" width="9.140625" style="381"/>
  </cols>
  <sheetData>
    <row r="1" spans="1:2" ht="23.25" x14ac:dyDescent="0.35">
      <c r="A1" s="502" t="s">
        <v>3008</v>
      </c>
    </row>
    <row r="3" spans="1:2" x14ac:dyDescent="0.2">
      <c r="A3" s="645" t="s">
        <v>2290</v>
      </c>
      <c r="B3" s="643" t="s">
        <v>3022</v>
      </c>
    </row>
    <row r="4" spans="1:2" x14ac:dyDescent="0.2">
      <c r="A4" s="645" t="s">
        <v>2289</v>
      </c>
      <c r="B4" s="643" t="s">
        <v>3023</v>
      </c>
    </row>
    <row r="5" spans="1:2" x14ac:dyDescent="0.2">
      <c r="A5" s="645" t="s">
        <v>3009</v>
      </c>
      <c r="B5" s="643" t="s">
        <v>3014</v>
      </c>
    </row>
    <row r="6" spans="1:2" x14ac:dyDescent="0.2">
      <c r="A6" s="645" t="s">
        <v>2742</v>
      </c>
      <c r="B6" s="643" t="s">
        <v>3044</v>
      </c>
    </row>
    <row r="7" spans="1:2" x14ac:dyDescent="0.2">
      <c r="A7" s="645" t="s">
        <v>3010</v>
      </c>
      <c r="B7" s="643" t="s">
        <v>3045</v>
      </c>
    </row>
    <row r="8" spans="1:2" x14ac:dyDescent="0.2">
      <c r="A8" s="645" t="s">
        <v>2744</v>
      </c>
      <c r="B8" s="643" t="s">
        <v>3024</v>
      </c>
    </row>
    <row r="9" spans="1:2" x14ac:dyDescent="0.2">
      <c r="A9" s="645" t="s">
        <v>3011</v>
      </c>
      <c r="B9" s="643" t="s">
        <v>3025</v>
      </c>
    </row>
    <row r="10" spans="1:2" x14ac:dyDescent="0.2">
      <c r="A10" s="645" t="s">
        <v>3026</v>
      </c>
      <c r="B10" s="643" t="s">
        <v>3021</v>
      </c>
    </row>
    <row r="11" spans="1:2" x14ac:dyDescent="0.2">
      <c r="A11" s="645" t="s">
        <v>3012</v>
      </c>
      <c r="B11" s="643" t="s">
        <v>3046</v>
      </c>
    </row>
    <row r="12" spans="1:2" x14ac:dyDescent="0.2">
      <c r="A12" s="645" t="s">
        <v>3013</v>
      </c>
      <c r="B12" s="643" t="s">
        <v>3020</v>
      </c>
    </row>
    <row r="13" spans="1:2" x14ac:dyDescent="0.2">
      <c r="A13" s="645" t="s">
        <v>3041</v>
      </c>
      <c r="B13" s="644" t="s">
        <v>3047</v>
      </c>
    </row>
  </sheetData>
  <hyperlinks>
    <hyperlink ref="A3" location="'PTRM'!A1" tooltip="Link to PTRM" display="PTRM"/>
    <hyperlink ref="A4" location="'RFM'!A1" tooltip="Link to RFM" display="RFM"/>
    <hyperlink ref="A5" location="'For RFM &amp; PTRM'!A1" tooltip="Link to For RFM &amp; PTRM" display="For RFM &amp; PTRM"/>
    <hyperlink ref="A6" location="'Incurred'!A1" tooltip="Link to Incurred" display="Incurred"/>
    <hyperlink ref="A7" location="'Incurred 2.5% cpi'!A1" tooltip="Link to Incurred 2.5% cpi" display="Incurred 2.5% cpi"/>
    <hyperlink ref="A8" location="'Commissioned'!A1" tooltip="Link to Commissioned" display="Commissioned"/>
    <hyperlink ref="A9" location="'Commissioned Extra'!A1" tooltip="Link to Commissioned Extra" display="Commissioned Extra"/>
    <hyperlink ref="A10" location="'Success Asset Classes'!A1" tooltip="Link to Success Asset Classes" display="Success Asset Classes"/>
    <hyperlink ref="A11" location="'Project splits'!A1" tooltip="Link to Project splits" display="Project splits"/>
    <hyperlink ref="A12" location="'Project labour content'!A1" tooltip="Link to Project labour content" display="Project labour content"/>
    <hyperlink ref="A13" location="'Capex 15yr View'!A1" tooltip="Link to Capex 15yr View" display="Capex 15yr View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B050"/>
  </sheetPr>
  <dimension ref="A1:CO861"/>
  <sheetViews>
    <sheetView showGridLines="0" zoomScale="80" zoomScaleNormal="80" workbookViewId="0">
      <pane xSplit="3" ySplit="1" topLeftCell="BT20" activePane="bottomRight" state="frozen"/>
      <selection pane="topRight" activeCell="D1" sqref="D1"/>
      <selection pane="bottomLeft" activeCell="A2" sqref="A2"/>
      <selection pane="bottomRight" activeCell="BV23" sqref="BV23"/>
    </sheetView>
  </sheetViews>
  <sheetFormatPr defaultColWidth="9.140625" defaultRowHeight="12.75" outlineLevelRow="1" outlineLevelCol="1" x14ac:dyDescent="0.2"/>
  <cols>
    <col min="1" max="1" width="9.42578125" style="37" bestFit="1" customWidth="1"/>
    <col min="2" max="2" width="7.85546875" style="37" hidden="1" customWidth="1" outlineLevel="1"/>
    <col min="3" max="3" width="68.28515625" style="37" customWidth="1" collapsed="1"/>
    <col min="4" max="4" width="18.85546875" style="37" customWidth="1"/>
    <col min="5" max="6" width="10.42578125" style="37" hidden="1" customWidth="1" outlineLevel="1"/>
    <col min="7" max="9" width="13.7109375" style="37" hidden="1" customWidth="1" outlineLevel="1"/>
    <col min="10" max="10" width="13.7109375" style="37" customWidth="1" collapsed="1"/>
    <col min="11" max="11" width="13.7109375" style="37" hidden="1" customWidth="1" outlineLevel="1"/>
    <col min="12" max="12" width="13.7109375" style="37" customWidth="1" collapsed="1"/>
    <col min="13" max="13" width="13.7109375" style="37" hidden="1" customWidth="1" outlineLevel="1"/>
    <col min="14" max="14" width="13.7109375" style="37" customWidth="1" collapsed="1"/>
    <col min="15" max="23" width="13.7109375" style="37" hidden="1" customWidth="1" outlineLevel="1"/>
    <col min="24" max="24" width="13.7109375" style="37" customWidth="1" collapsed="1"/>
    <col min="25" max="27" width="13.7109375" style="37" customWidth="1"/>
    <col min="28" max="28" width="15.140625" style="37" hidden="1" customWidth="1" outlineLevel="1"/>
    <col min="29" max="29" width="13.7109375" style="37" hidden="1" customWidth="1" outlineLevel="1"/>
    <col min="30" max="30" width="12.28515625" style="37" bestFit="1" customWidth="1" collapsed="1"/>
    <col min="31" max="31" width="12.42578125" style="37" bestFit="1" customWidth="1"/>
    <col min="32" max="32" width="12.28515625" style="37" bestFit="1" customWidth="1"/>
    <col min="33" max="33" width="12.5703125" style="37" bestFit="1" customWidth="1"/>
    <col min="34" max="34" width="11.42578125" style="37" customWidth="1"/>
    <col min="35" max="38" width="12.28515625" style="37" bestFit="1" customWidth="1"/>
    <col min="39" max="39" width="11.42578125" style="37" customWidth="1"/>
    <col min="40" max="42" width="12.28515625" style="37" bestFit="1" customWidth="1"/>
    <col min="43" max="43" width="12.28515625" style="37" customWidth="1"/>
    <col min="44" max="52" width="12.28515625" style="37" bestFit="1" customWidth="1"/>
    <col min="53" max="53" width="14.42578125" style="37" bestFit="1" customWidth="1"/>
    <col min="54" max="54" width="12.28515625" style="37" bestFit="1" customWidth="1"/>
    <col min="55" max="55" width="11.42578125" style="37" customWidth="1" outlineLevel="1"/>
    <col min="56" max="56" width="10.28515625" style="37" customWidth="1" outlineLevel="1"/>
    <col min="57" max="57" width="11.42578125" style="37" customWidth="1" outlineLevel="1"/>
    <col min="58" max="58" width="8.7109375" style="37" customWidth="1" outlineLevel="1"/>
    <col min="59" max="59" width="10.28515625" style="37" customWidth="1" outlineLevel="1"/>
    <col min="60" max="60" width="12.42578125" style="37" customWidth="1" outlineLevel="1"/>
    <col min="61" max="61" width="10.28515625" style="37" customWidth="1" outlineLevel="1"/>
    <col min="62" max="62" width="8.7109375" style="37" customWidth="1" outlineLevel="1"/>
    <col min="63" max="66" width="10.28515625" style="37" customWidth="1" outlineLevel="1"/>
    <col min="67" max="67" width="11.42578125" style="37" customWidth="1" outlineLevel="1"/>
    <col min="68" max="68" width="12.42578125" style="37" customWidth="1" outlineLevel="1"/>
    <col min="69" max="69" width="11.42578125" style="37" customWidth="1" outlineLevel="1"/>
    <col min="70" max="70" width="10.28515625" style="37" customWidth="1" outlineLevel="1"/>
    <col min="71" max="71" width="12.42578125" style="37" customWidth="1" outlineLevel="1"/>
    <col min="72" max="72" width="18.5703125" style="37" bestFit="1" customWidth="1"/>
    <col min="73" max="93" width="12.5703125" style="37" customWidth="1"/>
    <col min="94" max="16384" width="9.140625" style="37"/>
  </cols>
  <sheetData>
    <row r="1" spans="1:91" ht="25.5" x14ac:dyDescent="0.2">
      <c r="A1" s="118"/>
      <c r="B1" s="119" t="s">
        <v>2776</v>
      </c>
      <c r="C1" s="925" t="s">
        <v>1000</v>
      </c>
      <c r="D1" s="926"/>
      <c r="E1" s="925" t="s">
        <v>999</v>
      </c>
      <c r="F1" s="926"/>
      <c r="G1" s="418" t="s">
        <v>998</v>
      </c>
      <c r="H1" s="418" t="s">
        <v>997</v>
      </c>
      <c r="I1" s="418" t="s">
        <v>996</v>
      </c>
      <c r="J1" s="418" t="s">
        <v>995</v>
      </c>
      <c r="K1" s="418" t="s">
        <v>994</v>
      </c>
      <c r="L1" s="418" t="s">
        <v>993</v>
      </c>
      <c r="M1" s="418" t="s">
        <v>992</v>
      </c>
      <c r="N1" s="418" t="s">
        <v>991</v>
      </c>
      <c r="O1" s="418" t="s">
        <v>990</v>
      </c>
      <c r="P1" s="418" t="s">
        <v>24</v>
      </c>
      <c r="Q1" s="418" t="s">
        <v>989</v>
      </c>
      <c r="R1" s="418" t="s">
        <v>988</v>
      </c>
      <c r="S1" s="418" t="s">
        <v>987</v>
      </c>
      <c r="T1" s="418" t="s">
        <v>986</v>
      </c>
      <c r="U1" s="418" t="s">
        <v>985</v>
      </c>
      <c r="V1" s="418" t="s">
        <v>984</v>
      </c>
      <c r="W1" s="418" t="s">
        <v>983</v>
      </c>
      <c r="X1" s="418" t="s">
        <v>982</v>
      </c>
      <c r="Y1" s="418" t="s">
        <v>981</v>
      </c>
      <c r="Z1" s="418" t="s">
        <v>980</v>
      </c>
      <c r="AA1" s="418" t="s">
        <v>979</v>
      </c>
      <c r="AB1" s="418" t="s">
        <v>978</v>
      </c>
      <c r="AC1" s="418" t="s">
        <v>977</v>
      </c>
      <c r="AD1" s="418">
        <v>10000</v>
      </c>
      <c r="AE1" s="418">
        <v>10001</v>
      </c>
      <c r="AF1" s="418">
        <v>10002</v>
      </c>
      <c r="AG1" s="418">
        <v>10003</v>
      </c>
      <c r="AH1" s="418" t="s">
        <v>1051</v>
      </c>
      <c r="AI1" s="418">
        <v>10005</v>
      </c>
      <c r="AJ1" s="418">
        <v>10013</v>
      </c>
      <c r="AK1" s="418">
        <v>10014</v>
      </c>
      <c r="AL1" s="418">
        <v>10015</v>
      </c>
      <c r="AM1" s="418">
        <v>10020</v>
      </c>
      <c r="AN1" s="418">
        <v>10100</v>
      </c>
      <c r="AO1" s="418">
        <v>10101</v>
      </c>
      <c r="AP1" s="418">
        <v>10103</v>
      </c>
      <c r="AQ1" s="686">
        <v>10104</v>
      </c>
      <c r="AR1" s="418">
        <v>10200</v>
      </c>
      <c r="AS1" s="418">
        <v>10201</v>
      </c>
      <c r="AT1" s="418">
        <v>20000</v>
      </c>
      <c r="AU1" s="418">
        <v>20001</v>
      </c>
      <c r="AV1" s="418">
        <v>20002</v>
      </c>
      <c r="AW1" s="418">
        <v>30004</v>
      </c>
      <c r="AX1" s="418">
        <v>30005</v>
      </c>
      <c r="AY1" s="418">
        <v>30200</v>
      </c>
      <c r="AZ1" s="418">
        <v>30201</v>
      </c>
      <c r="BA1" s="418">
        <v>30300</v>
      </c>
      <c r="BB1" s="418">
        <v>30400</v>
      </c>
      <c r="BC1" s="418">
        <v>90001</v>
      </c>
      <c r="BD1" s="418">
        <v>90002</v>
      </c>
      <c r="BE1" s="418">
        <v>90003</v>
      </c>
      <c r="BF1" s="418">
        <v>90004</v>
      </c>
      <c r="BG1" s="418">
        <v>90005</v>
      </c>
      <c r="BH1" s="418">
        <v>90006</v>
      </c>
      <c r="BI1" s="418">
        <v>90007</v>
      </c>
      <c r="BJ1" s="418">
        <v>90008</v>
      </c>
      <c r="BK1" s="418">
        <v>90009</v>
      </c>
      <c r="BL1" s="418">
        <v>90010</v>
      </c>
      <c r="BM1" s="418">
        <v>90011</v>
      </c>
      <c r="BN1" s="418">
        <v>90012</v>
      </c>
      <c r="BO1" s="418">
        <v>90013</v>
      </c>
      <c r="BP1" s="418">
        <v>90014</v>
      </c>
      <c r="BQ1" s="418">
        <v>90015</v>
      </c>
      <c r="BR1" s="418">
        <v>90016</v>
      </c>
      <c r="BS1" s="418" t="s">
        <v>639</v>
      </c>
    </row>
    <row r="2" spans="1:91" ht="23.25" hidden="1" customHeight="1" outlineLevel="1" x14ac:dyDescent="0.2">
      <c r="B2" s="120" t="s">
        <v>1011</v>
      </c>
      <c r="C2" s="121"/>
      <c r="D2" s="121"/>
      <c r="E2" s="121"/>
    </row>
    <row r="3" spans="1:91" ht="5.0999999999999996" hidden="1" customHeight="1" outlineLevel="1" x14ac:dyDescent="0.2"/>
    <row r="4" spans="1:91" ht="18" hidden="1" customHeight="1" outlineLevel="1" x14ac:dyDescent="0.2">
      <c r="B4" s="927" t="s">
        <v>1010</v>
      </c>
      <c r="C4" s="922"/>
      <c r="D4" s="928" t="s">
        <v>1009</v>
      </c>
      <c r="E4" s="929"/>
    </row>
    <row r="5" spans="1:91" ht="18" hidden="1" customHeight="1" outlineLevel="1" x14ac:dyDescent="0.2">
      <c r="B5" s="921" t="s">
        <v>1008</v>
      </c>
      <c r="C5" s="922"/>
      <c r="D5" s="923" t="s">
        <v>2777</v>
      </c>
      <c r="E5" s="924"/>
    </row>
    <row r="6" spans="1:91" ht="18" hidden="1" customHeight="1" outlineLevel="1" x14ac:dyDescent="0.2">
      <c r="B6" s="921" t="s">
        <v>996</v>
      </c>
      <c r="C6" s="922"/>
      <c r="D6" s="923" t="s">
        <v>647</v>
      </c>
      <c r="E6" s="924"/>
    </row>
    <row r="7" spans="1:91" ht="18" hidden="1" customHeight="1" outlineLevel="1" x14ac:dyDescent="0.2">
      <c r="B7" s="921" t="s">
        <v>1007</v>
      </c>
      <c r="C7" s="922"/>
      <c r="D7" s="923" t="s">
        <v>653</v>
      </c>
      <c r="E7" s="924"/>
    </row>
    <row r="8" spans="1:91" ht="37.5" hidden="1" customHeight="1" outlineLevel="1" x14ac:dyDescent="0.2">
      <c r="B8" s="921" t="s">
        <v>993</v>
      </c>
      <c r="C8" s="922"/>
      <c r="D8" s="923" t="s">
        <v>1006</v>
      </c>
      <c r="E8" s="924"/>
    </row>
    <row r="9" spans="1:91" ht="18" hidden="1" customHeight="1" outlineLevel="1" x14ac:dyDescent="0.2">
      <c r="B9" s="921" t="s">
        <v>1005</v>
      </c>
      <c r="C9" s="922"/>
      <c r="D9" s="923" t="s">
        <v>1004</v>
      </c>
      <c r="E9" s="924"/>
      <c r="AD9" s="420" t="s">
        <v>1048</v>
      </c>
      <c r="AE9" s="420" t="s">
        <v>1049</v>
      </c>
      <c r="AF9" s="420" t="s">
        <v>1050</v>
      </c>
      <c r="AG9" s="420" t="s">
        <v>1021</v>
      </c>
      <c r="AH9" s="420" t="s">
        <v>1051</v>
      </c>
      <c r="AI9" s="420" t="s">
        <v>1023</v>
      </c>
      <c r="AJ9" s="420" t="s">
        <v>1022</v>
      </c>
      <c r="AK9" s="420" t="s">
        <v>1024</v>
      </c>
      <c r="AL9" s="420" t="s">
        <v>1026</v>
      </c>
      <c r="AM9" s="420" t="s">
        <v>2270</v>
      </c>
      <c r="AN9" s="420" t="s">
        <v>1028</v>
      </c>
      <c r="AO9" s="420" t="s">
        <v>1027</v>
      </c>
      <c r="AP9" s="420" t="s">
        <v>1052</v>
      </c>
      <c r="AQ9" s="420"/>
      <c r="AR9" s="420" t="s">
        <v>1014</v>
      </c>
      <c r="AS9" s="420" t="s">
        <v>1013</v>
      </c>
      <c r="AT9" s="420" t="s">
        <v>1017</v>
      </c>
      <c r="AU9" s="420" t="s">
        <v>1016</v>
      </c>
      <c r="AV9" s="420" t="s">
        <v>1012</v>
      </c>
      <c r="AW9" s="420" t="s">
        <v>1054</v>
      </c>
      <c r="AX9" s="420" t="s">
        <v>1055</v>
      </c>
      <c r="AY9" s="420" t="s">
        <v>1019</v>
      </c>
      <c r="AZ9" s="420" t="s">
        <v>1056</v>
      </c>
      <c r="BA9" s="420" t="s">
        <v>1057</v>
      </c>
      <c r="BB9" s="37" t="s">
        <v>1058</v>
      </c>
      <c r="BC9" s="37" t="s">
        <v>2558</v>
      </c>
      <c r="BD9" s="37" t="s">
        <v>2559</v>
      </c>
      <c r="BE9" s="37" t="s">
        <v>2560</v>
      </c>
      <c r="BF9" s="37" t="s">
        <v>2561</v>
      </c>
      <c r="BG9" s="37" t="s">
        <v>2562</v>
      </c>
      <c r="BH9" s="37" t="s">
        <v>2563</v>
      </c>
      <c r="BI9" s="37" t="s">
        <v>2564</v>
      </c>
      <c r="BJ9" s="37" t="s">
        <v>2565</v>
      </c>
      <c r="BK9" s="37" t="s">
        <v>2566</v>
      </c>
      <c r="BL9" s="37" t="s">
        <v>2567</v>
      </c>
      <c r="BM9" s="37" t="s">
        <v>2568</v>
      </c>
      <c r="BN9" s="37" t="s">
        <v>2569</v>
      </c>
      <c r="BO9" s="37" t="s">
        <v>2570</v>
      </c>
      <c r="BP9" s="37" t="s">
        <v>2571</v>
      </c>
      <c r="BQ9" s="37" t="s">
        <v>2572</v>
      </c>
      <c r="BR9" s="37" t="s">
        <v>2573</v>
      </c>
      <c r="BS9" s="37" t="s">
        <v>639</v>
      </c>
    </row>
    <row r="10" spans="1:91" ht="18" hidden="1" customHeight="1" outlineLevel="1" x14ac:dyDescent="0.2">
      <c r="B10" s="921" t="s">
        <v>997</v>
      </c>
      <c r="C10" s="922"/>
      <c r="D10" s="923" t="s">
        <v>1003</v>
      </c>
      <c r="E10" s="924"/>
    </row>
    <row r="11" spans="1:91" ht="56.25" collapsed="1" x14ac:dyDescent="0.2">
      <c r="B11" s="122" t="s">
        <v>1002</v>
      </c>
      <c r="C11" s="416" t="s">
        <v>1002</v>
      </c>
      <c r="D11" s="421" t="s">
        <v>652</v>
      </c>
      <c r="E11" s="422"/>
      <c r="AD11" s="419" t="s">
        <v>1038</v>
      </c>
      <c r="AE11" s="419" t="s">
        <v>1038</v>
      </c>
      <c r="AF11" s="419" t="s">
        <v>1038</v>
      </c>
      <c r="AG11" s="419" t="s">
        <v>1038</v>
      </c>
      <c r="AH11" s="419" t="s">
        <v>1038</v>
      </c>
      <c r="AI11" s="419" t="s">
        <v>1040</v>
      </c>
      <c r="AJ11" s="419" t="s">
        <v>1039</v>
      </c>
      <c r="AK11" s="419" t="s">
        <v>1041</v>
      </c>
      <c r="AL11" s="419" t="s">
        <v>1043</v>
      </c>
      <c r="AM11" s="419" t="s">
        <v>1043</v>
      </c>
      <c r="AN11" s="419" t="s">
        <v>1045</v>
      </c>
      <c r="AO11" s="419" t="s">
        <v>1044</v>
      </c>
      <c r="AP11" s="419" t="s">
        <v>1047</v>
      </c>
      <c r="AQ11" s="687" t="s">
        <v>3051</v>
      </c>
      <c r="AR11" s="419" t="s">
        <v>1033</v>
      </c>
      <c r="AS11" s="419" t="s">
        <v>1032</v>
      </c>
      <c r="AT11" s="419" t="s">
        <v>854</v>
      </c>
      <c r="AU11" s="419" t="s">
        <v>1035</v>
      </c>
      <c r="AV11" s="419" t="s">
        <v>1031</v>
      </c>
      <c r="AW11" s="419" t="s">
        <v>1034</v>
      </c>
      <c r="AX11" s="419" t="s">
        <v>1034</v>
      </c>
      <c r="AY11" s="419" t="s">
        <v>1037</v>
      </c>
      <c r="AZ11" s="419" t="s">
        <v>1037</v>
      </c>
      <c r="BA11" s="419" t="s">
        <v>1037</v>
      </c>
      <c r="BB11" s="419" t="s">
        <v>1037</v>
      </c>
    </row>
    <row r="12" spans="1:91" ht="18" customHeight="1" x14ac:dyDescent="0.2">
      <c r="C12" s="417" t="s">
        <v>2999</v>
      </c>
      <c r="D12" s="923" t="s">
        <v>2778</v>
      </c>
      <c r="E12" s="924"/>
      <c r="BU12" s="37">
        <f>COLUMN()</f>
        <v>73</v>
      </c>
      <c r="BV12" s="37">
        <f>COLUMN()</f>
        <v>74</v>
      </c>
      <c r="BW12" s="37">
        <f>COLUMN()</f>
        <v>75</v>
      </c>
      <c r="BX12" s="37">
        <f>COLUMN()</f>
        <v>76</v>
      </c>
      <c r="BY12" s="37">
        <f>COLUMN()</f>
        <v>77</v>
      </c>
      <c r="BZ12" s="37">
        <f>COLUMN()</f>
        <v>78</v>
      </c>
      <c r="CA12" s="37">
        <f>COLUMN()</f>
        <v>79</v>
      </c>
      <c r="CB12" s="37">
        <f>COLUMN()</f>
        <v>80</v>
      </c>
      <c r="CC12" s="37">
        <f>COLUMN()</f>
        <v>81</v>
      </c>
      <c r="CD12" s="37">
        <f>COLUMN()</f>
        <v>82</v>
      </c>
      <c r="CE12" s="37">
        <f>COLUMN()</f>
        <v>83</v>
      </c>
      <c r="CF12" s="37">
        <f>COLUMN()</f>
        <v>84</v>
      </c>
      <c r="CG12" s="37">
        <f>COLUMN()</f>
        <v>85</v>
      </c>
      <c r="CH12" s="37">
        <f>COLUMN()</f>
        <v>86</v>
      </c>
      <c r="CI12" s="37">
        <f>COLUMN()</f>
        <v>87</v>
      </c>
      <c r="CJ12" s="37">
        <f>COLUMN()</f>
        <v>88</v>
      </c>
      <c r="CK12" s="37">
        <f>COLUMN()</f>
        <v>89</v>
      </c>
      <c r="CL12" s="37">
        <f>COLUMN()</f>
        <v>90</v>
      </c>
      <c r="CM12" s="37">
        <f>COLUMN()</f>
        <v>91</v>
      </c>
    </row>
    <row r="13" spans="1:91" ht="10.15" customHeight="1" x14ac:dyDescent="0.2"/>
    <row r="14" spans="1:91" ht="10.15" customHeight="1" x14ac:dyDescent="0.2"/>
    <row r="15" spans="1:91" ht="10.15" customHeight="1" x14ac:dyDescent="0.2"/>
    <row r="16" spans="1:91" ht="10.15" customHeight="1" x14ac:dyDescent="0.2"/>
    <row r="17" spans="1:93" ht="10.15" customHeight="1" x14ac:dyDescent="0.2"/>
    <row r="18" spans="1:93" ht="10.15" customHeight="1" x14ac:dyDescent="0.2"/>
    <row r="19" spans="1:93" ht="10.15" customHeight="1" x14ac:dyDescent="0.2"/>
    <row r="20" spans="1:93" ht="20.25" customHeight="1" x14ac:dyDescent="0.2">
      <c r="B20" s="376" t="s">
        <v>2975</v>
      </c>
    </row>
    <row r="21" spans="1:93" ht="56.25" x14ac:dyDescent="0.2">
      <c r="A21" s="423" t="s">
        <v>1001</v>
      </c>
      <c r="B21" s="424" t="s">
        <v>2807</v>
      </c>
      <c r="C21" s="423" t="s">
        <v>1000</v>
      </c>
      <c r="D21" s="424"/>
      <c r="E21" s="423" t="s">
        <v>999</v>
      </c>
      <c r="F21" s="424"/>
      <c r="G21" s="423" t="s">
        <v>998</v>
      </c>
      <c r="H21" s="423" t="s">
        <v>997</v>
      </c>
      <c r="I21" s="423" t="s">
        <v>996</v>
      </c>
      <c r="J21" s="423" t="s">
        <v>995</v>
      </c>
      <c r="K21" s="423" t="s">
        <v>994</v>
      </c>
      <c r="L21" s="423" t="s">
        <v>993</v>
      </c>
      <c r="M21" s="423" t="s">
        <v>992</v>
      </c>
      <c r="N21" s="423" t="s">
        <v>991</v>
      </c>
      <c r="O21" s="423" t="s">
        <v>990</v>
      </c>
      <c r="P21" s="423" t="s">
        <v>24</v>
      </c>
      <c r="Q21" s="423" t="s">
        <v>989</v>
      </c>
      <c r="R21" s="423" t="s">
        <v>988</v>
      </c>
      <c r="S21" s="423" t="s">
        <v>987</v>
      </c>
      <c r="T21" s="423" t="s">
        <v>986</v>
      </c>
      <c r="U21" s="423" t="s">
        <v>985</v>
      </c>
      <c r="V21" s="423" t="s">
        <v>984</v>
      </c>
      <c r="W21" s="423" t="s">
        <v>983</v>
      </c>
      <c r="X21" s="423" t="s">
        <v>982</v>
      </c>
      <c r="Y21" s="423" t="s">
        <v>981</v>
      </c>
      <c r="Z21" s="423" t="s">
        <v>980</v>
      </c>
      <c r="AA21" s="423" t="s">
        <v>979</v>
      </c>
      <c r="AB21" s="423" t="s">
        <v>978</v>
      </c>
      <c r="AC21" s="423" t="s">
        <v>977</v>
      </c>
      <c r="AD21" s="423">
        <v>10000</v>
      </c>
      <c r="AE21" s="423">
        <v>10001</v>
      </c>
      <c r="AF21" s="423">
        <v>10002</v>
      </c>
      <c r="AG21" s="423">
        <v>10003</v>
      </c>
      <c r="AH21" s="423" t="s">
        <v>1051</v>
      </c>
      <c r="AI21" s="423">
        <v>10005</v>
      </c>
      <c r="AJ21" s="423">
        <v>10013</v>
      </c>
      <c r="AK21" s="423">
        <v>10014</v>
      </c>
      <c r="AL21" s="423">
        <v>10015</v>
      </c>
      <c r="AM21" s="423">
        <v>10020</v>
      </c>
      <c r="AN21" s="423">
        <v>10100</v>
      </c>
      <c r="AO21" s="423">
        <v>10101</v>
      </c>
      <c r="AP21" s="423">
        <v>10103</v>
      </c>
      <c r="AQ21" s="688">
        <v>10104</v>
      </c>
      <c r="AR21" s="423">
        <v>10200</v>
      </c>
      <c r="AS21" s="423">
        <v>10201</v>
      </c>
      <c r="AT21" s="423">
        <v>20000</v>
      </c>
      <c r="AU21" s="423">
        <v>20001</v>
      </c>
      <c r="AV21" s="423">
        <v>20002</v>
      </c>
      <c r="AW21" s="423">
        <v>30004</v>
      </c>
      <c r="AX21" s="423">
        <v>30005</v>
      </c>
      <c r="AY21" s="423">
        <v>30200</v>
      </c>
      <c r="AZ21" s="423">
        <v>30201</v>
      </c>
      <c r="BA21" s="423">
        <v>30300</v>
      </c>
      <c r="BB21" s="423">
        <v>30400</v>
      </c>
      <c r="BC21" s="418">
        <v>90001</v>
      </c>
      <c r="BD21" s="418">
        <v>90002</v>
      </c>
      <c r="BE21" s="418">
        <v>90003</v>
      </c>
      <c r="BF21" s="418">
        <v>90004</v>
      </c>
      <c r="BG21" s="418">
        <v>90005</v>
      </c>
      <c r="BH21" s="418">
        <v>90006</v>
      </c>
      <c r="BI21" s="418">
        <v>90007</v>
      </c>
      <c r="BJ21" s="418">
        <v>90008</v>
      </c>
      <c r="BK21" s="418">
        <v>90009</v>
      </c>
      <c r="BL21" s="418">
        <v>90010</v>
      </c>
      <c r="BM21" s="418">
        <v>90011</v>
      </c>
      <c r="BN21" s="418">
        <v>90012</v>
      </c>
      <c r="BO21" s="418">
        <v>90013</v>
      </c>
      <c r="BP21" s="418">
        <v>90014</v>
      </c>
      <c r="BQ21" s="418">
        <v>90015</v>
      </c>
      <c r="BR21" s="418">
        <v>90016</v>
      </c>
      <c r="BS21" s="418" t="s">
        <v>639</v>
      </c>
      <c r="BT21" s="426" t="s">
        <v>2264</v>
      </c>
      <c r="BU21" s="17" t="s">
        <v>1031</v>
      </c>
      <c r="BV21" s="17" t="s">
        <v>1032</v>
      </c>
      <c r="BW21" s="17" t="s">
        <v>1033</v>
      </c>
      <c r="BX21" s="17" t="s">
        <v>1034</v>
      </c>
      <c r="BY21" s="17" t="s">
        <v>1035</v>
      </c>
      <c r="BZ21" s="17" t="s">
        <v>854</v>
      </c>
      <c r="CA21" s="17" t="s">
        <v>1036</v>
      </c>
      <c r="CB21" s="17" t="s">
        <v>1037</v>
      </c>
      <c r="CC21" s="17" t="s">
        <v>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1043</v>
      </c>
      <c r="CJ21" s="17" t="s">
        <v>1044</v>
      </c>
      <c r="CK21" s="17" t="s">
        <v>1045</v>
      </c>
      <c r="CL21" s="17" t="s">
        <v>1046</v>
      </c>
      <c r="CM21" s="18" t="s">
        <v>1047</v>
      </c>
      <c r="CN21" s="689" t="s">
        <v>3051</v>
      </c>
      <c r="CO21" s="425" t="s">
        <v>2264</v>
      </c>
    </row>
    <row r="22" spans="1:93" s="415" customFormat="1" ht="25.5" x14ac:dyDescent="0.25">
      <c r="A22" s="881" t="s">
        <v>233</v>
      </c>
      <c r="B22" s="862" t="s">
        <v>2831</v>
      </c>
      <c r="C22" s="861" t="s">
        <v>2455</v>
      </c>
      <c r="D22" s="862"/>
      <c r="E22" s="861" t="s">
        <v>655</v>
      </c>
      <c r="F22" s="862"/>
      <c r="G22" s="861"/>
      <c r="H22" s="861" t="s">
        <v>654</v>
      </c>
      <c r="I22" s="861" t="s">
        <v>647</v>
      </c>
      <c r="J22" s="861" t="s">
        <v>671</v>
      </c>
      <c r="K22" s="861" t="s">
        <v>649</v>
      </c>
      <c r="L22" s="861" t="s">
        <v>55</v>
      </c>
      <c r="M22" s="861" t="s">
        <v>653</v>
      </c>
      <c r="N22" s="861" t="s">
        <v>645</v>
      </c>
      <c r="O22" s="861"/>
      <c r="P22" s="861"/>
      <c r="Q22" s="861" t="s">
        <v>656</v>
      </c>
      <c r="R22" s="861" t="s">
        <v>652</v>
      </c>
      <c r="S22" s="861" t="s">
        <v>649</v>
      </c>
      <c r="T22" s="861"/>
      <c r="U22" s="861"/>
      <c r="V22" s="861" t="s">
        <v>683</v>
      </c>
      <c r="W22" s="861" t="s">
        <v>677</v>
      </c>
      <c r="X22" s="863">
        <v>43344</v>
      </c>
      <c r="Y22" s="863">
        <v>43872</v>
      </c>
      <c r="Z22" s="864">
        <v>2020</v>
      </c>
      <c r="AA22" s="861"/>
      <c r="AB22" s="861"/>
      <c r="AC22" s="861"/>
      <c r="AD22" s="865"/>
      <c r="AE22" s="865"/>
      <c r="AF22" s="865"/>
      <c r="AG22" s="865"/>
      <c r="AH22" s="865"/>
      <c r="AI22" s="865"/>
      <c r="AJ22" s="865"/>
      <c r="AK22" s="865"/>
      <c r="AL22" s="865"/>
      <c r="AM22" s="865"/>
      <c r="AN22" s="865"/>
      <c r="AO22" s="865"/>
      <c r="AP22" s="865"/>
      <c r="AQ22" s="865"/>
      <c r="AR22" s="865"/>
      <c r="AS22" s="865"/>
      <c r="AT22" s="865"/>
      <c r="AU22" s="865"/>
      <c r="AV22" s="865"/>
      <c r="AW22" s="865">
        <v>310308.99999999988</v>
      </c>
      <c r="AX22" s="865"/>
      <c r="AY22" s="865"/>
      <c r="AZ22" s="865"/>
      <c r="BA22" s="865"/>
      <c r="BB22" s="865"/>
      <c r="BC22" s="865"/>
      <c r="BD22" s="865"/>
      <c r="BE22" s="865"/>
      <c r="BF22" s="865"/>
      <c r="BG22" s="865"/>
      <c r="BH22" s="865">
        <v>1241236</v>
      </c>
      <c r="BI22" s="865"/>
      <c r="BJ22" s="865"/>
      <c r="BK22" s="865"/>
      <c r="BL22" s="865"/>
      <c r="BM22" s="865"/>
      <c r="BN22" s="865"/>
      <c r="BO22" s="865"/>
      <c r="BP22" s="865"/>
      <c r="BQ22" s="865"/>
      <c r="BR22" s="865"/>
      <c r="BS22" s="865">
        <v>1551544.9999999998</v>
      </c>
      <c r="BT22" s="412">
        <f>SUM(AD22:BB22)</f>
        <v>310308.99999999988</v>
      </c>
      <c r="BU22" s="413">
        <f t="shared" ref="BU22:CD22" si="0">SUMIFS($AD22:$BB22,$AD$11:$BB$11,BU$21)/$BT22</f>
        <v>0</v>
      </c>
      <c r="BV22" s="413">
        <f t="shared" si="0"/>
        <v>0</v>
      </c>
      <c r="BW22" s="413">
        <f t="shared" si="0"/>
        <v>0</v>
      </c>
      <c r="BX22" s="413">
        <f t="shared" si="0"/>
        <v>1</v>
      </c>
      <c r="BY22" s="413">
        <f t="shared" si="0"/>
        <v>0</v>
      </c>
      <c r="BZ22" s="413">
        <f t="shared" si="0"/>
        <v>0</v>
      </c>
      <c r="CA22" s="413">
        <f t="shared" si="0"/>
        <v>0</v>
      </c>
      <c r="CB22" s="413">
        <f t="shared" si="0"/>
        <v>0</v>
      </c>
      <c r="CC22" s="413">
        <f t="shared" si="0"/>
        <v>0</v>
      </c>
      <c r="CD22" s="413">
        <f t="shared" si="0"/>
        <v>0</v>
      </c>
      <c r="CE22" s="413">
        <f t="shared" ref="CE22:CN22" si="1">SUMIFS($AD22:$BB22,$AD$11:$BB$11,CE$21)/$BT22</f>
        <v>0</v>
      </c>
      <c r="CF22" s="413">
        <f t="shared" si="1"/>
        <v>0</v>
      </c>
      <c r="CG22" s="413">
        <f t="shared" si="1"/>
        <v>0</v>
      </c>
      <c r="CH22" s="413">
        <f t="shared" si="1"/>
        <v>0</v>
      </c>
      <c r="CI22" s="413">
        <f t="shared" si="1"/>
        <v>0</v>
      </c>
      <c r="CJ22" s="413">
        <f t="shared" si="1"/>
        <v>0</v>
      </c>
      <c r="CK22" s="413">
        <f t="shared" si="1"/>
        <v>0</v>
      </c>
      <c r="CL22" s="413">
        <f t="shared" si="1"/>
        <v>0</v>
      </c>
      <c r="CM22" s="413">
        <f t="shared" si="1"/>
        <v>0</v>
      </c>
      <c r="CN22" s="413">
        <f t="shared" si="1"/>
        <v>0</v>
      </c>
      <c r="CO22" s="414">
        <f>SUM(BU22:CN22)</f>
        <v>1</v>
      </c>
    </row>
    <row r="23" spans="1:93" s="415" customFormat="1" ht="25.5" x14ac:dyDescent="0.25">
      <c r="A23" s="881" t="s">
        <v>264</v>
      </c>
      <c r="B23" s="862" t="s">
        <v>2832</v>
      </c>
      <c r="C23" s="861" t="s">
        <v>2456</v>
      </c>
      <c r="D23" s="862"/>
      <c r="E23" s="861"/>
      <c r="F23" s="862"/>
      <c r="G23" s="861"/>
      <c r="H23" s="861" t="s">
        <v>654</v>
      </c>
      <c r="I23" s="861" t="s">
        <v>647</v>
      </c>
      <c r="J23" s="861" t="s">
        <v>641</v>
      </c>
      <c r="K23" s="861" t="s">
        <v>649</v>
      </c>
      <c r="L23" s="861" t="s">
        <v>40</v>
      </c>
      <c r="M23" s="861" t="s">
        <v>653</v>
      </c>
      <c r="N23" s="861" t="s">
        <v>680</v>
      </c>
      <c r="O23" s="861"/>
      <c r="P23" s="861" t="s">
        <v>643</v>
      </c>
      <c r="Q23" s="861" t="s">
        <v>656</v>
      </c>
      <c r="R23" s="861" t="s">
        <v>652</v>
      </c>
      <c r="S23" s="861" t="s">
        <v>649</v>
      </c>
      <c r="T23" s="861"/>
      <c r="U23" s="861" t="s">
        <v>689</v>
      </c>
      <c r="V23" s="861" t="s">
        <v>641</v>
      </c>
      <c r="W23" s="861" t="s">
        <v>640</v>
      </c>
      <c r="X23" s="863">
        <v>42917</v>
      </c>
      <c r="Y23" s="863">
        <v>44047</v>
      </c>
      <c r="Z23" s="864">
        <v>2021</v>
      </c>
      <c r="AA23" s="861" t="s">
        <v>676</v>
      </c>
      <c r="AB23" s="861"/>
      <c r="AC23" s="861" t="s">
        <v>663</v>
      </c>
      <c r="AD23" s="865"/>
      <c r="AE23" s="865"/>
      <c r="AF23" s="865"/>
      <c r="AG23" s="865"/>
      <c r="AH23" s="865"/>
      <c r="AI23" s="865"/>
      <c r="AJ23" s="865"/>
      <c r="AK23" s="865"/>
      <c r="AL23" s="865">
        <v>1602200.020020003</v>
      </c>
      <c r="AM23" s="865"/>
      <c r="AN23" s="865"/>
      <c r="AO23" s="865"/>
      <c r="AP23" s="865"/>
      <c r="AQ23" s="865"/>
      <c r="AR23" s="865"/>
      <c r="AS23" s="865"/>
      <c r="AT23" s="865"/>
      <c r="AU23" s="865"/>
      <c r="AV23" s="865"/>
      <c r="AW23" s="865"/>
      <c r="AX23" s="865"/>
      <c r="AY23" s="865"/>
      <c r="AZ23" s="865"/>
      <c r="BA23" s="865"/>
      <c r="BB23" s="865"/>
      <c r="BC23" s="865">
        <v>240330.00300300037</v>
      </c>
      <c r="BD23" s="865"/>
      <c r="BE23" s="865">
        <v>248741.55310810538</v>
      </c>
      <c r="BF23" s="865">
        <v>5750.9968343605478</v>
      </c>
      <c r="BG23" s="865">
        <v>116159.50145145014</v>
      </c>
      <c r="BH23" s="865">
        <v>670245.7332183728</v>
      </c>
      <c r="BI23" s="865"/>
      <c r="BJ23" s="865"/>
      <c r="BK23" s="865"/>
      <c r="BL23" s="865"/>
      <c r="BM23" s="865"/>
      <c r="BN23" s="865"/>
      <c r="BO23" s="865"/>
      <c r="BP23" s="865"/>
      <c r="BQ23" s="865"/>
      <c r="BR23" s="865"/>
      <c r="BS23" s="865">
        <v>2883427.8076352924</v>
      </c>
      <c r="BT23" s="412">
        <f>SUM(AD23:BB23)</f>
        <v>1602200.020020003</v>
      </c>
      <c r="BU23" s="413">
        <v>0</v>
      </c>
      <c r="BV23" s="413">
        <v>0</v>
      </c>
      <c r="BW23" s="413">
        <v>0</v>
      </c>
      <c r="BX23" s="413">
        <v>0</v>
      </c>
      <c r="BY23" s="413">
        <v>0</v>
      </c>
      <c r="BZ23" s="413">
        <v>0</v>
      </c>
      <c r="CA23" s="413">
        <v>0</v>
      </c>
      <c r="CB23" s="413">
        <v>0</v>
      </c>
      <c r="CC23" s="413">
        <v>0</v>
      </c>
      <c r="CD23" s="413">
        <v>0</v>
      </c>
      <c r="CE23" s="413">
        <v>0</v>
      </c>
      <c r="CF23" s="413">
        <v>0</v>
      </c>
      <c r="CG23" s="413">
        <v>0</v>
      </c>
      <c r="CH23" s="413">
        <v>0</v>
      </c>
      <c r="CI23" s="413">
        <v>1</v>
      </c>
      <c r="CJ23" s="413">
        <v>0</v>
      </c>
      <c r="CK23" s="413">
        <v>0</v>
      </c>
      <c r="CL23" s="413">
        <v>0</v>
      </c>
      <c r="CM23" s="413">
        <v>0</v>
      </c>
      <c r="CN23" s="413">
        <v>0</v>
      </c>
      <c r="CO23" s="414">
        <f t="shared" ref="CO23:CO86" si="2">SUM(BU23:CN23)</f>
        <v>1</v>
      </c>
    </row>
    <row r="24" spans="1:93" s="415" customFormat="1" ht="25.5" x14ac:dyDescent="0.25">
      <c r="A24" s="881" t="s">
        <v>322</v>
      </c>
      <c r="B24" s="862" t="s">
        <v>1989</v>
      </c>
      <c r="C24" s="861" t="s">
        <v>833</v>
      </c>
      <c r="D24" s="862"/>
      <c r="E24" s="861" t="s">
        <v>655</v>
      </c>
      <c r="F24" s="862"/>
      <c r="G24" s="861"/>
      <c r="H24" s="861" t="s">
        <v>654</v>
      </c>
      <c r="I24" s="861" t="s">
        <v>647</v>
      </c>
      <c r="J24" s="861" t="s">
        <v>671</v>
      </c>
      <c r="K24" s="861" t="s">
        <v>649</v>
      </c>
      <c r="L24" s="861" t="s">
        <v>55</v>
      </c>
      <c r="M24" s="861" t="s">
        <v>653</v>
      </c>
      <c r="N24" s="861" t="s">
        <v>645</v>
      </c>
      <c r="O24" s="861"/>
      <c r="P24" s="861"/>
      <c r="Q24" s="861" t="s">
        <v>650</v>
      </c>
      <c r="R24" s="861" t="s">
        <v>652</v>
      </c>
      <c r="S24" s="861" t="s">
        <v>649</v>
      </c>
      <c r="T24" s="861"/>
      <c r="U24" s="861"/>
      <c r="V24" s="861" t="s">
        <v>683</v>
      </c>
      <c r="W24" s="861" t="s">
        <v>677</v>
      </c>
      <c r="X24" s="863">
        <v>43709</v>
      </c>
      <c r="Y24" s="863">
        <v>44945</v>
      </c>
      <c r="Z24" s="864">
        <v>2024</v>
      </c>
      <c r="AA24" s="861"/>
      <c r="AB24" s="861"/>
      <c r="AC24" s="861"/>
      <c r="AD24" s="865"/>
      <c r="AE24" s="865"/>
      <c r="AF24" s="865"/>
      <c r="AG24" s="865"/>
      <c r="AH24" s="865"/>
      <c r="AI24" s="865"/>
      <c r="AJ24" s="865"/>
      <c r="AK24" s="865"/>
      <c r="AL24" s="865"/>
      <c r="AM24" s="865"/>
      <c r="AN24" s="865"/>
      <c r="AO24" s="865"/>
      <c r="AP24" s="865"/>
      <c r="AQ24" s="865"/>
      <c r="AR24" s="865"/>
      <c r="AS24" s="865"/>
      <c r="AT24" s="865"/>
      <c r="AU24" s="865"/>
      <c r="AV24" s="865"/>
      <c r="AW24" s="865">
        <v>280000.00000000006</v>
      </c>
      <c r="AX24" s="865"/>
      <c r="AY24" s="865"/>
      <c r="AZ24" s="865"/>
      <c r="BA24" s="865"/>
      <c r="BB24" s="865"/>
      <c r="BC24" s="865"/>
      <c r="BD24" s="865"/>
      <c r="BE24" s="865"/>
      <c r="BF24" s="865"/>
      <c r="BG24" s="865"/>
      <c r="BH24" s="865">
        <v>1120000.0000000005</v>
      </c>
      <c r="BI24" s="865"/>
      <c r="BJ24" s="865"/>
      <c r="BK24" s="865"/>
      <c r="BL24" s="865"/>
      <c r="BM24" s="865"/>
      <c r="BN24" s="865"/>
      <c r="BO24" s="865"/>
      <c r="BP24" s="865"/>
      <c r="BQ24" s="865"/>
      <c r="BR24" s="865"/>
      <c r="BS24" s="865">
        <v>1400000.0000000005</v>
      </c>
      <c r="BT24" s="412">
        <f t="shared" ref="BT24:BT87" si="3">SUM(AD24:BB24)</f>
        <v>280000.00000000006</v>
      </c>
      <c r="BU24" s="413">
        <v>0</v>
      </c>
      <c r="BV24" s="413">
        <v>0</v>
      </c>
      <c r="BW24" s="413">
        <v>0</v>
      </c>
      <c r="BX24" s="413">
        <v>1</v>
      </c>
      <c r="BY24" s="413">
        <v>0</v>
      </c>
      <c r="BZ24" s="413">
        <v>0</v>
      </c>
      <c r="CA24" s="413">
        <v>0</v>
      </c>
      <c r="CB24" s="413">
        <v>0</v>
      </c>
      <c r="CC24" s="413">
        <v>0</v>
      </c>
      <c r="CD24" s="413">
        <v>0</v>
      </c>
      <c r="CE24" s="413">
        <v>0</v>
      </c>
      <c r="CF24" s="413">
        <v>0</v>
      </c>
      <c r="CG24" s="413">
        <v>0</v>
      </c>
      <c r="CH24" s="413">
        <v>0</v>
      </c>
      <c r="CI24" s="413">
        <v>0</v>
      </c>
      <c r="CJ24" s="413">
        <v>0</v>
      </c>
      <c r="CK24" s="413">
        <v>0</v>
      </c>
      <c r="CL24" s="413">
        <v>0</v>
      </c>
      <c r="CM24" s="413">
        <v>0</v>
      </c>
      <c r="CN24" s="413">
        <v>0</v>
      </c>
      <c r="CO24" s="414">
        <f t="shared" si="2"/>
        <v>1</v>
      </c>
    </row>
    <row r="25" spans="1:93" s="415" customFormat="1" ht="25.5" x14ac:dyDescent="0.25">
      <c r="A25" s="881" t="s">
        <v>336</v>
      </c>
      <c r="B25" s="862" t="s">
        <v>2238</v>
      </c>
      <c r="C25" s="861" t="s">
        <v>818</v>
      </c>
      <c r="D25" s="862"/>
      <c r="E25" s="861" t="s">
        <v>655</v>
      </c>
      <c r="F25" s="862"/>
      <c r="G25" s="861"/>
      <c r="H25" s="861" t="s">
        <v>654</v>
      </c>
      <c r="I25" s="861" t="s">
        <v>647</v>
      </c>
      <c r="J25" s="861" t="s">
        <v>671</v>
      </c>
      <c r="K25" s="861" t="s">
        <v>649</v>
      </c>
      <c r="L25" s="861" t="s">
        <v>40</v>
      </c>
      <c r="M25" s="861" t="s">
        <v>653</v>
      </c>
      <c r="N25" s="861" t="s">
        <v>645</v>
      </c>
      <c r="O25" s="861"/>
      <c r="P25" s="861"/>
      <c r="Q25" s="861" t="s">
        <v>650</v>
      </c>
      <c r="R25" s="861" t="s">
        <v>652</v>
      </c>
      <c r="S25" s="861" t="s">
        <v>649</v>
      </c>
      <c r="T25" s="861"/>
      <c r="U25" s="861"/>
      <c r="V25" s="861" t="s">
        <v>683</v>
      </c>
      <c r="W25" s="861" t="s">
        <v>677</v>
      </c>
      <c r="X25" s="863">
        <v>44013</v>
      </c>
      <c r="Y25" s="863">
        <v>45107</v>
      </c>
      <c r="Z25" s="864">
        <v>2028</v>
      </c>
      <c r="AA25" s="861"/>
      <c r="AB25" s="861"/>
      <c r="AC25" s="861"/>
      <c r="AD25" s="865"/>
      <c r="AE25" s="865"/>
      <c r="AF25" s="865"/>
      <c r="AG25" s="865"/>
      <c r="AH25" s="865"/>
      <c r="AI25" s="865"/>
      <c r="AJ25" s="865"/>
      <c r="AK25" s="865"/>
      <c r="AL25" s="865"/>
      <c r="AM25" s="865"/>
      <c r="AN25" s="865"/>
      <c r="AO25" s="865"/>
      <c r="AP25" s="865"/>
      <c r="AQ25" s="865"/>
      <c r="AR25" s="865"/>
      <c r="AS25" s="865"/>
      <c r="AT25" s="865"/>
      <c r="AU25" s="865"/>
      <c r="AV25" s="865"/>
      <c r="AW25" s="865">
        <v>0</v>
      </c>
      <c r="AX25" s="865"/>
      <c r="AY25" s="865"/>
      <c r="AZ25" s="865"/>
      <c r="BA25" s="865"/>
      <c r="BB25" s="865"/>
      <c r="BC25" s="865"/>
      <c r="BD25" s="865"/>
      <c r="BE25" s="865"/>
      <c r="BF25" s="865"/>
      <c r="BG25" s="865"/>
      <c r="BH25" s="865">
        <v>349999.99999999971</v>
      </c>
      <c r="BI25" s="865"/>
      <c r="BJ25" s="865"/>
      <c r="BK25" s="865"/>
      <c r="BL25" s="865"/>
      <c r="BM25" s="865"/>
      <c r="BN25" s="865"/>
      <c r="BO25" s="865"/>
      <c r="BP25" s="865"/>
      <c r="BQ25" s="865"/>
      <c r="BR25" s="865"/>
      <c r="BS25" s="865">
        <v>349999.99999999971</v>
      </c>
      <c r="BT25" s="412">
        <f t="shared" si="3"/>
        <v>0</v>
      </c>
      <c r="BU25" s="413">
        <v>0</v>
      </c>
      <c r="BV25" s="413">
        <v>0</v>
      </c>
      <c r="BW25" s="413">
        <v>0</v>
      </c>
      <c r="BX25" s="413">
        <v>1</v>
      </c>
      <c r="BY25" s="413">
        <v>0</v>
      </c>
      <c r="BZ25" s="413">
        <v>0</v>
      </c>
      <c r="CA25" s="413">
        <v>0</v>
      </c>
      <c r="CB25" s="413">
        <v>0</v>
      </c>
      <c r="CC25" s="413">
        <v>0</v>
      </c>
      <c r="CD25" s="413">
        <v>0</v>
      </c>
      <c r="CE25" s="413">
        <v>0</v>
      </c>
      <c r="CF25" s="413">
        <v>0</v>
      </c>
      <c r="CG25" s="413">
        <v>0</v>
      </c>
      <c r="CH25" s="413">
        <v>0</v>
      </c>
      <c r="CI25" s="413">
        <v>0</v>
      </c>
      <c r="CJ25" s="413">
        <v>0</v>
      </c>
      <c r="CK25" s="413">
        <v>0</v>
      </c>
      <c r="CL25" s="413">
        <v>0</v>
      </c>
      <c r="CM25" s="413">
        <v>0</v>
      </c>
      <c r="CN25" s="413">
        <v>0</v>
      </c>
      <c r="CO25" s="414">
        <f t="shared" si="2"/>
        <v>1</v>
      </c>
    </row>
    <row r="26" spans="1:93" s="415" customFormat="1" ht="25.5" x14ac:dyDescent="0.25">
      <c r="A26" s="881" t="s">
        <v>343</v>
      </c>
      <c r="B26" s="862" t="s">
        <v>2053</v>
      </c>
      <c r="C26" s="861" t="s">
        <v>800</v>
      </c>
      <c r="D26" s="862"/>
      <c r="E26" s="861" t="s">
        <v>655</v>
      </c>
      <c r="F26" s="862"/>
      <c r="G26" s="861"/>
      <c r="H26" s="861" t="s">
        <v>654</v>
      </c>
      <c r="I26" s="861" t="s">
        <v>647</v>
      </c>
      <c r="J26" s="861" t="s">
        <v>671</v>
      </c>
      <c r="K26" s="861" t="s">
        <v>649</v>
      </c>
      <c r="L26" s="861" t="s">
        <v>40</v>
      </c>
      <c r="M26" s="861" t="s">
        <v>653</v>
      </c>
      <c r="N26" s="861" t="s">
        <v>645</v>
      </c>
      <c r="O26" s="861"/>
      <c r="P26" s="861"/>
      <c r="Q26" s="861" t="s">
        <v>650</v>
      </c>
      <c r="R26" s="861" t="s">
        <v>652</v>
      </c>
      <c r="S26" s="861" t="s">
        <v>649</v>
      </c>
      <c r="T26" s="861"/>
      <c r="U26" s="861"/>
      <c r="V26" s="861" t="s">
        <v>683</v>
      </c>
      <c r="W26" s="861" t="s">
        <v>677</v>
      </c>
      <c r="X26" s="863">
        <v>43709</v>
      </c>
      <c r="Y26" s="863">
        <v>44708</v>
      </c>
      <c r="Z26" s="864">
        <v>2022</v>
      </c>
      <c r="AA26" s="861"/>
      <c r="AB26" s="861"/>
      <c r="AC26" s="861"/>
      <c r="AD26" s="865"/>
      <c r="AE26" s="865"/>
      <c r="AF26" s="865"/>
      <c r="AG26" s="865"/>
      <c r="AH26" s="865"/>
      <c r="AI26" s="865"/>
      <c r="AJ26" s="865"/>
      <c r="AK26" s="865"/>
      <c r="AL26" s="865"/>
      <c r="AM26" s="865"/>
      <c r="AN26" s="865"/>
      <c r="AO26" s="865"/>
      <c r="AP26" s="865"/>
      <c r="AQ26" s="865"/>
      <c r="AR26" s="865"/>
      <c r="AS26" s="865"/>
      <c r="AT26" s="865"/>
      <c r="AU26" s="865"/>
      <c r="AV26" s="865"/>
      <c r="AW26" s="865">
        <v>169999.99999999974</v>
      </c>
      <c r="AX26" s="865"/>
      <c r="AY26" s="865"/>
      <c r="AZ26" s="865"/>
      <c r="BA26" s="865"/>
      <c r="BB26" s="865"/>
      <c r="BC26" s="865"/>
      <c r="BD26" s="865"/>
      <c r="BE26" s="865"/>
      <c r="BF26" s="865"/>
      <c r="BG26" s="865"/>
      <c r="BH26" s="865">
        <v>679999.99999999942</v>
      </c>
      <c r="BI26" s="865"/>
      <c r="BJ26" s="865"/>
      <c r="BK26" s="865"/>
      <c r="BL26" s="865"/>
      <c r="BM26" s="865"/>
      <c r="BN26" s="865"/>
      <c r="BO26" s="865"/>
      <c r="BP26" s="865"/>
      <c r="BQ26" s="865"/>
      <c r="BR26" s="865"/>
      <c r="BS26" s="865">
        <v>849999.99999999907</v>
      </c>
      <c r="BT26" s="412">
        <f t="shared" si="3"/>
        <v>169999.99999999974</v>
      </c>
      <c r="BU26" s="413">
        <v>0</v>
      </c>
      <c r="BV26" s="413">
        <v>0</v>
      </c>
      <c r="BW26" s="413">
        <v>0</v>
      </c>
      <c r="BX26" s="413">
        <v>1</v>
      </c>
      <c r="BY26" s="413">
        <v>0</v>
      </c>
      <c r="BZ26" s="413">
        <v>0</v>
      </c>
      <c r="CA26" s="413">
        <v>0</v>
      </c>
      <c r="CB26" s="413">
        <v>0</v>
      </c>
      <c r="CC26" s="413">
        <v>0</v>
      </c>
      <c r="CD26" s="413">
        <v>0</v>
      </c>
      <c r="CE26" s="413">
        <v>0</v>
      </c>
      <c r="CF26" s="413">
        <v>0</v>
      </c>
      <c r="CG26" s="413">
        <v>0</v>
      </c>
      <c r="CH26" s="413">
        <v>0</v>
      </c>
      <c r="CI26" s="413">
        <v>0</v>
      </c>
      <c r="CJ26" s="413">
        <v>0</v>
      </c>
      <c r="CK26" s="413">
        <v>0</v>
      </c>
      <c r="CL26" s="413">
        <v>0</v>
      </c>
      <c r="CM26" s="413">
        <v>0</v>
      </c>
      <c r="CN26" s="413">
        <v>0</v>
      </c>
      <c r="CO26" s="414">
        <f t="shared" si="2"/>
        <v>1</v>
      </c>
    </row>
    <row r="27" spans="1:93" s="415" customFormat="1" ht="25.5" x14ac:dyDescent="0.25">
      <c r="A27" s="881" t="s">
        <v>371</v>
      </c>
      <c r="B27" s="862" t="s">
        <v>2835</v>
      </c>
      <c r="C27" s="861" t="s">
        <v>2465</v>
      </c>
      <c r="D27" s="862"/>
      <c r="E27" s="861" t="s">
        <v>655</v>
      </c>
      <c r="F27" s="862"/>
      <c r="G27" s="861"/>
      <c r="H27" s="861" t="s">
        <v>654</v>
      </c>
      <c r="I27" s="861" t="s">
        <v>647</v>
      </c>
      <c r="J27" s="861" t="s">
        <v>671</v>
      </c>
      <c r="K27" s="861" t="s">
        <v>649</v>
      </c>
      <c r="L27" s="861" t="s">
        <v>55</v>
      </c>
      <c r="M27" s="861" t="s">
        <v>653</v>
      </c>
      <c r="N27" s="861" t="s">
        <v>645</v>
      </c>
      <c r="O27" s="861"/>
      <c r="P27" s="861"/>
      <c r="Q27" s="861" t="s">
        <v>650</v>
      </c>
      <c r="R27" s="861" t="s">
        <v>652</v>
      </c>
      <c r="S27" s="861" t="s">
        <v>649</v>
      </c>
      <c r="T27" s="861"/>
      <c r="U27" s="861"/>
      <c r="V27" s="861" t="s">
        <v>683</v>
      </c>
      <c r="W27" s="861" t="s">
        <v>677</v>
      </c>
      <c r="X27" s="863">
        <v>43374</v>
      </c>
      <c r="Y27" s="863">
        <v>43706</v>
      </c>
      <c r="Z27" s="864">
        <v>2020</v>
      </c>
      <c r="AA27" s="861"/>
      <c r="AB27" s="861"/>
      <c r="AC27" s="861"/>
      <c r="AD27" s="865"/>
      <c r="AE27" s="865"/>
      <c r="AF27" s="865"/>
      <c r="AG27" s="865"/>
      <c r="AH27" s="865"/>
      <c r="AI27" s="865"/>
      <c r="AJ27" s="865"/>
      <c r="AK27" s="865"/>
      <c r="AL27" s="865"/>
      <c r="AM27" s="865"/>
      <c r="AN27" s="865"/>
      <c r="AO27" s="865"/>
      <c r="AP27" s="865"/>
      <c r="AQ27" s="865"/>
      <c r="AR27" s="865"/>
      <c r="AS27" s="865"/>
      <c r="AT27" s="865"/>
      <c r="AU27" s="865"/>
      <c r="AV27" s="865"/>
      <c r="AW27" s="865">
        <v>12500.000000000002</v>
      </c>
      <c r="AX27" s="865"/>
      <c r="AY27" s="865"/>
      <c r="AZ27" s="865"/>
      <c r="BA27" s="865"/>
      <c r="BB27" s="865"/>
      <c r="BC27" s="865"/>
      <c r="BD27" s="865"/>
      <c r="BE27" s="865"/>
      <c r="BF27" s="865"/>
      <c r="BG27" s="865"/>
      <c r="BH27" s="865">
        <v>237500.00000000015</v>
      </c>
      <c r="BI27" s="865"/>
      <c r="BJ27" s="865"/>
      <c r="BK27" s="865"/>
      <c r="BL27" s="865"/>
      <c r="BM27" s="865"/>
      <c r="BN27" s="865"/>
      <c r="BO27" s="865"/>
      <c r="BP27" s="865"/>
      <c r="BQ27" s="865"/>
      <c r="BR27" s="865"/>
      <c r="BS27" s="865">
        <v>250000.00000000015</v>
      </c>
      <c r="BT27" s="412">
        <f t="shared" si="3"/>
        <v>12500.000000000002</v>
      </c>
      <c r="BU27" s="413">
        <v>0</v>
      </c>
      <c r="BV27" s="413">
        <v>0</v>
      </c>
      <c r="BW27" s="413">
        <v>0</v>
      </c>
      <c r="BX27" s="413">
        <v>1</v>
      </c>
      <c r="BY27" s="413">
        <v>0</v>
      </c>
      <c r="BZ27" s="413">
        <v>0</v>
      </c>
      <c r="CA27" s="413">
        <v>0</v>
      </c>
      <c r="CB27" s="413">
        <v>0</v>
      </c>
      <c r="CC27" s="413">
        <v>0</v>
      </c>
      <c r="CD27" s="413">
        <v>0</v>
      </c>
      <c r="CE27" s="413">
        <v>0</v>
      </c>
      <c r="CF27" s="413">
        <v>0</v>
      </c>
      <c r="CG27" s="413">
        <v>0</v>
      </c>
      <c r="CH27" s="413">
        <v>0</v>
      </c>
      <c r="CI27" s="413">
        <v>0</v>
      </c>
      <c r="CJ27" s="413">
        <v>0</v>
      </c>
      <c r="CK27" s="413">
        <v>0</v>
      </c>
      <c r="CL27" s="413">
        <v>0</v>
      </c>
      <c r="CM27" s="413">
        <v>0</v>
      </c>
      <c r="CN27" s="413">
        <v>0</v>
      </c>
      <c r="CO27" s="414">
        <f t="shared" si="2"/>
        <v>1</v>
      </c>
    </row>
    <row r="28" spans="1:93" s="415" customFormat="1" ht="25.5" x14ac:dyDescent="0.25">
      <c r="A28" s="881" t="s">
        <v>372</v>
      </c>
      <c r="B28" s="862" t="s">
        <v>2105</v>
      </c>
      <c r="C28" s="861" t="s">
        <v>777</v>
      </c>
      <c r="D28" s="862"/>
      <c r="E28" s="861" t="s">
        <v>655</v>
      </c>
      <c r="F28" s="862"/>
      <c r="G28" s="861" t="s">
        <v>648</v>
      </c>
      <c r="H28" s="861" t="s">
        <v>654</v>
      </c>
      <c r="I28" s="861" t="s">
        <v>647</v>
      </c>
      <c r="J28" s="861" t="s">
        <v>671</v>
      </c>
      <c r="K28" s="861" t="s">
        <v>649</v>
      </c>
      <c r="L28" s="861" t="s">
        <v>36</v>
      </c>
      <c r="M28" s="861" t="s">
        <v>653</v>
      </c>
      <c r="N28" s="861" t="s">
        <v>680</v>
      </c>
      <c r="O28" s="861"/>
      <c r="P28" s="861"/>
      <c r="Q28" s="861" t="s">
        <v>650</v>
      </c>
      <c r="R28" s="861" t="s">
        <v>652</v>
      </c>
      <c r="S28" s="861" t="s">
        <v>649</v>
      </c>
      <c r="T28" s="861"/>
      <c r="U28" s="861"/>
      <c r="V28" s="861" t="s">
        <v>36</v>
      </c>
      <c r="W28" s="861" t="s">
        <v>640</v>
      </c>
      <c r="X28" s="863">
        <v>43282</v>
      </c>
      <c r="Y28" s="863">
        <v>43640</v>
      </c>
      <c r="Z28" s="864">
        <v>2019</v>
      </c>
      <c r="AA28" s="861" t="s">
        <v>676</v>
      </c>
      <c r="AB28" s="861" t="s">
        <v>675</v>
      </c>
      <c r="AC28" s="861" t="s">
        <v>663</v>
      </c>
      <c r="AD28" s="865"/>
      <c r="AE28" s="865"/>
      <c r="AF28" s="865"/>
      <c r="AG28" s="865"/>
      <c r="AH28" s="865"/>
      <c r="AI28" s="865"/>
      <c r="AJ28" s="865"/>
      <c r="AK28" s="865"/>
      <c r="AL28" s="865"/>
      <c r="AM28" s="865"/>
      <c r="AN28" s="865"/>
      <c r="AO28" s="865"/>
      <c r="AP28" s="865"/>
      <c r="AQ28" s="865"/>
      <c r="AR28" s="865"/>
      <c r="AS28" s="865"/>
      <c r="AT28" s="865"/>
      <c r="AU28" s="865"/>
      <c r="AV28" s="865">
        <v>164500.00000000006</v>
      </c>
      <c r="AW28" s="865"/>
      <c r="AX28" s="865"/>
      <c r="AY28" s="865">
        <v>71000.000000000029</v>
      </c>
      <c r="AZ28" s="865"/>
      <c r="BA28" s="865"/>
      <c r="BB28" s="865"/>
      <c r="BC28" s="865">
        <v>30615.000000000007</v>
      </c>
      <c r="BD28" s="865"/>
      <c r="BE28" s="865"/>
      <c r="BF28" s="865"/>
      <c r="BG28" s="865"/>
      <c r="BH28" s="865">
        <v>47988.60671640787</v>
      </c>
      <c r="BI28" s="865"/>
      <c r="BJ28" s="865"/>
      <c r="BK28" s="865"/>
      <c r="BL28" s="865"/>
      <c r="BM28" s="865"/>
      <c r="BN28" s="865"/>
      <c r="BO28" s="865"/>
      <c r="BP28" s="865"/>
      <c r="BQ28" s="865"/>
      <c r="BR28" s="865"/>
      <c r="BS28" s="865">
        <v>314103.60671640793</v>
      </c>
      <c r="BT28" s="412">
        <f t="shared" si="3"/>
        <v>235500.00000000009</v>
      </c>
      <c r="BU28" s="413">
        <v>0.69851380042462841</v>
      </c>
      <c r="BV28" s="413">
        <v>0</v>
      </c>
      <c r="BW28" s="413">
        <v>0</v>
      </c>
      <c r="BX28" s="413">
        <v>0</v>
      </c>
      <c r="BY28" s="413">
        <v>0</v>
      </c>
      <c r="BZ28" s="413">
        <v>0</v>
      </c>
      <c r="CA28" s="413">
        <v>0</v>
      </c>
      <c r="CB28" s="413">
        <v>0.30148619957537154</v>
      </c>
      <c r="CC28" s="413">
        <v>0</v>
      </c>
      <c r="CD28" s="413">
        <v>0</v>
      </c>
      <c r="CE28" s="413">
        <v>0</v>
      </c>
      <c r="CF28" s="413">
        <v>0</v>
      </c>
      <c r="CG28" s="413">
        <v>0</v>
      </c>
      <c r="CH28" s="413">
        <v>0</v>
      </c>
      <c r="CI28" s="413">
        <v>0</v>
      </c>
      <c r="CJ28" s="413">
        <v>0</v>
      </c>
      <c r="CK28" s="413">
        <v>0</v>
      </c>
      <c r="CL28" s="413">
        <v>0</v>
      </c>
      <c r="CM28" s="413">
        <v>0</v>
      </c>
      <c r="CN28" s="413">
        <v>0</v>
      </c>
      <c r="CO28" s="414">
        <f t="shared" si="2"/>
        <v>1</v>
      </c>
    </row>
    <row r="29" spans="1:93" s="415" customFormat="1" ht="25.5" x14ac:dyDescent="0.25">
      <c r="A29" s="881" t="s">
        <v>374</v>
      </c>
      <c r="B29" s="862" t="s">
        <v>2107</v>
      </c>
      <c r="C29" s="861" t="s">
        <v>776</v>
      </c>
      <c r="D29" s="862"/>
      <c r="E29" s="861" t="s">
        <v>655</v>
      </c>
      <c r="F29" s="862"/>
      <c r="G29" s="861" t="s">
        <v>648</v>
      </c>
      <c r="H29" s="861" t="s">
        <v>654</v>
      </c>
      <c r="I29" s="861" t="s">
        <v>647</v>
      </c>
      <c r="J29" s="861" t="s">
        <v>671</v>
      </c>
      <c r="K29" s="861" t="s">
        <v>649</v>
      </c>
      <c r="L29" s="861" t="s">
        <v>36</v>
      </c>
      <c r="M29" s="861" t="s">
        <v>653</v>
      </c>
      <c r="N29" s="861" t="s">
        <v>680</v>
      </c>
      <c r="O29" s="861"/>
      <c r="P29" s="861"/>
      <c r="Q29" s="861" t="s">
        <v>650</v>
      </c>
      <c r="R29" s="861" t="s">
        <v>652</v>
      </c>
      <c r="S29" s="861" t="s">
        <v>649</v>
      </c>
      <c r="T29" s="861"/>
      <c r="U29" s="861"/>
      <c r="V29" s="861" t="s">
        <v>36</v>
      </c>
      <c r="W29" s="861" t="s">
        <v>684</v>
      </c>
      <c r="X29" s="863">
        <v>43282</v>
      </c>
      <c r="Y29" s="863">
        <v>43565</v>
      </c>
      <c r="Z29" s="864">
        <v>2019</v>
      </c>
      <c r="AA29" s="861" t="s">
        <v>676</v>
      </c>
      <c r="AB29" s="861" t="s">
        <v>675</v>
      </c>
      <c r="AC29" s="861" t="s">
        <v>663</v>
      </c>
      <c r="AD29" s="865"/>
      <c r="AE29" s="865"/>
      <c r="AF29" s="865"/>
      <c r="AG29" s="865"/>
      <c r="AH29" s="865"/>
      <c r="AI29" s="865"/>
      <c r="AJ29" s="865"/>
      <c r="AK29" s="865"/>
      <c r="AL29" s="865"/>
      <c r="AM29" s="865"/>
      <c r="AN29" s="865"/>
      <c r="AO29" s="865"/>
      <c r="AP29" s="865"/>
      <c r="AQ29" s="865"/>
      <c r="AR29" s="865"/>
      <c r="AS29" s="865"/>
      <c r="AT29" s="865"/>
      <c r="AU29" s="865"/>
      <c r="AV29" s="865"/>
      <c r="AW29" s="865"/>
      <c r="AX29" s="865"/>
      <c r="AY29" s="865"/>
      <c r="AZ29" s="865"/>
      <c r="BA29" s="865">
        <v>122000.0000000001</v>
      </c>
      <c r="BB29" s="865"/>
      <c r="BC29" s="865"/>
      <c r="BD29" s="865"/>
      <c r="BE29" s="865"/>
      <c r="BF29" s="865"/>
      <c r="BG29" s="865"/>
      <c r="BH29" s="865">
        <v>17529.369995477518</v>
      </c>
      <c r="BI29" s="865"/>
      <c r="BJ29" s="865"/>
      <c r="BK29" s="865"/>
      <c r="BL29" s="865"/>
      <c r="BM29" s="865"/>
      <c r="BN29" s="865"/>
      <c r="BO29" s="865"/>
      <c r="BP29" s="865"/>
      <c r="BQ29" s="865"/>
      <c r="BR29" s="865"/>
      <c r="BS29" s="865">
        <v>139529.36999547761</v>
      </c>
      <c r="BT29" s="412">
        <f t="shared" si="3"/>
        <v>122000.0000000001</v>
      </c>
      <c r="BU29" s="413">
        <v>0</v>
      </c>
      <c r="BV29" s="413">
        <v>0</v>
      </c>
      <c r="BW29" s="413">
        <v>0</v>
      </c>
      <c r="BX29" s="413">
        <v>0</v>
      </c>
      <c r="BY29" s="413">
        <v>0</v>
      </c>
      <c r="BZ29" s="413">
        <v>0</v>
      </c>
      <c r="CA29" s="413">
        <v>0</v>
      </c>
      <c r="CB29" s="413">
        <v>1</v>
      </c>
      <c r="CC29" s="413">
        <v>0</v>
      </c>
      <c r="CD29" s="413">
        <v>0</v>
      </c>
      <c r="CE29" s="413">
        <v>0</v>
      </c>
      <c r="CF29" s="413">
        <v>0</v>
      </c>
      <c r="CG29" s="413">
        <v>0</v>
      </c>
      <c r="CH29" s="413">
        <v>0</v>
      </c>
      <c r="CI29" s="413">
        <v>0</v>
      </c>
      <c r="CJ29" s="413">
        <v>0</v>
      </c>
      <c r="CK29" s="413">
        <v>0</v>
      </c>
      <c r="CL29" s="413">
        <v>0</v>
      </c>
      <c r="CM29" s="413">
        <v>0</v>
      </c>
      <c r="CN29" s="413">
        <v>0</v>
      </c>
      <c r="CO29" s="414">
        <f t="shared" si="2"/>
        <v>1</v>
      </c>
    </row>
    <row r="30" spans="1:93" s="415" customFormat="1" ht="25.5" x14ac:dyDescent="0.25">
      <c r="A30" s="881" t="s">
        <v>376</v>
      </c>
      <c r="B30" s="862" t="s">
        <v>2239</v>
      </c>
      <c r="C30" s="861" t="s">
        <v>775</v>
      </c>
      <c r="D30" s="862"/>
      <c r="E30" s="861" t="s">
        <v>655</v>
      </c>
      <c r="F30" s="862"/>
      <c r="G30" s="861"/>
      <c r="H30" s="861" t="s">
        <v>654</v>
      </c>
      <c r="I30" s="861" t="s">
        <v>647</v>
      </c>
      <c r="J30" s="861" t="s">
        <v>671</v>
      </c>
      <c r="K30" s="861" t="s">
        <v>649</v>
      </c>
      <c r="L30" s="861" t="s">
        <v>40</v>
      </c>
      <c r="M30" s="861" t="s">
        <v>653</v>
      </c>
      <c r="N30" s="861" t="s">
        <v>645</v>
      </c>
      <c r="O30" s="861"/>
      <c r="P30" s="861"/>
      <c r="Q30" s="861" t="s">
        <v>656</v>
      </c>
      <c r="R30" s="861" t="s">
        <v>652</v>
      </c>
      <c r="S30" s="861" t="s">
        <v>649</v>
      </c>
      <c r="T30" s="861"/>
      <c r="U30" s="861"/>
      <c r="V30" s="861" t="s">
        <v>670</v>
      </c>
      <c r="W30" s="861" t="s">
        <v>774</v>
      </c>
      <c r="X30" s="863">
        <v>43282</v>
      </c>
      <c r="Y30" s="863">
        <v>45096</v>
      </c>
      <c r="Z30" s="864">
        <v>2023</v>
      </c>
      <c r="AA30" s="861"/>
      <c r="AB30" s="861"/>
      <c r="AC30" s="861"/>
      <c r="AD30" s="865"/>
      <c r="AE30" s="865"/>
      <c r="AF30" s="865"/>
      <c r="AG30" s="865"/>
      <c r="AH30" s="865"/>
      <c r="AI30" s="865"/>
      <c r="AJ30" s="865"/>
      <c r="AK30" s="865"/>
      <c r="AL30" s="865"/>
      <c r="AM30" s="865"/>
      <c r="AN30" s="865"/>
      <c r="AO30" s="865"/>
      <c r="AP30" s="865"/>
      <c r="AQ30" s="865"/>
      <c r="AR30" s="865"/>
      <c r="AS30" s="865"/>
      <c r="AT30" s="865"/>
      <c r="AU30" s="865"/>
      <c r="AV30" s="865"/>
      <c r="AW30" s="865">
        <v>0</v>
      </c>
      <c r="AX30" s="865"/>
      <c r="AY30" s="865"/>
      <c r="AZ30" s="865"/>
      <c r="BA30" s="865"/>
      <c r="BB30" s="865"/>
      <c r="BC30" s="865"/>
      <c r="BD30" s="865"/>
      <c r="BE30" s="865"/>
      <c r="BF30" s="865"/>
      <c r="BG30" s="865"/>
      <c r="BH30" s="865">
        <v>2013795.9466459639</v>
      </c>
      <c r="BI30" s="865"/>
      <c r="BJ30" s="865"/>
      <c r="BK30" s="865"/>
      <c r="BL30" s="865"/>
      <c r="BM30" s="865"/>
      <c r="BN30" s="865"/>
      <c r="BO30" s="865"/>
      <c r="BP30" s="865"/>
      <c r="BQ30" s="865"/>
      <c r="BR30" s="865"/>
      <c r="BS30" s="865">
        <v>2013795.9466459639</v>
      </c>
      <c r="BT30" s="412">
        <f t="shared" si="3"/>
        <v>0</v>
      </c>
      <c r="BU30" s="413">
        <v>0</v>
      </c>
      <c r="BV30" s="413">
        <v>0</v>
      </c>
      <c r="BW30" s="413">
        <v>0</v>
      </c>
      <c r="BX30" s="413">
        <v>0</v>
      </c>
      <c r="BY30" s="413">
        <v>0</v>
      </c>
      <c r="BZ30" s="413">
        <v>0</v>
      </c>
      <c r="CA30" s="413">
        <v>0</v>
      </c>
      <c r="CB30" s="413">
        <v>1</v>
      </c>
      <c r="CC30" s="413">
        <v>0</v>
      </c>
      <c r="CD30" s="413">
        <v>0</v>
      </c>
      <c r="CE30" s="413">
        <v>0</v>
      </c>
      <c r="CF30" s="413">
        <v>0</v>
      </c>
      <c r="CG30" s="413">
        <v>0</v>
      </c>
      <c r="CH30" s="413">
        <v>0</v>
      </c>
      <c r="CI30" s="413">
        <v>0</v>
      </c>
      <c r="CJ30" s="413">
        <v>0</v>
      </c>
      <c r="CK30" s="413">
        <v>0</v>
      </c>
      <c r="CL30" s="413">
        <v>0</v>
      </c>
      <c r="CM30" s="413">
        <v>0</v>
      </c>
      <c r="CN30" s="413">
        <v>0</v>
      </c>
      <c r="CO30" s="414">
        <f t="shared" si="2"/>
        <v>1</v>
      </c>
    </row>
    <row r="31" spans="1:93" s="415" customFormat="1" ht="25.5" x14ac:dyDescent="0.25">
      <c r="A31" s="881" t="s">
        <v>379</v>
      </c>
      <c r="B31" s="862" t="s">
        <v>2836</v>
      </c>
      <c r="C31" s="861" t="s">
        <v>2673</v>
      </c>
      <c r="D31" s="862"/>
      <c r="E31" s="861" t="s">
        <v>655</v>
      </c>
      <c r="F31" s="862"/>
      <c r="G31" s="861" t="s">
        <v>722</v>
      </c>
      <c r="H31" s="861" t="s">
        <v>654</v>
      </c>
      <c r="I31" s="861" t="s">
        <v>647</v>
      </c>
      <c r="J31" s="861" t="s">
        <v>641</v>
      </c>
      <c r="K31" s="861" t="s">
        <v>649</v>
      </c>
      <c r="L31" s="861" t="s">
        <v>60</v>
      </c>
      <c r="M31" s="861" t="s">
        <v>653</v>
      </c>
      <c r="N31" s="861" t="s">
        <v>680</v>
      </c>
      <c r="O31" s="861"/>
      <c r="P31" s="861" t="s">
        <v>643</v>
      </c>
      <c r="Q31" s="861" t="s">
        <v>656</v>
      </c>
      <c r="R31" s="861" t="s">
        <v>652</v>
      </c>
      <c r="S31" s="861" t="s">
        <v>649</v>
      </c>
      <c r="T31" s="861"/>
      <c r="U31" s="861"/>
      <c r="V31" s="861" t="s">
        <v>641</v>
      </c>
      <c r="W31" s="861" t="s">
        <v>684</v>
      </c>
      <c r="X31" s="863">
        <v>43282</v>
      </c>
      <c r="Y31" s="863">
        <v>43643</v>
      </c>
      <c r="Z31" s="864">
        <v>2019</v>
      </c>
      <c r="AA31" s="861" t="s">
        <v>676</v>
      </c>
      <c r="AB31" s="861"/>
      <c r="AC31" s="861"/>
      <c r="AD31" s="865"/>
      <c r="AE31" s="865"/>
      <c r="AF31" s="865"/>
      <c r="AG31" s="865">
        <v>2094358.0000000002</v>
      </c>
      <c r="AH31" s="865"/>
      <c r="AI31" s="865"/>
      <c r="AJ31" s="865"/>
      <c r="AK31" s="865"/>
      <c r="AL31" s="865"/>
      <c r="AM31" s="865"/>
      <c r="AN31" s="865"/>
      <c r="AO31" s="865"/>
      <c r="AP31" s="865"/>
      <c r="AQ31" s="865"/>
      <c r="AR31" s="865"/>
      <c r="AS31" s="865"/>
      <c r="AT31" s="865"/>
      <c r="AU31" s="865"/>
      <c r="AV31" s="865"/>
      <c r="AW31" s="865"/>
      <c r="AX31" s="865"/>
      <c r="AY31" s="865"/>
      <c r="AZ31" s="865"/>
      <c r="BA31" s="865"/>
      <c r="BB31" s="865"/>
      <c r="BC31" s="865"/>
      <c r="BD31" s="865"/>
      <c r="BE31" s="865"/>
      <c r="BF31" s="865"/>
      <c r="BG31" s="865"/>
      <c r="BH31" s="865">
        <v>105641.85349198891</v>
      </c>
      <c r="BI31" s="865"/>
      <c r="BJ31" s="865"/>
      <c r="BK31" s="865"/>
      <c r="BL31" s="865"/>
      <c r="BM31" s="865"/>
      <c r="BN31" s="865"/>
      <c r="BO31" s="865"/>
      <c r="BP31" s="865"/>
      <c r="BQ31" s="865"/>
      <c r="BR31" s="865"/>
      <c r="BS31" s="865">
        <v>2199999.853491989</v>
      </c>
      <c r="BT31" s="412">
        <f t="shared" si="3"/>
        <v>2094358.0000000002</v>
      </c>
      <c r="BU31" s="413">
        <v>0</v>
      </c>
      <c r="BV31" s="413">
        <v>0</v>
      </c>
      <c r="BW31" s="413">
        <v>0</v>
      </c>
      <c r="BX31" s="413">
        <v>0</v>
      </c>
      <c r="BY31" s="413">
        <v>0</v>
      </c>
      <c r="BZ31" s="413">
        <v>0</v>
      </c>
      <c r="CA31" s="413">
        <v>0</v>
      </c>
      <c r="CB31" s="413">
        <v>0</v>
      </c>
      <c r="CC31" s="413">
        <v>0</v>
      </c>
      <c r="CD31" s="413">
        <v>1</v>
      </c>
      <c r="CE31" s="413">
        <v>0</v>
      </c>
      <c r="CF31" s="413">
        <v>0</v>
      </c>
      <c r="CG31" s="413">
        <v>0</v>
      </c>
      <c r="CH31" s="413">
        <v>0</v>
      </c>
      <c r="CI31" s="413">
        <v>0</v>
      </c>
      <c r="CJ31" s="413">
        <v>0</v>
      </c>
      <c r="CK31" s="413">
        <v>0</v>
      </c>
      <c r="CL31" s="413">
        <v>0</v>
      </c>
      <c r="CM31" s="413">
        <v>0</v>
      </c>
      <c r="CN31" s="413">
        <v>0</v>
      </c>
      <c r="CO31" s="414">
        <f t="shared" si="2"/>
        <v>1</v>
      </c>
    </row>
    <row r="32" spans="1:93" s="415" customFormat="1" ht="25.5" x14ac:dyDescent="0.25">
      <c r="A32" s="881" t="s">
        <v>381</v>
      </c>
      <c r="B32" s="862" t="s">
        <v>2113</v>
      </c>
      <c r="C32" s="861" t="s">
        <v>2467</v>
      </c>
      <c r="D32" s="862"/>
      <c r="E32" s="861" t="s">
        <v>655</v>
      </c>
      <c r="F32" s="862"/>
      <c r="G32" s="861"/>
      <c r="H32" s="861" t="s">
        <v>654</v>
      </c>
      <c r="I32" s="861" t="s">
        <v>647</v>
      </c>
      <c r="J32" s="861" t="s">
        <v>671</v>
      </c>
      <c r="K32" s="861" t="s">
        <v>649</v>
      </c>
      <c r="L32" s="861" t="s">
        <v>55</v>
      </c>
      <c r="M32" s="861" t="s">
        <v>653</v>
      </c>
      <c r="N32" s="861" t="s">
        <v>645</v>
      </c>
      <c r="O32" s="861"/>
      <c r="P32" s="861"/>
      <c r="Q32" s="861" t="s">
        <v>656</v>
      </c>
      <c r="R32" s="861" t="s">
        <v>652</v>
      </c>
      <c r="S32" s="861" t="s">
        <v>649</v>
      </c>
      <c r="T32" s="861"/>
      <c r="U32" s="861"/>
      <c r="V32" s="861" t="s">
        <v>683</v>
      </c>
      <c r="W32" s="861" t="s">
        <v>684</v>
      </c>
      <c r="X32" s="863">
        <v>44317</v>
      </c>
      <c r="Y32" s="863">
        <v>44609</v>
      </c>
      <c r="Z32" s="864">
        <v>2022</v>
      </c>
      <c r="AA32" s="861"/>
      <c r="AB32" s="861"/>
      <c r="AC32" s="861"/>
      <c r="AD32" s="865"/>
      <c r="AE32" s="865"/>
      <c r="AF32" s="865"/>
      <c r="AG32" s="865"/>
      <c r="AH32" s="865"/>
      <c r="AI32" s="865"/>
      <c r="AJ32" s="865"/>
      <c r="AK32" s="865"/>
      <c r="AL32" s="865"/>
      <c r="AM32" s="865"/>
      <c r="AN32" s="865"/>
      <c r="AO32" s="865"/>
      <c r="AP32" s="865"/>
      <c r="AQ32" s="865"/>
      <c r="AR32" s="865"/>
      <c r="AS32" s="865"/>
      <c r="AT32" s="865"/>
      <c r="AU32" s="865"/>
      <c r="AV32" s="865"/>
      <c r="AW32" s="865">
        <v>1141371.0000000005</v>
      </c>
      <c r="AX32" s="865"/>
      <c r="AY32" s="865"/>
      <c r="AZ32" s="865"/>
      <c r="BA32" s="865"/>
      <c r="BB32" s="865"/>
      <c r="BC32" s="865"/>
      <c r="BD32" s="865"/>
      <c r="BE32" s="865"/>
      <c r="BF32" s="865"/>
      <c r="BG32" s="865"/>
      <c r="BH32" s="865">
        <v>670458.71108333417</v>
      </c>
      <c r="BI32" s="865"/>
      <c r="BJ32" s="865"/>
      <c r="BK32" s="865"/>
      <c r="BL32" s="865"/>
      <c r="BM32" s="865"/>
      <c r="BN32" s="865"/>
      <c r="BO32" s="865"/>
      <c r="BP32" s="865"/>
      <c r="BQ32" s="865"/>
      <c r="BR32" s="865"/>
      <c r="BS32" s="865">
        <v>1811829.7110833344</v>
      </c>
      <c r="BT32" s="412">
        <f t="shared" si="3"/>
        <v>1141371.0000000005</v>
      </c>
      <c r="BU32" s="413">
        <v>0</v>
      </c>
      <c r="BV32" s="413">
        <v>0</v>
      </c>
      <c r="BW32" s="413">
        <v>0</v>
      </c>
      <c r="BX32" s="413">
        <v>1</v>
      </c>
      <c r="BY32" s="413">
        <v>0</v>
      </c>
      <c r="BZ32" s="413">
        <v>0</v>
      </c>
      <c r="CA32" s="413">
        <v>0</v>
      </c>
      <c r="CB32" s="413">
        <v>0</v>
      </c>
      <c r="CC32" s="413">
        <v>0</v>
      </c>
      <c r="CD32" s="413">
        <v>0</v>
      </c>
      <c r="CE32" s="413">
        <v>0</v>
      </c>
      <c r="CF32" s="413">
        <v>0</v>
      </c>
      <c r="CG32" s="413">
        <v>0</v>
      </c>
      <c r="CH32" s="413">
        <v>0</v>
      </c>
      <c r="CI32" s="413">
        <v>0</v>
      </c>
      <c r="CJ32" s="413">
        <v>0</v>
      </c>
      <c r="CK32" s="413">
        <v>0</v>
      </c>
      <c r="CL32" s="413">
        <v>0</v>
      </c>
      <c r="CM32" s="413">
        <v>0</v>
      </c>
      <c r="CN32" s="413">
        <v>0</v>
      </c>
      <c r="CO32" s="414">
        <f t="shared" si="2"/>
        <v>1</v>
      </c>
    </row>
    <row r="33" spans="1:93" s="415" customFormat="1" ht="25.5" x14ac:dyDescent="0.25">
      <c r="A33" s="881" t="s">
        <v>382</v>
      </c>
      <c r="B33" s="862" t="s">
        <v>2837</v>
      </c>
      <c r="C33" s="861" t="s">
        <v>2468</v>
      </c>
      <c r="D33" s="862"/>
      <c r="E33" s="861" t="s">
        <v>655</v>
      </c>
      <c r="F33" s="862"/>
      <c r="G33" s="861"/>
      <c r="H33" s="861" t="s">
        <v>654</v>
      </c>
      <c r="I33" s="861" t="s">
        <v>647</v>
      </c>
      <c r="J33" s="861" t="s">
        <v>671</v>
      </c>
      <c r="K33" s="861" t="s">
        <v>649</v>
      </c>
      <c r="L33" s="861" t="s">
        <v>55</v>
      </c>
      <c r="M33" s="861" t="s">
        <v>653</v>
      </c>
      <c r="N33" s="861" t="s">
        <v>645</v>
      </c>
      <c r="O33" s="861"/>
      <c r="P33" s="861"/>
      <c r="Q33" s="861" t="s">
        <v>650</v>
      </c>
      <c r="R33" s="861" t="s">
        <v>652</v>
      </c>
      <c r="S33" s="861" t="s">
        <v>649</v>
      </c>
      <c r="T33" s="861"/>
      <c r="U33" s="861"/>
      <c r="V33" s="861" t="s">
        <v>683</v>
      </c>
      <c r="W33" s="861" t="s">
        <v>677</v>
      </c>
      <c r="X33" s="863">
        <v>42948</v>
      </c>
      <c r="Y33" s="863">
        <v>43542</v>
      </c>
      <c r="Z33" s="864">
        <v>2020</v>
      </c>
      <c r="AA33" s="861"/>
      <c r="AB33" s="861"/>
      <c r="AC33" s="861"/>
      <c r="AD33" s="865"/>
      <c r="AE33" s="865"/>
      <c r="AF33" s="865"/>
      <c r="AG33" s="865"/>
      <c r="AH33" s="865"/>
      <c r="AI33" s="865"/>
      <c r="AJ33" s="865"/>
      <c r="AK33" s="865"/>
      <c r="AL33" s="865"/>
      <c r="AM33" s="865"/>
      <c r="AN33" s="865"/>
      <c r="AO33" s="865"/>
      <c r="AP33" s="865"/>
      <c r="AQ33" s="865"/>
      <c r="AR33" s="865"/>
      <c r="AS33" s="865"/>
      <c r="AT33" s="865"/>
      <c r="AU33" s="865"/>
      <c r="AV33" s="865"/>
      <c r="AW33" s="865">
        <v>60250.000000000029</v>
      </c>
      <c r="AX33" s="865"/>
      <c r="AY33" s="865"/>
      <c r="AZ33" s="865"/>
      <c r="BA33" s="865"/>
      <c r="BB33" s="865"/>
      <c r="BC33" s="865"/>
      <c r="BD33" s="865"/>
      <c r="BE33" s="865"/>
      <c r="BF33" s="865"/>
      <c r="BG33" s="865"/>
      <c r="BH33" s="865">
        <v>1144750.0000000007</v>
      </c>
      <c r="BI33" s="865"/>
      <c r="BJ33" s="865"/>
      <c r="BK33" s="865"/>
      <c r="BL33" s="865"/>
      <c r="BM33" s="865"/>
      <c r="BN33" s="865"/>
      <c r="BO33" s="865"/>
      <c r="BP33" s="865"/>
      <c r="BQ33" s="865"/>
      <c r="BR33" s="865"/>
      <c r="BS33" s="865">
        <v>1205000.0000000005</v>
      </c>
      <c r="BT33" s="412">
        <f t="shared" si="3"/>
        <v>60250.000000000029</v>
      </c>
      <c r="BU33" s="413">
        <v>0</v>
      </c>
      <c r="BV33" s="413">
        <v>0</v>
      </c>
      <c r="BW33" s="413">
        <v>0</v>
      </c>
      <c r="BX33" s="413">
        <v>1</v>
      </c>
      <c r="BY33" s="413">
        <v>0</v>
      </c>
      <c r="BZ33" s="413">
        <v>0</v>
      </c>
      <c r="CA33" s="413">
        <v>0</v>
      </c>
      <c r="CB33" s="413">
        <v>0</v>
      </c>
      <c r="CC33" s="413">
        <v>0</v>
      </c>
      <c r="CD33" s="413">
        <v>0</v>
      </c>
      <c r="CE33" s="413">
        <v>0</v>
      </c>
      <c r="CF33" s="413">
        <v>0</v>
      </c>
      <c r="CG33" s="413">
        <v>0</v>
      </c>
      <c r="CH33" s="413">
        <v>0</v>
      </c>
      <c r="CI33" s="413">
        <v>0</v>
      </c>
      <c r="CJ33" s="413">
        <v>0</v>
      </c>
      <c r="CK33" s="413">
        <v>0</v>
      </c>
      <c r="CL33" s="413">
        <v>0</v>
      </c>
      <c r="CM33" s="413">
        <v>0</v>
      </c>
      <c r="CN33" s="413">
        <v>0</v>
      </c>
      <c r="CO33" s="414">
        <f t="shared" si="2"/>
        <v>1</v>
      </c>
    </row>
    <row r="34" spans="1:93" s="415" customFormat="1" ht="25.5" x14ac:dyDescent="0.25">
      <c r="A34" s="881" t="s">
        <v>383</v>
      </c>
      <c r="B34" s="862" t="s">
        <v>2838</v>
      </c>
      <c r="C34" s="861" t="s">
        <v>2779</v>
      </c>
      <c r="D34" s="862"/>
      <c r="E34" s="861" t="s">
        <v>655</v>
      </c>
      <c r="F34" s="862"/>
      <c r="G34" s="861"/>
      <c r="H34" s="861" t="s">
        <v>654</v>
      </c>
      <c r="I34" s="861" t="s">
        <v>647</v>
      </c>
      <c r="J34" s="861" t="s">
        <v>671</v>
      </c>
      <c r="K34" s="861" t="s">
        <v>649</v>
      </c>
      <c r="L34" s="861" t="s">
        <v>55</v>
      </c>
      <c r="M34" s="861" t="s">
        <v>653</v>
      </c>
      <c r="N34" s="861" t="s">
        <v>645</v>
      </c>
      <c r="O34" s="861"/>
      <c r="P34" s="861"/>
      <c r="Q34" s="861" t="s">
        <v>656</v>
      </c>
      <c r="R34" s="861" t="s">
        <v>652</v>
      </c>
      <c r="S34" s="861" t="s">
        <v>649</v>
      </c>
      <c r="T34" s="861"/>
      <c r="U34" s="861"/>
      <c r="V34" s="861" t="s">
        <v>683</v>
      </c>
      <c r="W34" s="861" t="s">
        <v>694</v>
      </c>
      <c r="X34" s="863">
        <v>43374</v>
      </c>
      <c r="Y34" s="863">
        <v>44432</v>
      </c>
      <c r="Z34" s="864">
        <v>2022</v>
      </c>
      <c r="AA34" s="861"/>
      <c r="AB34" s="861"/>
      <c r="AC34" s="861"/>
      <c r="AD34" s="865"/>
      <c r="AE34" s="865"/>
      <c r="AF34" s="865"/>
      <c r="AG34" s="865"/>
      <c r="AH34" s="865"/>
      <c r="AI34" s="865"/>
      <c r="AJ34" s="865"/>
      <c r="AK34" s="865"/>
      <c r="AL34" s="865"/>
      <c r="AM34" s="865"/>
      <c r="AN34" s="865"/>
      <c r="AO34" s="865"/>
      <c r="AP34" s="865"/>
      <c r="AQ34" s="865"/>
      <c r="AR34" s="865"/>
      <c r="AS34" s="865"/>
      <c r="AT34" s="865"/>
      <c r="AU34" s="865"/>
      <c r="AV34" s="865"/>
      <c r="AW34" s="865">
        <v>1769192.0000000023</v>
      </c>
      <c r="AX34" s="865"/>
      <c r="AY34" s="865"/>
      <c r="AZ34" s="865"/>
      <c r="BA34" s="865"/>
      <c r="BB34" s="865"/>
      <c r="BC34" s="865"/>
      <c r="BD34" s="865"/>
      <c r="BE34" s="865"/>
      <c r="BF34" s="865"/>
      <c r="BG34" s="865"/>
      <c r="BH34" s="865">
        <v>499561.24225000129</v>
      </c>
      <c r="BI34" s="865"/>
      <c r="BJ34" s="865"/>
      <c r="BK34" s="865"/>
      <c r="BL34" s="865"/>
      <c r="BM34" s="865"/>
      <c r="BN34" s="865"/>
      <c r="BO34" s="865"/>
      <c r="BP34" s="865"/>
      <c r="BQ34" s="865"/>
      <c r="BR34" s="865"/>
      <c r="BS34" s="865">
        <v>2268753.2422500039</v>
      </c>
      <c r="BT34" s="412">
        <f t="shared" si="3"/>
        <v>1769192.0000000023</v>
      </c>
      <c r="BU34" s="413">
        <v>0</v>
      </c>
      <c r="BV34" s="413">
        <v>0</v>
      </c>
      <c r="BW34" s="413">
        <v>0</v>
      </c>
      <c r="BX34" s="413">
        <v>1</v>
      </c>
      <c r="BY34" s="413">
        <v>0</v>
      </c>
      <c r="BZ34" s="413">
        <v>0</v>
      </c>
      <c r="CA34" s="413">
        <v>0</v>
      </c>
      <c r="CB34" s="413">
        <v>0</v>
      </c>
      <c r="CC34" s="413">
        <v>0</v>
      </c>
      <c r="CD34" s="413">
        <v>0</v>
      </c>
      <c r="CE34" s="413">
        <v>0</v>
      </c>
      <c r="CF34" s="413">
        <v>0</v>
      </c>
      <c r="CG34" s="413">
        <v>0</v>
      </c>
      <c r="CH34" s="413">
        <v>0</v>
      </c>
      <c r="CI34" s="413">
        <v>0</v>
      </c>
      <c r="CJ34" s="413">
        <v>0</v>
      </c>
      <c r="CK34" s="413">
        <v>0</v>
      </c>
      <c r="CL34" s="413">
        <v>0</v>
      </c>
      <c r="CM34" s="413">
        <v>0</v>
      </c>
      <c r="CN34" s="413">
        <v>0</v>
      </c>
      <c r="CO34" s="414">
        <f t="shared" si="2"/>
        <v>1</v>
      </c>
    </row>
    <row r="35" spans="1:93" s="415" customFormat="1" ht="25.5" x14ac:dyDescent="0.25">
      <c r="A35" s="881" t="s">
        <v>385</v>
      </c>
      <c r="B35" s="862" t="s">
        <v>2116</v>
      </c>
      <c r="C35" s="861" t="s">
        <v>2470</v>
      </c>
      <c r="D35" s="862"/>
      <c r="E35" s="861" t="s">
        <v>655</v>
      </c>
      <c r="F35" s="862"/>
      <c r="G35" s="861"/>
      <c r="H35" s="861" t="s">
        <v>654</v>
      </c>
      <c r="I35" s="861" t="s">
        <v>647</v>
      </c>
      <c r="J35" s="861" t="s">
        <v>671</v>
      </c>
      <c r="K35" s="861" t="s">
        <v>649</v>
      </c>
      <c r="L35" s="861" t="s">
        <v>55</v>
      </c>
      <c r="M35" s="861" t="s">
        <v>653</v>
      </c>
      <c r="N35" s="861" t="s">
        <v>645</v>
      </c>
      <c r="O35" s="861"/>
      <c r="P35" s="861"/>
      <c r="Q35" s="861" t="s">
        <v>650</v>
      </c>
      <c r="R35" s="861" t="s">
        <v>652</v>
      </c>
      <c r="S35" s="861" t="s">
        <v>649</v>
      </c>
      <c r="T35" s="861"/>
      <c r="U35" s="861"/>
      <c r="V35" s="861" t="s">
        <v>683</v>
      </c>
      <c r="W35" s="861" t="s">
        <v>677</v>
      </c>
      <c r="X35" s="863">
        <v>44319</v>
      </c>
      <c r="Y35" s="863">
        <v>44895</v>
      </c>
      <c r="Z35" s="864">
        <v>2023</v>
      </c>
      <c r="AA35" s="861"/>
      <c r="AB35" s="861"/>
      <c r="AC35" s="861"/>
      <c r="AD35" s="865"/>
      <c r="AE35" s="865"/>
      <c r="AF35" s="865"/>
      <c r="AG35" s="865"/>
      <c r="AH35" s="865"/>
      <c r="AI35" s="865"/>
      <c r="AJ35" s="865"/>
      <c r="AK35" s="865"/>
      <c r="AL35" s="865"/>
      <c r="AM35" s="865"/>
      <c r="AN35" s="865"/>
      <c r="AO35" s="865"/>
      <c r="AP35" s="865"/>
      <c r="AQ35" s="865"/>
      <c r="AR35" s="865"/>
      <c r="AS35" s="865"/>
      <c r="AT35" s="865"/>
      <c r="AU35" s="865"/>
      <c r="AV35" s="865"/>
      <c r="AW35" s="865">
        <v>220000</v>
      </c>
      <c r="AX35" s="865"/>
      <c r="AY35" s="865"/>
      <c r="AZ35" s="865"/>
      <c r="BA35" s="865"/>
      <c r="BB35" s="865"/>
      <c r="BC35" s="865"/>
      <c r="BD35" s="865"/>
      <c r="BE35" s="865"/>
      <c r="BF35" s="865"/>
      <c r="BG35" s="865"/>
      <c r="BH35" s="865">
        <v>880000.00000000058</v>
      </c>
      <c r="BI35" s="865"/>
      <c r="BJ35" s="865"/>
      <c r="BK35" s="865"/>
      <c r="BL35" s="865"/>
      <c r="BM35" s="865"/>
      <c r="BN35" s="865"/>
      <c r="BO35" s="865"/>
      <c r="BP35" s="865"/>
      <c r="BQ35" s="865"/>
      <c r="BR35" s="865"/>
      <c r="BS35" s="865">
        <v>1100000.0000000005</v>
      </c>
      <c r="BT35" s="412">
        <f t="shared" si="3"/>
        <v>220000</v>
      </c>
      <c r="BU35" s="413">
        <v>0</v>
      </c>
      <c r="BV35" s="413">
        <v>0</v>
      </c>
      <c r="BW35" s="413">
        <v>0</v>
      </c>
      <c r="BX35" s="413">
        <v>1</v>
      </c>
      <c r="BY35" s="413">
        <v>0</v>
      </c>
      <c r="BZ35" s="413">
        <v>0</v>
      </c>
      <c r="CA35" s="413">
        <v>0</v>
      </c>
      <c r="CB35" s="413">
        <v>0</v>
      </c>
      <c r="CC35" s="413">
        <v>0</v>
      </c>
      <c r="CD35" s="413">
        <v>0</v>
      </c>
      <c r="CE35" s="413">
        <v>0</v>
      </c>
      <c r="CF35" s="413">
        <v>0</v>
      </c>
      <c r="CG35" s="413">
        <v>0</v>
      </c>
      <c r="CH35" s="413">
        <v>0</v>
      </c>
      <c r="CI35" s="413">
        <v>0</v>
      </c>
      <c r="CJ35" s="413">
        <v>0</v>
      </c>
      <c r="CK35" s="413">
        <v>0</v>
      </c>
      <c r="CL35" s="413">
        <v>0</v>
      </c>
      <c r="CM35" s="413">
        <v>0</v>
      </c>
      <c r="CN35" s="413">
        <v>0</v>
      </c>
      <c r="CO35" s="414">
        <f t="shared" si="2"/>
        <v>1</v>
      </c>
    </row>
    <row r="36" spans="1:93" s="415" customFormat="1" ht="25.5" x14ac:dyDescent="0.25">
      <c r="A36" s="881" t="s">
        <v>386</v>
      </c>
      <c r="B36" s="862" t="s">
        <v>2118</v>
      </c>
      <c r="C36" s="861" t="s">
        <v>2471</v>
      </c>
      <c r="D36" s="862"/>
      <c r="E36" s="861" t="s">
        <v>655</v>
      </c>
      <c r="F36" s="862"/>
      <c r="G36" s="861"/>
      <c r="H36" s="861" t="s">
        <v>654</v>
      </c>
      <c r="I36" s="861" t="s">
        <v>647</v>
      </c>
      <c r="J36" s="861" t="s">
        <v>671</v>
      </c>
      <c r="K36" s="861" t="s">
        <v>649</v>
      </c>
      <c r="L36" s="861" t="s">
        <v>55</v>
      </c>
      <c r="M36" s="861" t="s">
        <v>653</v>
      </c>
      <c r="N36" s="861" t="s">
        <v>645</v>
      </c>
      <c r="O36" s="861"/>
      <c r="P36" s="861"/>
      <c r="Q36" s="861" t="s">
        <v>656</v>
      </c>
      <c r="R36" s="861" t="s">
        <v>652</v>
      </c>
      <c r="S36" s="861" t="s">
        <v>649</v>
      </c>
      <c r="T36" s="861"/>
      <c r="U36" s="861"/>
      <c r="V36" s="861" t="s">
        <v>683</v>
      </c>
      <c r="W36" s="861" t="s">
        <v>677</v>
      </c>
      <c r="X36" s="863">
        <v>44378</v>
      </c>
      <c r="Y36" s="863">
        <v>45471</v>
      </c>
      <c r="Z36" s="864">
        <v>2025</v>
      </c>
      <c r="AA36" s="861"/>
      <c r="AB36" s="861"/>
      <c r="AC36" s="861"/>
      <c r="AD36" s="865"/>
      <c r="AE36" s="865"/>
      <c r="AF36" s="865"/>
      <c r="AG36" s="865"/>
      <c r="AH36" s="865"/>
      <c r="AI36" s="865"/>
      <c r="AJ36" s="865"/>
      <c r="AK36" s="865"/>
      <c r="AL36" s="865"/>
      <c r="AM36" s="865"/>
      <c r="AN36" s="865"/>
      <c r="AO36" s="865"/>
      <c r="AP36" s="865"/>
      <c r="AQ36" s="865"/>
      <c r="AR36" s="865"/>
      <c r="AS36" s="865"/>
      <c r="AT36" s="865"/>
      <c r="AU36" s="865"/>
      <c r="AV36" s="865"/>
      <c r="AW36" s="865">
        <v>0</v>
      </c>
      <c r="AX36" s="865"/>
      <c r="AY36" s="865"/>
      <c r="AZ36" s="865"/>
      <c r="BA36" s="865"/>
      <c r="BB36" s="865"/>
      <c r="BC36" s="865"/>
      <c r="BD36" s="865"/>
      <c r="BE36" s="865"/>
      <c r="BF36" s="865"/>
      <c r="BG36" s="865"/>
      <c r="BH36" s="865">
        <v>2999368.2580833337</v>
      </c>
      <c r="BI36" s="865"/>
      <c r="BJ36" s="865"/>
      <c r="BK36" s="865"/>
      <c r="BL36" s="865"/>
      <c r="BM36" s="865"/>
      <c r="BN36" s="865"/>
      <c r="BO36" s="865"/>
      <c r="BP36" s="865"/>
      <c r="BQ36" s="865"/>
      <c r="BR36" s="865"/>
      <c r="BS36" s="865">
        <v>2999368.2580833337</v>
      </c>
      <c r="BT36" s="412">
        <f t="shared" si="3"/>
        <v>0</v>
      </c>
      <c r="BU36" s="413">
        <v>0</v>
      </c>
      <c r="BV36" s="413">
        <v>0</v>
      </c>
      <c r="BW36" s="413">
        <v>0</v>
      </c>
      <c r="BX36" s="413">
        <v>1</v>
      </c>
      <c r="BY36" s="413">
        <v>0</v>
      </c>
      <c r="BZ36" s="413">
        <v>0</v>
      </c>
      <c r="CA36" s="413">
        <v>0</v>
      </c>
      <c r="CB36" s="413">
        <v>0</v>
      </c>
      <c r="CC36" s="413">
        <v>0</v>
      </c>
      <c r="CD36" s="413">
        <v>0</v>
      </c>
      <c r="CE36" s="413">
        <v>0</v>
      </c>
      <c r="CF36" s="413">
        <v>0</v>
      </c>
      <c r="CG36" s="413">
        <v>0</v>
      </c>
      <c r="CH36" s="413">
        <v>0</v>
      </c>
      <c r="CI36" s="413">
        <v>0</v>
      </c>
      <c r="CJ36" s="413">
        <v>0</v>
      </c>
      <c r="CK36" s="413">
        <v>0</v>
      </c>
      <c r="CL36" s="413">
        <v>0</v>
      </c>
      <c r="CM36" s="413">
        <v>0</v>
      </c>
      <c r="CN36" s="413">
        <v>0</v>
      </c>
      <c r="CO36" s="414">
        <f t="shared" si="2"/>
        <v>1</v>
      </c>
    </row>
    <row r="37" spans="1:93" s="415" customFormat="1" ht="25.5" x14ac:dyDescent="0.25">
      <c r="A37" s="881" t="s">
        <v>388</v>
      </c>
      <c r="B37" s="862" t="s">
        <v>2240</v>
      </c>
      <c r="C37" s="861" t="s">
        <v>2674</v>
      </c>
      <c r="D37" s="862"/>
      <c r="E37" s="861" t="s">
        <v>655</v>
      </c>
      <c r="F37" s="862"/>
      <c r="G37" s="861"/>
      <c r="H37" s="861" t="s">
        <v>654</v>
      </c>
      <c r="I37" s="861" t="s">
        <v>647</v>
      </c>
      <c r="J37" s="861" t="s">
        <v>671</v>
      </c>
      <c r="K37" s="861" t="s">
        <v>649</v>
      </c>
      <c r="L37" s="861" t="s">
        <v>40</v>
      </c>
      <c r="M37" s="861" t="s">
        <v>653</v>
      </c>
      <c r="N37" s="861" t="s">
        <v>645</v>
      </c>
      <c r="O37" s="861"/>
      <c r="P37" s="861"/>
      <c r="Q37" s="861" t="s">
        <v>656</v>
      </c>
      <c r="R37" s="861" t="s">
        <v>652</v>
      </c>
      <c r="S37" s="861" t="s">
        <v>649</v>
      </c>
      <c r="T37" s="861"/>
      <c r="U37" s="861"/>
      <c r="V37" s="861" t="s">
        <v>670</v>
      </c>
      <c r="W37" s="861" t="s">
        <v>694</v>
      </c>
      <c r="X37" s="863">
        <v>43647</v>
      </c>
      <c r="Y37" s="863">
        <v>44644</v>
      </c>
      <c r="Z37" s="864">
        <v>2022</v>
      </c>
      <c r="AA37" s="861" t="s">
        <v>663</v>
      </c>
      <c r="AB37" s="861"/>
      <c r="AC37" s="861"/>
      <c r="AD37" s="865"/>
      <c r="AE37" s="865"/>
      <c r="AF37" s="865"/>
      <c r="AG37" s="865"/>
      <c r="AH37" s="865"/>
      <c r="AI37" s="865"/>
      <c r="AJ37" s="865"/>
      <c r="AK37" s="865"/>
      <c r="AL37" s="865"/>
      <c r="AM37" s="865"/>
      <c r="AN37" s="865"/>
      <c r="AO37" s="865"/>
      <c r="AP37" s="865"/>
      <c r="AQ37" s="865"/>
      <c r="AR37" s="865"/>
      <c r="AS37" s="865"/>
      <c r="AT37" s="865"/>
      <c r="AU37" s="865"/>
      <c r="AV37" s="865"/>
      <c r="AW37" s="865">
        <v>0</v>
      </c>
      <c r="AX37" s="865"/>
      <c r="AY37" s="865"/>
      <c r="AZ37" s="865"/>
      <c r="BA37" s="865"/>
      <c r="BB37" s="865"/>
      <c r="BC37" s="865"/>
      <c r="BD37" s="865"/>
      <c r="BE37" s="865"/>
      <c r="BF37" s="865"/>
      <c r="BG37" s="865"/>
      <c r="BH37" s="865">
        <v>2924949.7770005148</v>
      </c>
      <c r="BI37" s="865"/>
      <c r="BJ37" s="865"/>
      <c r="BK37" s="865"/>
      <c r="BL37" s="865"/>
      <c r="BM37" s="865"/>
      <c r="BN37" s="865"/>
      <c r="BO37" s="865"/>
      <c r="BP37" s="865"/>
      <c r="BQ37" s="865"/>
      <c r="BR37" s="865"/>
      <c r="BS37" s="865">
        <v>2924949.7770005148</v>
      </c>
      <c r="BT37" s="412">
        <f t="shared" si="3"/>
        <v>0</v>
      </c>
      <c r="BU37" s="413">
        <v>0</v>
      </c>
      <c r="BV37" s="413">
        <v>0</v>
      </c>
      <c r="BW37" s="413">
        <v>0</v>
      </c>
      <c r="BX37" s="413">
        <v>0</v>
      </c>
      <c r="BY37" s="413">
        <v>0</v>
      </c>
      <c r="BZ37" s="413">
        <v>0</v>
      </c>
      <c r="CA37" s="413">
        <v>0</v>
      </c>
      <c r="CB37" s="413">
        <v>1</v>
      </c>
      <c r="CC37" s="413">
        <v>0</v>
      </c>
      <c r="CD37" s="413">
        <v>0</v>
      </c>
      <c r="CE37" s="413">
        <v>0</v>
      </c>
      <c r="CF37" s="413">
        <v>0</v>
      </c>
      <c r="CG37" s="413">
        <v>0</v>
      </c>
      <c r="CH37" s="413">
        <v>0</v>
      </c>
      <c r="CI37" s="413">
        <v>0</v>
      </c>
      <c r="CJ37" s="413">
        <v>0</v>
      </c>
      <c r="CK37" s="413">
        <v>0</v>
      </c>
      <c r="CL37" s="413">
        <v>0</v>
      </c>
      <c r="CM37" s="413">
        <v>0</v>
      </c>
      <c r="CN37" s="413">
        <v>0</v>
      </c>
      <c r="CO37" s="414">
        <f t="shared" si="2"/>
        <v>1</v>
      </c>
    </row>
    <row r="38" spans="1:93" s="415" customFormat="1" ht="25.5" x14ac:dyDescent="0.25">
      <c r="A38" s="881" t="s">
        <v>392</v>
      </c>
      <c r="B38" s="862" t="s">
        <v>2840</v>
      </c>
      <c r="C38" s="861" t="s">
        <v>2780</v>
      </c>
      <c r="D38" s="862"/>
      <c r="E38" s="861" t="s">
        <v>655</v>
      </c>
      <c r="F38" s="862"/>
      <c r="G38" s="861"/>
      <c r="H38" s="861" t="s">
        <v>654</v>
      </c>
      <c r="I38" s="861" t="s">
        <v>647</v>
      </c>
      <c r="J38" s="861" t="s">
        <v>671</v>
      </c>
      <c r="K38" s="861" t="s">
        <v>649</v>
      </c>
      <c r="L38" s="861" t="s">
        <v>55</v>
      </c>
      <c r="M38" s="861" t="s">
        <v>653</v>
      </c>
      <c r="N38" s="861" t="s">
        <v>645</v>
      </c>
      <c r="O38" s="861"/>
      <c r="P38" s="861"/>
      <c r="Q38" s="861" t="s">
        <v>650</v>
      </c>
      <c r="R38" s="861" t="s">
        <v>652</v>
      </c>
      <c r="S38" s="861" t="s">
        <v>649</v>
      </c>
      <c r="T38" s="861"/>
      <c r="U38" s="861"/>
      <c r="V38" s="861" t="s">
        <v>683</v>
      </c>
      <c r="W38" s="861" t="s">
        <v>640</v>
      </c>
      <c r="X38" s="863">
        <v>44835</v>
      </c>
      <c r="Y38" s="863">
        <v>45467</v>
      </c>
      <c r="Z38" s="864">
        <v>2024</v>
      </c>
      <c r="AA38" s="861"/>
      <c r="AB38" s="861"/>
      <c r="AC38" s="861"/>
      <c r="AD38" s="865"/>
      <c r="AE38" s="865"/>
      <c r="AF38" s="865"/>
      <c r="AG38" s="865"/>
      <c r="AH38" s="865"/>
      <c r="AI38" s="865"/>
      <c r="AJ38" s="865"/>
      <c r="AK38" s="865"/>
      <c r="AL38" s="865"/>
      <c r="AM38" s="865"/>
      <c r="AN38" s="865"/>
      <c r="AO38" s="865"/>
      <c r="AP38" s="865"/>
      <c r="AQ38" s="865"/>
      <c r="AR38" s="865"/>
      <c r="AS38" s="865"/>
      <c r="AT38" s="865"/>
      <c r="AU38" s="865"/>
      <c r="AV38" s="865"/>
      <c r="AW38" s="865">
        <v>176000.00000000017</v>
      </c>
      <c r="AX38" s="865"/>
      <c r="AY38" s="865"/>
      <c r="AZ38" s="865"/>
      <c r="BA38" s="865"/>
      <c r="BB38" s="865"/>
      <c r="BC38" s="865"/>
      <c r="BD38" s="865"/>
      <c r="BE38" s="865"/>
      <c r="BF38" s="865"/>
      <c r="BG38" s="865"/>
      <c r="BH38" s="865">
        <v>702748.43466666737</v>
      </c>
      <c r="BI38" s="865"/>
      <c r="BJ38" s="865"/>
      <c r="BK38" s="865"/>
      <c r="BL38" s="865"/>
      <c r="BM38" s="865"/>
      <c r="BN38" s="865"/>
      <c r="BO38" s="865"/>
      <c r="BP38" s="865"/>
      <c r="BQ38" s="865"/>
      <c r="BR38" s="865"/>
      <c r="BS38" s="865">
        <v>878748.43466666748</v>
      </c>
      <c r="BT38" s="412">
        <f t="shared" si="3"/>
        <v>176000.00000000017</v>
      </c>
      <c r="BU38" s="413">
        <v>0</v>
      </c>
      <c r="BV38" s="413">
        <v>0</v>
      </c>
      <c r="BW38" s="413">
        <v>0</v>
      </c>
      <c r="BX38" s="413">
        <v>1</v>
      </c>
      <c r="BY38" s="413">
        <v>0</v>
      </c>
      <c r="BZ38" s="413">
        <v>0</v>
      </c>
      <c r="CA38" s="413">
        <v>0</v>
      </c>
      <c r="CB38" s="413">
        <v>0</v>
      </c>
      <c r="CC38" s="413">
        <v>0</v>
      </c>
      <c r="CD38" s="413">
        <v>0</v>
      </c>
      <c r="CE38" s="413">
        <v>0</v>
      </c>
      <c r="CF38" s="413">
        <v>0</v>
      </c>
      <c r="CG38" s="413">
        <v>0</v>
      </c>
      <c r="CH38" s="413">
        <v>0</v>
      </c>
      <c r="CI38" s="413">
        <v>0</v>
      </c>
      <c r="CJ38" s="413">
        <v>0</v>
      </c>
      <c r="CK38" s="413">
        <v>0</v>
      </c>
      <c r="CL38" s="413">
        <v>0</v>
      </c>
      <c r="CM38" s="413">
        <v>0</v>
      </c>
      <c r="CN38" s="413">
        <v>0</v>
      </c>
      <c r="CO38" s="414">
        <f t="shared" si="2"/>
        <v>1</v>
      </c>
    </row>
    <row r="39" spans="1:93" s="415" customFormat="1" ht="25.5" x14ac:dyDescent="0.25">
      <c r="A39" s="881" t="s">
        <v>393</v>
      </c>
      <c r="B39" s="862" t="s">
        <v>2841</v>
      </c>
      <c r="C39" s="861" t="s">
        <v>2781</v>
      </c>
      <c r="D39" s="862"/>
      <c r="E39" s="861" t="s">
        <v>655</v>
      </c>
      <c r="F39" s="862"/>
      <c r="G39" s="861"/>
      <c r="H39" s="861" t="s">
        <v>654</v>
      </c>
      <c r="I39" s="861" t="s">
        <v>647</v>
      </c>
      <c r="J39" s="861" t="s">
        <v>671</v>
      </c>
      <c r="K39" s="861" t="s">
        <v>649</v>
      </c>
      <c r="L39" s="861" t="s">
        <v>55</v>
      </c>
      <c r="M39" s="861" t="s">
        <v>653</v>
      </c>
      <c r="N39" s="861" t="s">
        <v>645</v>
      </c>
      <c r="O39" s="861"/>
      <c r="P39" s="861"/>
      <c r="Q39" s="861" t="s">
        <v>656</v>
      </c>
      <c r="R39" s="861" t="s">
        <v>652</v>
      </c>
      <c r="S39" s="861" t="s">
        <v>649</v>
      </c>
      <c r="T39" s="861"/>
      <c r="U39" s="861"/>
      <c r="V39" s="861" t="s">
        <v>683</v>
      </c>
      <c r="W39" s="861" t="s">
        <v>640</v>
      </c>
      <c r="X39" s="863">
        <v>44683</v>
      </c>
      <c r="Y39" s="863">
        <v>45554</v>
      </c>
      <c r="Z39" s="864">
        <v>2025</v>
      </c>
      <c r="AA39" s="861"/>
      <c r="AB39" s="861"/>
      <c r="AC39" s="861"/>
      <c r="AD39" s="865"/>
      <c r="AE39" s="865"/>
      <c r="AF39" s="865"/>
      <c r="AG39" s="865"/>
      <c r="AH39" s="865"/>
      <c r="AI39" s="865"/>
      <c r="AJ39" s="865"/>
      <c r="AK39" s="865"/>
      <c r="AL39" s="865"/>
      <c r="AM39" s="865"/>
      <c r="AN39" s="865"/>
      <c r="AO39" s="865"/>
      <c r="AP39" s="865"/>
      <c r="AQ39" s="865"/>
      <c r="AR39" s="865"/>
      <c r="AS39" s="865"/>
      <c r="AT39" s="865"/>
      <c r="AU39" s="865"/>
      <c r="AV39" s="865"/>
      <c r="AW39" s="865">
        <v>449999.99999999953</v>
      </c>
      <c r="AX39" s="865"/>
      <c r="AY39" s="865"/>
      <c r="AZ39" s="865"/>
      <c r="BA39" s="865"/>
      <c r="BB39" s="865"/>
      <c r="BC39" s="865"/>
      <c r="BD39" s="865"/>
      <c r="BE39" s="865"/>
      <c r="BF39" s="865"/>
      <c r="BG39" s="865"/>
      <c r="BH39" s="865">
        <v>1800873.1120833319</v>
      </c>
      <c r="BI39" s="865"/>
      <c r="BJ39" s="865"/>
      <c r="BK39" s="865"/>
      <c r="BL39" s="865"/>
      <c r="BM39" s="865"/>
      <c r="BN39" s="865"/>
      <c r="BO39" s="865"/>
      <c r="BP39" s="865"/>
      <c r="BQ39" s="865"/>
      <c r="BR39" s="865"/>
      <c r="BS39" s="865">
        <v>2250873.1120833317</v>
      </c>
      <c r="BT39" s="412">
        <f t="shared" si="3"/>
        <v>449999.99999999953</v>
      </c>
      <c r="BU39" s="413">
        <v>0</v>
      </c>
      <c r="BV39" s="413">
        <v>0</v>
      </c>
      <c r="BW39" s="413">
        <v>0</v>
      </c>
      <c r="BX39" s="413">
        <v>1</v>
      </c>
      <c r="BY39" s="413">
        <v>0</v>
      </c>
      <c r="BZ39" s="413">
        <v>0</v>
      </c>
      <c r="CA39" s="413">
        <v>0</v>
      </c>
      <c r="CB39" s="413">
        <v>0</v>
      </c>
      <c r="CC39" s="413">
        <v>0</v>
      </c>
      <c r="CD39" s="413">
        <v>0</v>
      </c>
      <c r="CE39" s="413">
        <v>0</v>
      </c>
      <c r="CF39" s="413">
        <v>0</v>
      </c>
      <c r="CG39" s="413">
        <v>0</v>
      </c>
      <c r="CH39" s="413">
        <v>0</v>
      </c>
      <c r="CI39" s="413">
        <v>0</v>
      </c>
      <c r="CJ39" s="413">
        <v>0</v>
      </c>
      <c r="CK39" s="413">
        <v>0</v>
      </c>
      <c r="CL39" s="413">
        <v>0</v>
      </c>
      <c r="CM39" s="413">
        <v>0</v>
      </c>
      <c r="CN39" s="413">
        <v>0</v>
      </c>
      <c r="CO39" s="414">
        <f t="shared" si="2"/>
        <v>1</v>
      </c>
    </row>
    <row r="40" spans="1:93" s="415" customFormat="1" ht="25.5" x14ac:dyDescent="0.25">
      <c r="A40" s="881" t="s">
        <v>394</v>
      </c>
      <c r="B40" s="862" t="s">
        <v>2124</v>
      </c>
      <c r="C40" s="861" t="s">
        <v>765</v>
      </c>
      <c r="D40" s="862"/>
      <c r="E40" s="861" t="s">
        <v>655</v>
      </c>
      <c r="F40" s="862"/>
      <c r="G40" s="861" t="s">
        <v>648</v>
      </c>
      <c r="H40" s="861" t="s">
        <v>654</v>
      </c>
      <c r="I40" s="861" t="s">
        <v>647</v>
      </c>
      <c r="J40" s="861" t="s">
        <v>671</v>
      </c>
      <c r="K40" s="861" t="s">
        <v>649</v>
      </c>
      <c r="L40" s="861" t="s">
        <v>36</v>
      </c>
      <c r="M40" s="861" t="s">
        <v>653</v>
      </c>
      <c r="N40" s="861" t="s">
        <v>680</v>
      </c>
      <c r="O40" s="861"/>
      <c r="P40" s="861"/>
      <c r="Q40" s="861" t="s">
        <v>650</v>
      </c>
      <c r="R40" s="861" t="s">
        <v>652</v>
      </c>
      <c r="S40" s="861" t="s">
        <v>649</v>
      </c>
      <c r="T40" s="861"/>
      <c r="U40" s="861"/>
      <c r="V40" s="861" t="s">
        <v>36</v>
      </c>
      <c r="W40" s="861" t="s">
        <v>640</v>
      </c>
      <c r="X40" s="863">
        <v>43282</v>
      </c>
      <c r="Y40" s="863">
        <v>43536</v>
      </c>
      <c r="Z40" s="864">
        <v>2019</v>
      </c>
      <c r="AA40" s="861" t="s">
        <v>676</v>
      </c>
      <c r="AB40" s="861" t="s">
        <v>675</v>
      </c>
      <c r="AC40" s="861" t="s">
        <v>663</v>
      </c>
      <c r="AD40" s="865"/>
      <c r="AE40" s="865"/>
      <c r="AF40" s="865"/>
      <c r="AG40" s="865"/>
      <c r="AH40" s="865"/>
      <c r="AI40" s="865"/>
      <c r="AJ40" s="865"/>
      <c r="AK40" s="865"/>
      <c r="AL40" s="865"/>
      <c r="AM40" s="865"/>
      <c r="AN40" s="865"/>
      <c r="AO40" s="865"/>
      <c r="AP40" s="865"/>
      <c r="AQ40" s="865"/>
      <c r="AR40" s="865"/>
      <c r="AS40" s="865"/>
      <c r="AT40" s="865"/>
      <c r="AU40" s="865"/>
      <c r="AV40" s="865">
        <v>455000</v>
      </c>
      <c r="AW40" s="865"/>
      <c r="AX40" s="865"/>
      <c r="AY40" s="865"/>
      <c r="AZ40" s="865"/>
      <c r="BA40" s="865"/>
      <c r="BB40" s="865"/>
      <c r="BC40" s="865">
        <v>59150.000000000007</v>
      </c>
      <c r="BD40" s="865"/>
      <c r="BE40" s="865"/>
      <c r="BF40" s="865"/>
      <c r="BG40" s="865"/>
      <c r="BH40" s="865">
        <v>92716.841001976951</v>
      </c>
      <c r="BI40" s="865"/>
      <c r="BJ40" s="865"/>
      <c r="BK40" s="865"/>
      <c r="BL40" s="865"/>
      <c r="BM40" s="865"/>
      <c r="BN40" s="865"/>
      <c r="BO40" s="865"/>
      <c r="BP40" s="865"/>
      <c r="BQ40" s="865"/>
      <c r="BR40" s="865"/>
      <c r="BS40" s="865">
        <v>606866.84100197698</v>
      </c>
      <c r="BT40" s="412">
        <f t="shared" si="3"/>
        <v>455000</v>
      </c>
      <c r="BU40" s="413">
        <v>1</v>
      </c>
      <c r="BV40" s="413">
        <v>0</v>
      </c>
      <c r="BW40" s="413">
        <v>0</v>
      </c>
      <c r="BX40" s="413">
        <v>0</v>
      </c>
      <c r="BY40" s="413">
        <v>0</v>
      </c>
      <c r="BZ40" s="413">
        <v>0</v>
      </c>
      <c r="CA40" s="413">
        <v>0</v>
      </c>
      <c r="CB40" s="413">
        <v>0</v>
      </c>
      <c r="CC40" s="413">
        <v>0</v>
      </c>
      <c r="CD40" s="413">
        <v>0</v>
      </c>
      <c r="CE40" s="413">
        <v>0</v>
      </c>
      <c r="CF40" s="413">
        <v>0</v>
      </c>
      <c r="CG40" s="413">
        <v>0</v>
      </c>
      <c r="CH40" s="413">
        <v>0</v>
      </c>
      <c r="CI40" s="413">
        <v>0</v>
      </c>
      <c r="CJ40" s="413">
        <v>0</v>
      </c>
      <c r="CK40" s="413">
        <v>0</v>
      </c>
      <c r="CL40" s="413">
        <v>0</v>
      </c>
      <c r="CM40" s="413">
        <v>0</v>
      </c>
      <c r="CN40" s="413">
        <v>0</v>
      </c>
      <c r="CO40" s="414">
        <f t="shared" si="2"/>
        <v>1</v>
      </c>
    </row>
    <row r="41" spans="1:93" s="415" customFormat="1" ht="25.5" x14ac:dyDescent="0.25">
      <c r="A41" s="881" t="s">
        <v>396</v>
      </c>
      <c r="B41" s="862" t="s">
        <v>2126</v>
      </c>
      <c r="C41" s="861" t="s">
        <v>764</v>
      </c>
      <c r="D41" s="862"/>
      <c r="E41" s="861" t="s">
        <v>655</v>
      </c>
      <c r="F41" s="862"/>
      <c r="G41" s="861" t="s">
        <v>648</v>
      </c>
      <c r="H41" s="861" t="s">
        <v>654</v>
      </c>
      <c r="I41" s="861" t="s">
        <v>647</v>
      </c>
      <c r="J41" s="861" t="s">
        <v>671</v>
      </c>
      <c r="K41" s="861" t="s">
        <v>649</v>
      </c>
      <c r="L41" s="861" t="s">
        <v>36</v>
      </c>
      <c r="M41" s="861" t="s">
        <v>653</v>
      </c>
      <c r="N41" s="861" t="s">
        <v>680</v>
      </c>
      <c r="O41" s="861"/>
      <c r="P41" s="861"/>
      <c r="Q41" s="861" t="s">
        <v>650</v>
      </c>
      <c r="R41" s="861" t="s">
        <v>652</v>
      </c>
      <c r="S41" s="861" t="s">
        <v>649</v>
      </c>
      <c r="T41" s="861"/>
      <c r="U41" s="861"/>
      <c r="V41" s="861" t="s">
        <v>36</v>
      </c>
      <c r="W41" s="861" t="s">
        <v>640</v>
      </c>
      <c r="X41" s="863">
        <v>43647</v>
      </c>
      <c r="Y41" s="863">
        <v>43917</v>
      </c>
      <c r="Z41" s="864">
        <v>2020</v>
      </c>
      <c r="AA41" s="861" t="s">
        <v>676</v>
      </c>
      <c r="AB41" s="861" t="s">
        <v>675</v>
      </c>
      <c r="AC41" s="861" t="s">
        <v>663</v>
      </c>
      <c r="AD41" s="865"/>
      <c r="AE41" s="865"/>
      <c r="AF41" s="865"/>
      <c r="AG41" s="865"/>
      <c r="AH41" s="865"/>
      <c r="AI41" s="865"/>
      <c r="AJ41" s="865"/>
      <c r="AK41" s="865"/>
      <c r="AL41" s="865"/>
      <c r="AM41" s="865"/>
      <c r="AN41" s="865"/>
      <c r="AO41" s="865"/>
      <c r="AP41" s="865"/>
      <c r="AQ41" s="865"/>
      <c r="AR41" s="865"/>
      <c r="AS41" s="865"/>
      <c r="AT41" s="865"/>
      <c r="AU41" s="865"/>
      <c r="AV41" s="865">
        <v>162999.99999999994</v>
      </c>
      <c r="AW41" s="865"/>
      <c r="AX41" s="865"/>
      <c r="AY41" s="865">
        <v>69999.999999999971</v>
      </c>
      <c r="AZ41" s="865"/>
      <c r="BA41" s="865"/>
      <c r="BB41" s="865"/>
      <c r="BC41" s="865">
        <v>30289.999999999985</v>
      </c>
      <c r="BD41" s="865"/>
      <c r="BE41" s="865"/>
      <c r="BF41" s="865"/>
      <c r="BG41" s="865"/>
      <c r="BH41" s="865">
        <v>47479.173524089289</v>
      </c>
      <c r="BI41" s="865"/>
      <c r="BJ41" s="865"/>
      <c r="BK41" s="865"/>
      <c r="BL41" s="865"/>
      <c r="BM41" s="865"/>
      <c r="BN41" s="865"/>
      <c r="BO41" s="865"/>
      <c r="BP41" s="865"/>
      <c r="BQ41" s="865"/>
      <c r="BR41" s="865"/>
      <c r="BS41" s="865">
        <v>310769.17352408922</v>
      </c>
      <c r="BT41" s="412">
        <f t="shared" si="3"/>
        <v>232999.99999999991</v>
      </c>
      <c r="BU41" s="413">
        <v>0.69957081545064381</v>
      </c>
      <c r="BV41" s="413">
        <v>0</v>
      </c>
      <c r="BW41" s="413">
        <v>0</v>
      </c>
      <c r="BX41" s="413">
        <v>0</v>
      </c>
      <c r="BY41" s="413">
        <v>0</v>
      </c>
      <c r="BZ41" s="413">
        <v>0</v>
      </c>
      <c r="CA41" s="413">
        <v>0</v>
      </c>
      <c r="CB41" s="413">
        <v>0.30042918454935619</v>
      </c>
      <c r="CC41" s="413">
        <v>0</v>
      </c>
      <c r="CD41" s="413">
        <v>0</v>
      </c>
      <c r="CE41" s="413">
        <v>0</v>
      </c>
      <c r="CF41" s="413">
        <v>0</v>
      </c>
      <c r="CG41" s="413">
        <v>0</v>
      </c>
      <c r="CH41" s="413">
        <v>0</v>
      </c>
      <c r="CI41" s="413">
        <v>0</v>
      </c>
      <c r="CJ41" s="413">
        <v>0</v>
      </c>
      <c r="CK41" s="413">
        <v>0</v>
      </c>
      <c r="CL41" s="413">
        <v>0</v>
      </c>
      <c r="CM41" s="413">
        <v>0</v>
      </c>
      <c r="CN41" s="413">
        <v>0</v>
      </c>
      <c r="CO41" s="414">
        <f t="shared" si="2"/>
        <v>1</v>
      </c>
    </row>
    <row r="42" spans="1:93" s="415" customFormat="1" ht="25.5" x14ac:dyDescent="0.25">
      <c r="A42" s="881" t="s">
        <v>398</v>
      </c>
      <c r="B42" s="862" t="s">
        <v>2130</v>
      </c>
      <c r="C42" s="861" t="s">
        <v>763</v>
      </c>
      <c r="D42" s="862"/>
      <c r="E42" s="861" t="s">
        <v>655</v>
      </c>
      <c r="F42" s="862"/>
      <c r="G42" s="861" t="s">
        <v>648</v>
      </c>
      <c r="H42" s="861" t="s">
        <v>654</v>
      </c>
      <c r="I42" s="861" t="s">
        <v>647</v>
      </c>
      <c r="J42" s="861" t="s">
        <v>671</v>
      </c>
      <c r="K42" s="861" t="s">
        <v>649</v>
      </c>
      <c r="L42" s="861" t="s">
        <v>36</v>
      </c>
      <c r="M42" s="861" t="s">
        <v>653</v>
      </c>
      <c r="N42" s="861" t="s">
        <v>680</v>
      </c>
      <c r="O42" s="861"/>
      <c r="P42" s="861"/>
      <c r="Q42" s="861" t="s">
        <v>650</v>
      </c>
      <c r="R42" s="861" t="s">
        <v>652</v>
      </c>
      <c r="S42" s="861" t="s">
        <v>649</v>
      </c>
      <c r="T42" s="861"/>
      <c r="U42" s="861"/>
      <c r="V42" s="861" t="s">
        <v>36</v>
      </c>
      <c r="W42" s="861" t="s">
        <v>684</v>
      </c>
      <c r="X42" s="863">
        <v>43647</v>
      </c>
      <c r="Y42" s="863">
        <v>43920</v>
      </c>
      <c r="Z42" s="864">
        <v>2020</v>
      </c>
      <c r="AA42" s="861" t="s">
        <v>676</v>
      </c>
      <c r="AB42" s="861" t="s">
        <v>675</v>
      </c>
      <c r="AC42" s="861" t="s">
        <v>663</v>
      </c>
      <c r="AD42" s="865"/>
      <c r="AE42" s="865"/>
      <c r="AF42" s="865"/>
      <c r="AG42" s="865"/>
      <c r="AH42" s="865"/>
      <c r="AI42" s="865"/>
      <c r="AJ42" s="865"/>
      <c r="AK42" s="865"/>
      <c r="AL42" s="865"/>
      <c r="AM42" s="865"/>
      <c r="AN42" s="865"/>
      <c r="AO42" s="865"/>
      <c r="AP42" s="865"/>
      <c r="AQ42" s="865"/>
      <c r="AR42" s="865"/>
      <c r="AS42" s="865"/>
      <c r="AT42" s="865"/>
      <c r="AU42" s="865"/>
      <c r="AV42" s="865"/>
      <c r="AW42" s="865"/>
      <c r="AX42" s="865"/>
      <c r="AY42" s="865"/>
      <c r="AZ42" s="865"/>
      <c r="BA42" s="865">
        <v>163000.00000000003</v>
      </c>
      <c r="BB42" s="865"/>
      <c r="BC42" s="865"/>
      <c r="BD42" s="865"/>
      <c r="BE42" s="865"/>
      <c r="BF42" s="865"/>
      <c r="BG42" s="865"/>
      <c r="BH42" s="865">
        <v>23420.387780842902</v>
      </c>
      <c r="BI42" s="865"/>
      <c r="BJ42" s="865"/>
      <c r="BK42" s="865"/>
      <c r="BL42" s="865"/>
      <c r="BM42" s="865"/>
      <c r="BN42" s="865"/>
      <c r="BO42" s="865"/>
      <c r="BP42" s="865"/>
      <c r="BQ42" s="865"/>
      <c r="BR42" s="865"/>
      <c r="BS42" s="865">
        <v>186420.38778084292</v>
      </c>
      <c r="BT42" s="412">
        <f t="shared" si="3"/>
        <v>163000.00000000003</v>
      </c>
      <c r="BU42" s="413">
        <v>0</v>
      </c>
      <c r="BV42" s="413">
        <v>0</v>
      </c>
      <c r="BW42" s="413">
        <v>0</v>
      </c>
      <c r="BX42" s="413">
        <v>0</v>
      </c>
      <c r="BY42" s="413">
        <v>0</v>
      </c>
      <c r="BZ42" s="413">
        <v>0</v>
      </c>
      <c r="CA42" s="413">
        <v>0</v>
      </c>
      <c r="CB42" s="413">
        <v>1</v>
      </c>
      <c r="CC42" s="413">
        <v>0</v>
      </c>
      <c r="CD42" s="413">
        <v>0</v>
      </c>
      <c r="CE42" s="413">
        <v>0</v>
      </c>
      <c r="CF42" s="413">
        <v>0</v>
      </c>
      <c r="CG42" s="413">
        <v>0</v>
      </c>
      <c r="CH42" s="413">
        <v>0</v>
      </c>
      <c r="CI42" s="413">
        <v>0</v>
      </c>
      <c r="CJ42" s="413">
        <v>0</v>
      </c>
      <c r="CK42" s="413">
        <v>0</v>
      </c>
      <c r="CL42" s="413">
        <v>0</v>
      </c>
      <c r="CM42" s="413">
        <v>0</v>
      </c>
      <c r="CN42" s="413">
        <v>0</v>
      </c>
      <c r="CO42" s="414">
        <f t="shared" si="2"/>
        <v>1</v>
      </c>
    </row>
    <row r="43" spans="1:93" s="415" customFormat="1" ht="25.5" x14ac:dyDescent="0.25">
      <c r="A43" s="881" t="s">
        <v>400</v>
      </c>
      <c r="B43" s="862" t="s">
        <v>2132</v>
      </c>
      <c r="C43" s="861" t="s">
        <v>2474</v>
      </c>
      <c r="D43" s="862"/>
      <c r="E43" s="861" t="s">
        <v>655</v>
      </c>
      <c r="F43" s="862"/>
      <c r="G43" s="861"/>
      <c r="H43" s="861" t="s">
        <v>654</v>
      </c>
      <c r="I43" s="861" t="s">
        <v>647</v>
      </c>
      <c r="J43" s="861" t="s">
        <v>671</v>
      </c>
      <c r="K43" s="861" t="s">
        <v>649</v>
      </c>
      <c r="L43" s="861" t="s">
        <v>55</v>
      </c>
      <c r="M43" s="861" t="s">
        <v>653</v>
      </c>
      <c r="N43" s="861" t="s">
        <v>645</v>
      </c>
      <c r="O43" s="861"/>
      <c r="P43" s="861"/>
      <c r="Q43" s="861" t="s">
        <v>642</v>
      </c>
      <c r="R43" s="861" t="s">
        <v>652</v>
      </c>
      <c r="S43" s="861" t="s">
        <v>649</v>
      </c>
      <c r="T43" s="861"/>
      <c r="U43" s="861"/>
      <c r="V43" s="861" t="s">
        <v>683</v>
      </c>
      <c r="W43" s="861" t="s">
        <v>640</v>
      </c>
      <c r="X43" s="863">
        <v>43282</v>
      </c>
      <c r="Y43" s="863">
        <v>44193</v>
      </c>
      <c r="Z43" s="864">
        <v>2021</v>
      </c>
      <c r="AA43" s="861"/>
      <c r="AB43" s="861"/>
      <c r="AC43" s="861"/>
      <c r="AD43" s="865"/>
      <c r="AE43" s="865"/>
      <c r="AF43" s="865"/>
      <c r="AG43" s="865"/>
      <c r="AH43" s="865"/>
      <c r="AI43" s="865"/>
      <c r="AJ43" s="865"/>
      <c r="AK43" s="865"/>
      <c r="AL43" s="865"/>
      <c r="AM43" s="865"/>
      <c r="AN43" s="865"/>
      <c r="AO43" s="865"/>
      <c r="AP43" s="865"/>
      <c r="AQ43" s="865"/>
      <c r="AR43" s="865"/>
      <c r="AS43" s="865"/>
      <c r="AT43" s="865"/>
      <c r="AU43" s="865"/>
      <c r="AV43" s="865"/>
      <c r="AW43" s="865">
        <v>336119.99999999959</v>
      </c>
      <c r="AX43" s="865"/>
      <c r="AY43" s="865"/>
      <c r="AZ43" s="865"/>
      <c r="BA43" s="865"/>
      <c r="BB43" s="865"/>
      <c r="BC43" s="865"/>
      <c r="BD43" s="865"/>
      <c r="BE43" s="865"/>
      <c r="BF43" s="865"/>
      <c r="BG43" s="865"/>
      <c r="BH43" s="865">
        <v>1064509.0363333328</v>
      </c>
      <c r="BI43" s="865"/>
      <c r="BJ43" s="865"/>
      <c r="BK43" s="865"/>
      <c r="BL43" s="865"/>
      <c r="BM43" s="865"/>
      <c r="BN43" s="865"/>
      <c r="BO43" s="865"/>
      <c r="BP43" s="865"/>
      <c r="BQ43" s="865"/>
      <c r="BR43" s="865"/>
      <c r="BS43" s="865">
        <v>1400629.0363333323</v>
      </c>
      <c r="BT43" s="412">
        <f t="shared" si="3"/>
        <v>336119.99999999959</v>
      </c>
      <c r="BU43" s="413">
        <v>0</v>
      </c>
      <c r="BV43" s="413">
        <v>0</v>
      </c>
      <c r="BW43" s="413">
        <v>0</v>
      </c>
      <c r="BX43" s="413">
        <v>1</v>
      </c>
      <c r="BY43" s="413">
        <v>0</v>
      </c>
      <c r="BZ43" s="413">
        <v>0</v>
      </c>
      <c r="CA43" s="413">
        <v>0</v>
      </c>
      <c r="CB43" s="413">
        <v>0</v>
      </c>
      <c r="CC43" s="413">
        <v>0</v>
      </c>
      <c r="CD43" s="413">
        <v>0</v>
      </c>
      <c r="CE43" s="413">
        <v>0</v>
      </c>
      <c r="CF43" s="413">
        <v>0</v>
      </c>
      <c r="CG43" s="413">
        <v>0</v>
      </c>
      <c r="CH43" s="413">
        <v>0</v>
      </c>
      <c r="CI43" s="413">
        <v>0</v>
      </c>
      <c r="CJ43" s="413">
        <v>0</v>
      </c>
      <c r="CK43" s="413">
        <v>0</v>
      </c>
      <c r="CL43" s="413">
        <v>0</v>
      </c>
      <c r="CM43" s="413">
        <v>0</v>
      </c>
      <c r="CN43" s="413">
        <v>0</v>
      </c>
      <c r="CO43" s="414">
        <f t="shared" si="2"/>
        <v>1</v>
      </c>
    </row>
    <row r="44" spans="1:93" s="415" customFormat="1" ht="25.5" x14ac:dyDescent="0.25">
      <c r="A44" s="881" t="s">
        <v>401</v>
      </c>
      <c r="B44" s="862" t="s">
        <v>2134</v>
      </c>
      <c r="C44" s="861" t="s">
        <v>2782</v>
      </c>
      <c r="D44" s="862"/>
      <c r="E44" s="861" t="s">
        <v>655</v>
      </c>
      <c r="F44" s="862"/>
      <c r="G44" s="861"/>
      <c r="H44" s="861" t="s">
        <v>654</v>
      </c>
      <c r="I44" s="861" t="s">
        <v>647</v>
      </c>
      <c r="J44" s="861" t="s">
        <v>671</v>
      </c>
      <c r="K44" s="861" t="s">
        <v>649</v>
      </c>
      <c r="L44" s="861" t="s">
        <v>55</v>
      </c>
      <c r="M44" s="861" t="s">
        <v>653</v>
      </c>
      <c r="N44" s="861" t="s">
        <v>645</v>
      </c>
      <c r="O44" s="861"/>
      <c r="P44" s="861"/>
      <c r="Q44" s="861" t="s">
        <v>656</v>
      </c>
      <c r="R44" s="861" t="s">
        <v>652</v>
      </c>
      <c r="S44" s="861" t="s">
        <v>649</v>
      </c>
      <c r="T44" s="861"/>
      <c r="U44" s="861"/>
      <c r="V44" s="861" t="s">
        <v>683</v>
      </c>
      <c r="W44" s="861" t="s">
        <v>694</v>
      </c>
      <c r="X44" s="863">
        <v>43252</v>
      </c>
      <c r="Y44" s="863">
        <v>44102</v>
      </c>
      <c r="Z44" s="864">
        <v>2021</v>
      </c>
      <c r="AA44" s="861"/>
      <c r="AB44" s="861"/>
      <c r="AC44" s="861"/>
      <c r="AD44" s="865"/>
      <c r="AE44" s="865"/>
      <c r="AF44" s="865"/>
      <c r="AG44" s="865"/>
      <c r="AH44" s="865"/>
      <c r="AI44" s="865"/>
      <c r="AJ44" s="865"/>
      <c r="AK44" s="865"/>
      <c r="AL44" s="865"/>
      <c r="AM44" s="865"/>
      <c r="AN44" s="865"/>
      <c r="AO44" s="865"/>
      <c r="AP44" s="865"/>
      <c r="AQ44" s="865"/>
      <c r="AR44" s="865"/>
      <c r="AS44" s="865"/>
      <c r="AT44" s="865"/>
      <c r="AU44" s="865"/>
      <c r="AV44" s="865"/>
      <c r="AW44" s="865">
        <v>460000.00000000041</v>
      </c>
      <c r="AX44" s="865"/>
      <c r="AY44" s="865"/>
      <c r="AZ44" s="865"/>
      <c r="BA44" s="865"/>
      <c r="BB44" s="865"/>
      <c r="BC44" s="865"/>
      <c r="BD44" s="865"/>
      <c r="BE44" s="865"/>
      <c r="BF44" s="865"/>
      <c r="BG44" s="865"/>
      <c r="BH44" s="865">
        <v>1839712.8146666682</v>
      </c>
      <c r="BI44" s="865"/>
      <c r="BJ44" s="865"/>
      <c r="BK44" s="865"/>
      <c r="BL44" s="865"/>
      <c r="BM44" s="865"/>
      <c r="BN44" s="865"/>
      <c r="BO44" s="865"/>
      <c r="BP44" s="865"/>
      <c r="BQ44" s="865"/>
      <c r="BR44" s="865"/>
      <c r="BS44" s="865">
        <v>2299712.8146666684</v>
      </c>
      <c r="BT44" s="412">
        <f t="shared" si="3"/>
        <v>460000.00000000041</v>
      </c>
      <c r="BU44" s="413">
        <v>0</v>
      </c>
      <c r="BV44" s="413">
        <v>0</v>
      </c>
      <c r="BW44" s="413">
        <v>0</v>
      </c>
      <c r="BX44" s="413">
        <v>1</v>
      </c>
      <c r="BY44" s="413">
        <v>0</v>
      </c>
      <c r="BZ44" s="413">
        <v>0</v>
      </c>
      <c r="CA44" s="413">
        <v>0</v>
      </c>
      <c r="CB44" s="413">
        <v>0</v>
      </c>
      <c r="CC44" s="413">
        <v>0</v>
      </c>
      <c r="CD44" s="413">
        <v>0</v>
      </c>
      <c r="CE44" s="413">
        <v>0</v>
      </c>
      <c r="CF44" s="413">
        <v>0</v>
      </c>
      <c r="CG44" s="413">
        <v>0</v>
      </c>
      <c r="CH44" s="413">
        <v>0</v>
      </c>
      <c r="CI44" s="413">
        <v>0</v>
      </c>
      <c r="CJ44" s="413">
        <v>0</v>
      </c>
      <c r="CK44" s="413">
        <v>0</v>
      </c>
      <c r="CL44" s="413">
        <v>0</v>
      </c>
      <c r="CM44" s="413">
        <v>0</v>
      </c>
      <c r="CN44" s="413">
        <v>0</v>
      </c>
      <c r="CO44" s="414">
        <f t="shared" si="2"/>
        <v>1</v>
      </c>
    </row>
    <row r="45" spans="1:93" s="415" customFormat="1" ht="25.5" x14ac:dyDescent="0.25">
      <c r="A45" s="881" t="s">
        <v>402</v>
      </c>
      <c r="B45" s="862" t="s">
        <v>2842</v>
      </c>
      <c r="C45" s="861" t="s">
        <v>2476</v>
      </c>
      <c r="D45" s="862"/>
      <c r="E45" s="861" t="s">
        <v>655</v>
      </c>
      <c r="F45" s="862"/>
      <c r="G45" s="861"/>
      <c r="H45" s="861" t="s">
        <v>654</v>
      </c>
      <c r="I45" s="861" t="s">
        <v>647</v>
      </c>
      <c r="J45" s="861" t="s">
        <v>671</v>
      </c>
      <c r="K45" s="861" t="s">
        <v>649</v>
      </c>
      <c r="L45" s="861" t="s">
        <v>55</v>
      </c>
      <c r="M45" s="861" t="s">
        <v>653</v>
      </c>
      <c r="N45" s="861" t="s">
        <v>645</v>
      </c>
      <c r="O45" s="861"/>
      <c r="P45" s="861"/>
      <c r="Q45" s="861" t="s">
        <v>656</v>
      </c>
      <c r="R45" s="861" t="s">
        <v>652</v>
      </c>
      <c r="S45" s="861" t="s">
        <v>649</v>
      </c>
      <c r="T45" s="861"/>
      <c r="U45" s="861"/>
      <c r="V45" s="861" t="s">
        <v>683</v>
      </c>
      <c r="W45" s="861" t="s">
        <v>677</v>
      </c>
      <c r="X45" s="863">
        <v>43525</v>
      </c>
      <c r="Y45" s="863">
        <v>44319</v>
      </c>
      <c r="Z45" s="864">
        <v>2021</v>
      </c>
      <c r="AA45" s="861"/>
      <c r="AB45" s="861"/>
      <c r="AC45" s="861"/>
      <c r="AD45" s="865"/>
      <c r="AE45" s="865"/>
      <c r="AF45" s="865"/>
      <c r="AG45" s="865"/>
      <c r="AH45" s="865"/>
      <c r="AI45" s="865"/>
      <c r="AJ45" s="865"/>
      <c r="AK45" s="865"/>
      <c r="AL45" s="865"/>
      <c r="AM45" s="865"/>
      <c r="AN45" s="865"/>
      <c r="AO45" s="865"/>
      <c r="AP45" s="865"/>
      <c r="AQ45" s="865"/>
      <c r="AR45" s="865"/>
      <c r="AS45" s="865"/>
      <c r="AT45" s="865"/>
      <c r="AU45" s="865"/>
      <c r="AV45" s="865"/>
      <c r="AW45" s="865">
        <v>260000.00000000047</v>
      </c>
      <c r="AX45" s="865"/>
      <c r="AY45" s="865"/>
      <c r="AZ45" s="865"/>
      <c r="BA45" s="865"/>
      <c r="BB45" s="865"/>
      <c r="BC45" s="865"/>
      <c r="BD45" s="865"/>
      <c r="BE45" s="865"/>
      <c r="BF45" s="865"/>
      <c r="BG45" s="865"/>
      <c r="BH45" s="865">
        <v>1040000.0000000029</v>
      </c>
      <c r="BI45" s="865"/>
      <c r="BJ45" s="865"/>
      <c r="BK45" s="865"/>
      <c r="BL45" s="865"/>
      <c r="BM45" s="865"/>
      <c r="BN45" s="865"/>
      <c r="BO45" s="865"/>
      <c r="BP45" s="865"/>
      <c r="BQ45" s="865"/>
      <c r="BR45" s="865"/>
      <c r="BS45" s="865">
        <v>1300000.0000000033</v>
      </c>
      <c r="BT45" s="412">
        <f t="shared" si="3"/>
        <v>260000.00000000047</v>
      </c>
      <c r="BU45" s="413">
        <v>0</v>
      </c>
      <c r="BV45" s="413">
        <v>0</v>
      </c>
      <c r="BW45" s="413">
        <v>0</v>
      </c>
      <c r="BX45" s="413">
        <v>1</v>
      </c>
      <c r="BY45" s="413">
        <v>0</v>
      </c>
      <c r="BZ45" s="413">
        <v>0</v>
      </c>
      <c r="CA45" s="413">
        <v>0</v>
      </c>
      <c r="CB45" s="413">
        <v>0</v>
      </c>
      <c r="CC45" s="413">
        <v>0</v>
      </c>
      <c r="CD45" s="413">
        <v>0</v>
      </c>
      <c r="CE45" s="413">
        <v>0</v>
      </c>
      <c r="CF45" s="413">
        <v>0</v>
      </c>
      <c r="CG45" s="413">
        <v>0</v>
      </c>
      <c r="CH45" s="413">
        <v>0</v>
      </c>
      <c r="CI45" s="413">
        <v>0</v>
      </c>
      <c r="CJ45" s="413">
        <v>0</v>
      </c>
      <c r="CK45" s="413">
        <v>0</v>
      </c>
      <c r="CL45" s="413">
        <v>0</v>
      </c>
      <c r="CM45" s="413">
        <v>0</v>
      </c>
      <c r="CN45" s="413">
        <v>0</v>
      </c>
      <c r="CO45" s="414">
        <f t="shared" si="2"/>
        <v>1</v>
      </c>
    </row>
    <row r="46" spans="1:93" s="415" customFormat="1" ht="25.5" x14ac:dyDescent="0.25">
      <c r="A46" s="881" t="s">
        <v>404</v>
      </c>
      <c r="B46" s="862" t="s">
        <v>2136</v>
      </c>
      <c r="C46" s="861" t="s">
        <v>762</v>
      </c>
      <c r="D46" s="862"/>
      <c r="E46" s="861" t="s">
        <v>655</v>
      </c>
      <c r="F46" s="862"/>
      <c r="G46" s="861"/>
      <c r="H46" s="861" t="s">
        <v>654</v>
      </c>
      <c r="I46" s="861" t="s">
        <v>647</v>
      </c>
      <c r="J46" s="861" t="s">
        <v>671</v>
      </c>
      <c r="K46" s="861" t="s">
        <v>649</v>
      </c>
      <c r="L46" s="861" t="s">
        <v>40</v>
      </c>
      <c r="M46" s="861" t="s">
        <v>653</v>
      </c>
      <c r="N46" s="861" t="s">
        <v>645</v>
      </c>
      <c r="O46" s="861"/>
      <c r="P46" s="861"/>
      <c r="Q46" s="861" t="s">
        <v>656</v>
      </c>
      <c r="R46" s="861" t="s">
        <v>652</v>
      </c>
      <c r="S46" s="861"/>
      <c r="T46" s="861"/>
      <c r="U46" s="861"/>
      <c r="V46" s="861" t="s">
        <v>683</v>
      </c>
      <c r="W46" s="861" t="s">
        <v>677</v>
      </c>
      <c r="X46" s="863">
        <v>43313</v>
      </c>
      <c r="Y46" s="863">
        <v>44223</v>
      </c>
      <c r="Z46" s="864">
        <v>2021</v>
      </c>
      <c r="AA46" s="861"/>
      <c r="AB46" s="861"/>
      <c r="AC46" s="861"/>
      <c r="AD46" s="865"/>
      <c r="AE46" s="865"/>
      <c r="AF46" s="865"/>
      <c r="AG46" s="865"/>
      <c r="AH46" s="865"/>
      <c r="AI46" s="865"/>
      <c r="AJ46" s="865"/>
      <c r="AK46" s="865"/>
      <c r="AL46" s="865"/>
      <c r="AM46" s="865"/>
      <c r="AN46" s="865"/>
      <c r="AO46" s="865"/>
      <c r="AP46" s="865"/>
      <c r="AQ46" s="865"/>
      <c r="AR46" s="865"/>
      <c r="AS46" s="865"/>
      <c r="AT46" s="865"/>
      <c r="AU46" s="865"/>
      <c r="AV46" s="865"/>
      <c r="AW46" s="865">
        <v>180000.00000000015</v>
      </c>
      <c r="AX46" s="865"/>
      <c r="AY46" s="865"/>
      <c r="AZ46" s="865"/>
      <c r="BA46" s="865"/>
      <c r="BB46" s="865"/>
      <c r="BC46" s="865"/>
      <c r="BD46" s="865"/>
      <c r="BE46" s="865"/>
      <c r="BF46" s="865"/>
      <c r="BG46" s="865"/>
      <c r="BH46" s="865">
        <v>1620000.0000000026</v>
      </c>
      <c r="BI46" s="865"/>
      <c r="BJ46" s="865"/>
      <c r="BK46" s="865"/>
      <c r="BL46" s="865"/>
      <c r="BM46" s="865"/>
      <c r="BN46" s="865"/>
      <c r="BO46" s="865"/>
      <c r="BP46" s="865"/>
      <c r="BQ46" s="865"/>
      <c r="BR46" s="865"/>
      <c r="BS46" s="865">
        <v>1800000.0000000026</v>
      </c>
      <c r="BT46" s="412">
        <f t="shared" si="3"/>
        <v>180000.00000000015</v>
      </c>
      <c r="BU46" s="413">
        <v>0</v>
      </c>
      <c r="BV46" s="413">
        <v>0</v>
      </c>
      <c r="BW46" s="413">
        <v>0</v>
      </c>
      <c r="BX46" s="413">
        <v>1</v>
      </c>
      <c r="BY46" s="413">
        <v>0</v>
      </c>
      <c r="BZ46" s="413">
        <v>0</v>
      </c>
      <c r="CA46" s="413">
        <v>0</v>
      </c>
      <c r="CB46" s="413">
        <v>0</v>
      </c>
      <c r="CC46" s="413">
        <v>0</v>
      </c>
      <c r="CD46" s="413">
        <v>0</v>
      </c>
      <c r="CE46" s="413">
        <v>0</v>
      </c>
      <c r="CF46" s="413">
        <v>0</v>
      </c>
      <c r="CG46" s="413">
        <v>0</v>
      </c>
      <c r="CH46" s="413">
        <v>0</v>
      </c>
      <c r="CI46" s="413">
        <v>0</v>
      </c>
      <c r="CJ46" s="413">
        <v>0</v>
      </c>
      <c r="CK46" s="413">
        <v>0</v>
      </c>
      <c r="CL46" s="413">
        <v>0</v>
      </c>
      <c r="CM46" s="413">
        <v>0</v>
      </c>
      <c r="CN46" s="413">
        <v>0</v>
      </c>
      <c r="CO46" s="414">
        <f t="shared" si="2"/>
        <v>1</v>
      </c>
    </row>
    <row r="47" spans="1:93" s="415" customFormat="1" ht="25.5" x14ac:dyDescent="0.25">
      <c r="A47" s="881" t="s">
        <v>406</v>
      </c>
      <c r="B47" s="862" t="s">
        <v>2843</v>
      </c>
      <c r="C47" s="861" t="s">
        <v>2675</v>
      </c>
      <c r="D47" s="862"/>
      <c r="E47" s="861" t="s">
        <v>655</v>
      </c>
      <c r="F47" s="862"/>
      <c r="G47" s="861" t="s">
        <v>722</v>
      </c>
      <c r="H47" s="861" t="s">
        <v>654</v>
      </c>
      <c r="I47" s="861" t="s">
        <v>647</v>
      </c>
      <c r="J47" s="861" t="s">
        <v>641</v>
      </c>
      <c r="K47" s="861" t="s">
        <v>649</v>
      </c>
      <c r="L47" s="861" t="s">
        <v>60</v>
      </c>
      <c r="M47" s="861" t="s">
        <v>653</v>
      </c>
      <c r="N47" s="861" t="s">
        <v>680</v>
      </c>
      <c r="O47" s="861"/>
      <c r="P47" s="861" t="s">
        <v>643</v>
      </c>
      <c r="Q47" s="861" t="s">
        <v>656</v>
      </c>
      <c r="R47" s="861" t="s">
        <v>652</v>
      </c>
      <c r="S47" s="861"/>
      <c r="T47" s="861"/>
      <c r="U47" s="861"/>
      <c r="V47" s="861" t="s">
        <v>641</v>
      </c>
      <c r="W47" s="861" t="s">
        <v>684</v>
      </c>
      <c r="X47" s="863">
        <v>43647</v>
      </c>
      <c r="Y47" s="863">
        <v>44008</v>
      </c>
      <c r="Z47" s="864">
        <v>2020</v>
      </c>
      <c r="AA47" s="861" t="s">
        <v>676</v>
      </c>
      <c r="AB47" s="861"/>
      <c r="AC47" s="861"/>
      <c r="AD47" s="865"/>
      <c r="AE47" s="865"/>
      <c r="AF47" s="865"/>
      <c r="AG47" s="865">
        <v>2094358</v>
      </c>
      <c r="AH47" s="865"/>
      <c r="AI47" s="865"/>
      <c r="AJ47" s="865"/>
      <c r="AK47" s="865"/>
      <c r="AL47" s="865"/>
      <c r="AM47" s="865"/>
      <c r="AN47" s="865"/>
      <c r="AO47" s="865"/>
      <c r="AP47" s="865"/>
      <c r="AQ47" s="865"/>
      <c r="AR47" s="865"/>
      <c r="AS47" s="865"/>
      <c r="AT47" s="865"/>
      <c r="AU47" s="865"/>
      <c r="AV47" s="865"/>
      <c r="AW47" s="865"/>
      <c r="AX47" s="865"/>
      <c r="AY47" s="865"/>
      <c r="AZ47" s="865"/>
      <c r="BA47" s="865"/>
      <c r="BB47" s="865"/>
      <c r="BC47" s="865"/>
      <c r="BD47" s="865"/>
      <c r="BE47" s="865"/>
      <c r="BF47" s="865"/>
      <c r="BG47" s="865"/>
      <c r="BH47" s="865">
        <v>105641.85349198892</v>
      </c>
      <c r="BI47" s="865"/>
      <c r="BJ47" s="865"/>
      <c r="BK47" s="865"/>
      <c r="BL47" s="865"/>
      <c r="BM47" s="865"/>
      <c r="BN47" s="865"/>
      <c r="BO47" s="865"/>
      <c r="BP47" s="865"/>
      <c r="BQ47" s="865"/>
      <c r="BR47" s="865"/>
      <c r="BS47" s="865">
        <v>2199999.853491989</v>
      </c>
      <c r="BT47" s="412">
        <f t="shared" si="3"/>
        <v>2094358</v>
      </c>
      <c r="BU47" s="413">
        <v>0</v>
      </c>
      <c r="BV47" s="413">
        <v>0</v>
      </c>
      <c r="BW47" s="413">
        <v>0</v>
      </c>
      <c r="BX47" s="413">
        <v>0</v>
      </c>
      <c r="BY47" s="413">
        <v>0</v>
      </c>
      <c r="BZ47" s="413">
        <v>0</v>
      </c>
      <c r="CA47" s="413">
        <v>0</v>
      </c>
      <c r="CB47" s="413">
        <v>0</v>
      </c>
      <c r="CC47" s="413">
        <v>0</v>
      </c>
      <c r="CD47" s="413">
        <v>1</v>
      </c>
      <c r="CE47" s="413">
        <v>0</v>
      </c>
      <c r="CF47" s="413">
        <v>0</v>
      </c>
      <c r="CG47" s="413">
        <v>0</v>
      </c>
      <c r="CH47" s="413">
        <v>0</v>
      </c>
      <c r="CI47" s="413">
        <v>0</v>
      </c>
      <c r="CJ47" s="413">
        <v>0</v>
      </c>
      <c r="CK47" s="413">
        <v>0</v>
      </c>
      <c r="CL47" s="413">
        <v>0</v>
      </c>
      <c r="CM47" s="413">
        <v>0</v>
      </c>
      <c r="CN47" s="413">
        <v>0</v>
      </c>
      <c r="CO47" s="414">
        <f t="shared" si="2"/>
        <v>1</v>
      </c>
    </row>
    <row r="48" spans="1:93" s="415" customFormat="1" ht="25.5" x14ac:dyDescent="0.25">
      <c r="A48" s="881" t="s">
        <v>411</v>
      </c>
      <c r="B48" s="862" t="s">
        <v>2142</v>
      </c>
      <c r="C48" s="861" t="s">
        <v>759</v>
      </c>
      <c r="D48" s="862"/>
      <c r="E48" s="861" t="s">
        <v>655</v>
      </c>
      <c r="F48" s="862"/>
      <c r="G48" s="861" t="s">
        <v>648</v>
      </c>
      <c r="H48" s="861" t="s">
        <v>654</v>
      </c>
      <c r="I48" s="861" t="s">
        <v>647</v>
      </c>
      <c r="J48" s="861" t="s">
        <v>671</v>
      </c>
      <c r="K48" s="861" t="s">
        <v>649</v>
      </c>
      <c r="L48" s="861" t="s">
        <v>36</v>
      </c>
      <c r="M48" s="861" t="s">
        <v>653</v>
      </c>
      <c r="N48" s="861" t="s">
        <v>680</v>
      </c>
      <c r="O48" s="861"/>
      <c r="P48" s="861" t="s">
        <v>643</v>
      </c>
      <c r="Q48" s="861" t="s">
        <v>650</v>
      </c>
      <c r="R48" s="861" t="s">
        <v>652</v>
      </c>
      <c r="S48" s="861" t="s">
        <v>649</v>
      </c>
      <c r="T48" s="861"/>
      <c r="U48" s="861"/>
      <c r="V48" s="861" t="s">
        <v>36</v>
      </c>
      <c r="W48" s="861" t="s">
        <v>640</v>
      </c>
      <c r="X48" s="863">
        <v>44013</v>
      </c>
      <c r="Y48" s="863">
        <v>44284</v>
      </c>
      <c r="Z48" s="864">
        <v>2021</v>
      </c>
      <c r="AA48" s="861" t="s">
        <v>676</v>
      </c>
      <c r="AB48" s="861" t="s">
        <v>675</v>
      </c>
      <c r="AC48" s="861" t="s">
        <v>663</v>
      </c>
      <c r="AD48" s="865"/>
      <c r="AE48" s="865"/>
      <c r="AF48" s="865"/>
      <c r="AG48" s="865"/>
      <c r="AH48" s="865"/>
      <c r="AI48" s="865"/>
      <c r="AJ48" s="865"/>
      <c r="AK48" s="865"/>
      <c r="AL48" s="865"/>
      <c r="AM48" s="865"/>
      <c r="AN48" s="865"/>
      <c r="AO48" s="865"/>
      <c r="AP48" s="865"/>
      <c r="AQ48" s="865"/>
      <c r="AR48" s="865"/>
      <c r="AS48" s="865"/>
      <c r="AT48" s="865"/>
      <c r="AU48" s="865"/>
      <c r="AV48" s="865">
        <v>170999.99999999997</v>
      </c>
      <c r="AW48" s="865"/>
      <c r="AX48" s="865"/>
      <c r="AY48" s="865"/>
      <c r="AZ48" s="865"/>
      <c r="BA48" s="865"/>
      <c r="BB48" s="865"/>
      <c r="BC48" s="865">
        <v>22229.999999999996</v>
      </c>
      <c r="BD48" s="865"/>
      <c r="BE48" s="865"/>
      <c r="BF48" s="865"/>
      <c r="BG48" s="865"/>
      <c r="BH48" s="865">
        <v>34845.230354589126</v>
      </c>
      <c r="BI48" s="865"/>
      <c r="BJ48" s="865"/>
      <c r="BK48" s="865"/>
      <c r="BL48" s="865"/>
      <c r="BM48" s="865"/>
      <c r="BN48" s="865"/>
      <c r="BO48" s="865"/>
      <c r="BP48" s="865"/>
      <c r="BQ48" s="865"/>
      <c r="BR48" s="865"/>
      <c r="BS48" s="865">
        <v>228075.23035458909</v>
      </c>
      <c r="BT48" s="412">
        <f t="shared" si="3"/>
        <v>170999.99999999997</v>
      </c>
      <c r="BU48" s="413">
        <v>1</v>
      </c>
      <c r="BV48" s="413">
        <v>0</v>
      </c>
      <c r="BW48" s="413">
        <v>0</v>
      </c>
      <c r="BX48" s="413">
        <v>0</v>
      </c>
      <c r="BY48" s="413">
        <v>0</v>
      </c>
      <c r="BZ48" s="413">
        <v>0</v>
      </c>
      <c r="CA48" s="413">
        <v>0</v>
      </c>
      <c r="CB48" s="413">
        <v>0</v>
      </c>
      <c r="CC48" s="413">
        <v>0</v>
      </c>
      <c r="CD48" s="413">
        <v>0</v>
      </c>
      <c r="CE48" s="413">
        <v>0</v>
      </c>
      <c r="CF48" s="413">
        <v>0</v>
      </c>
      <c r="CG48" s="413">
        <v>0</v>
      </c>
      <c r="CH48" s="413">
        <v>0</v>
      </c>
      <c r="CI48" s="413">
        <v>0</v>
      </c>
      <c r="CJ48" s="413">
        <v>0</v>
      </c>
      <c r="CK48" s="413">
        <v>0</v>
      </c>
      <c r="CL48" s="413">
        <v>0</v>
      </c>
      <c r="CM48" s="413">
        <v>0</v>
      </c>
      <c r="CN48" s="413">
        <v>0</v>
      </c>
      <c r="CO48" s="414">
        <f t="shared" si="2"/>
        <v>1</v>
      </c>
    </row>
    <row r="49" spans="1:93" s="415" customFormat="1" ht="25.5" x14ac:dyDescent="0.25">
      <c r="A49" s="881" t="s">
        <v>413</v>
      </c>
      <c r="B49" s="862" t="s">
        <v>2144</v>
      </c>
      <c r="C49" s="861" t="s">
        <v>758</v>
      </c>
      <c r="D49" s="862"/>
      <c r="E49" s="861" t="s">
        <v>655</v>
      </c>
      <c r="F49" s="862"/>
      <c r="G49" s="861" t="s">
        <v>648</v>
      </c>
      <c r="H49" s="861" t="s">
        <v>654</v>
      </c>
      <c r="I49" s="861" t="s">
        <v>647</v>
      </c>
      <c r="J49" s="861" t="s">
        <v>671</v>
      </c>
      <c r="K49" s="861" t="s">
        <v>649</v>
      </c>
      <c r="L49" s="861" t="s">
        <v>36</v>
      </c>
      <c r="M49" s="861" t="s">
        <v>653</v>
      </c>
      <c r="N49" s="861" t="s">
        <v>680</v>
      </c>
      <c r="O49" s="861"/>
      <c r="P49" s="861"/>
      <c r="Q49" s="861" t="s">
        <v>650</v>
      </c>
      <c r="R49" s="861" t="s">
        <v>652</v>
      </c>
      <c r="S49" s="861" t="s">
        <v>649</v>
      </c>
      <c r="T49" s="861"/>
      <c r="U49" s="861"/>
      <c r="V49" s="861" t="s">
        <v>36</v>
      </c>
      <c r="W49" s="861" t="s">
        <v>640</v>
      </c>
      <c r="X49" s="863">
        <v>44013</v>
      </c>
      <c r="Y49" s="863">
        <v>44284</v>
      </c>
      <c r="Z49" s="864">
        <v>2021</v>
      </c>
      <c r="AA49" s="861" t="s">
        <v>676</v>
      </c>
      <c r="AB49" s="861" t="s">
        <v>675</v>
      </c>
      <c r="AC49" s="861" t="s">
        <v>663</v>
      </c>
      <c r="AD49" s="865"/>
      <c r="AE49" s="865"/>
      <c r="AF49" s="865"/>
      <c r="AG49" s="865"/>
      <c r="AH49" s="865"/>
      <c r="AI49" s="865"/>
      <c r="AJ49" s="865"/>
      <c r="AK49" s="865"/>
      <c r="AL49" s="865"/>
      <c r="AM49" s="865"/>
      <c r="AN49" s="865"/>
      <c r="AO49" s="865"/>
      <c r="AP49" s="865"/>
      <c r="AQ49" s="865"/>
      <c r="AR49" s="865"/>
      <c r="AS49" s="865"/>
      <c r="AT49" s="865"/>
      <c r="AU49" s="865"/>
      <c r="AV49" s="865">
        <v>186999.99999999994</v>
      </c>
      <c r="AW49" s="865"/>
      <c r="AX49" s="865"/>
      <c r="AY49" s="865">
        <v>57999.999999999993</v>
      </c>
      <c r="AZ49" s="865"/>
      <c r="BA49" s="865"/>
      <c r="BB49" s="865"/>
      <c r="BC49" s="865">
        <v>31849.999999999996</v>
      </c>
      <c r="BD49" s="865"/>
      <c r="BE49" s="865"/>
      <c r="BF49" s="865"/>
      <c r="BG49" s="865"/>
      <c r="BH49" s="865">
        <v>49924.452847218359</v>
      </c>
      <c r="BI49" s="865"/>
      <c r="BJ49" s="865"/>
      <c r="BK49" s="865"/>
      <c r="BL49" s="865"/>
      <c r="BM49" s="865"/>
      <c r="BN49" s="865"/>
      <c r="BO49" s="865"/>
      <c r="BP49" s="865"/>
      <c r="BQ49" s="865"/>
      <c r="BR49" s="865"/>
      <c r="BS49" s="865">
        <v>326774.45284721832</v>
      </c>
      <c r="BT49" s="412">
        <f t="shared" si="3"/>
        <v>244999.99999999994</v>
      </c>
      <c r="BU49" s="413">
        <v>0.76326530612244892</v>
      </c>
      <c r="BV49" s="413">
        <v>0</v>
      </c>
      <c r="BW49" s="413">
        <v>0</v>
      </c>
      <c r="BX49" s="413">
        <v>0</v>
      </c>
      <c r="BY49" s="413">
        <v>0</v>
      </c>
      <c r="BZ49" s="413">
        <v>0</v>
      </c>
      <c r="CA49" s="413">
        <v>0</v>
      </c>
      <c r="CB49" s="413">
        <v>0.23673469387755106</v>
      </c>
      <c r="CC49" s="413">
        <v>0</v>
      </c>
      <c r="CD49" s="413">
        <v>0</v>
      </c>
      <c r="CE49" s="413">
        <v>0</v>
      </c>
      <c r="CF49" s="413">
        <v>0</v>
      </c>
      <c r="CG49" s="413">
        <v>0</v>
      </c>
      <c r="CH49" s="413">
        <v>0</v>
      </c>
      <c r="CI49" s="413">
        <v>0</v>
      </c>
      <c r="CJ49" s="413">
        <v>0</v>
      </c>
      <c r="CK49" s="413">
        <v>0</v>
      </c>
      <c r="CL49" s="413">
        <v>0</v>
      </c>
      <c r="CM49" s="413">
        <v>0</v>
      </c>
      <c r="CN49" s="413">
        <v>0</v>
      </c>
      <c r="CO49" s="414">
        <f t="shared" si="2"/>
        <v>1</v>
      </c>
    </row>
    <row r="50" spans="1:93" s="415" customFormat="1" ht="25.5" x14ac:dyDescent="0.25">
      <c r="A50" s="881" t="s">
        <v>415</v>
      </c>
      <c r="B50" s="862" t="s">
        <v>2148</v>
      </c>
      <c r="C50" s="861" t="s">
        <v>757</v>
      </c>
      <c r="D50" s="862"/>
      <c r="E50" s="861" t="s">
        <v>655</v>
      </c>
      <c r="F50" s="862"/>
      <c r="G50" s="861" t="s">
        <v>648</v>
      </c>
      <c r="H50" s="861" t="s">
        <v>654</v>
      </c>
      <c r="I50" s="861" t="s">
        <v>647</v>
      </c>
      <c r="J50" s="861" t="s">
        <v>671</v>
      </c>
      <c r="K50" s="861" t="s">
        <v>649</v>
      </c>
      <c r="L50" s="861" t="s">
        <v>36</v>
      </c>
      <c r="M50" s="861" t="s">
        <v>653</v>
      </c>
      <c r="N50" s="861" t="s">
        <v>680</v>
      </c>
      <c r="O50" s="861"/>
      <c r="P50" s="861"/>
      <c r="Q50" s="861" t="s">
        <v>650</v>
      </c>
      <c r="R50" s="861" t="s">
        <v>652</v>
      </c>
      <c r="S50" s="861" t="s">
        <v>649</v>
      </c>
      <c r="T50" s="861"/>
      <c r="U50" s="861"/>
      <c r="V50" s="861" t="s">
        <v>36</v>
      </c>
      <c r="W50" s="861" t="s">
        <v>640</v>
      </c>
      <c r="X50" s="863">
        <v>44013</v>
      </c>
      <c r="Y50" s="863">
        <v>44284</v>
      </c>
      <c r="Z50" s="864">
        <v>2021</v>
      </c>
      <c r="AA50" s="861" t="s">
        <v>676</v>
      </c>
      <c r="AB50" s="861" t="s">
        <v>675</v>
      </c>
      <c r="AC50" s="861" t="s">
        <v>663</v>
      </c>
      <c r="AD50" s="865"/>
      <c r="AE50" s="865"/>
      <c r="AF50" s="865"/>
      <c r="AG50" s="865"/>
      <c r="AH50" s="865"/>
      <c r="AI50" s="865"/>
      <c r="AJ50" s="865"/>
      <c r="AK50" s="865"/>
      <c r="AL50" s="865"/>
      <c r="AM50" s="865"/>
      <c r="AN50" s="865"/>
      <c r="AO50" s="865"/>
      <c r="AP50" s="865"/>
      <c r="AQ50" s="865"/>
      <c r="AR50" s="865"/>
      <c r="AS50" s="865"/>
      <c r="AT50" s="865"/>
      <c r="AU50" s="865"/>
      <c r="AV50" s="865">
        <v>114500</v>
      </c>
      <c r="AW50" s="865"/>
      <c r="AX50" s="865"/>
      <c r="AY50" s="865"/>
      <c r="AZ50" s="865"/>
      <c r="BA50" s="865"/>
      <c r="BB50" s="865"/>
      <c r="BC50" s="865">
        <v>14884.999999999998</v>
      </c>
      <c r="BD50" s="865"/>
      <c r="BE50" s="865"/>
      <c r="BF50" s="865"/>
      <c r="BG50" s="865"/>
      <c r="BH50" s="865">
        <v>23332.040208189806</v>
      </c>
      <c r="BI50" s="865"/>
      <c r="BJ50" s="865"/>
      <c r="BK50" s="865"/>
      <c r="BL50" s="865"/>
      <c r="BM50" s="865"/>
      <c r="BN50" s="865"/>
      <c r="BO50" s="865"/>
      <c r="BP50" s="865"/>
      <c r="BQ50" s="865"/>
      <c r="BR50" s="865"/>
      <c r="BS50" s="865">
        <v>152717.04020818981</v>
      </c>
      <c r="BT50" s="412">
        <f t="shared" si="3"/>
        <v>114500</v>
      </c>
      <c r="BU50" s="413">
        <v>1</v>
      </c>
      <c r="BV50" s="413">
        <v>0</v>
      </c>
      <c r="BW50" s="413">
        <v>0</v>
      </c>
      <c r="BX50" s="413">
        <v>0</v>
      </c>
      <c r="BY50" s="413">
        <v>0</v>
      </c>
      <c r="BZ50" s="413">
        <v>0</v>
      </c>
      <c r="CA50" s="413">
        <v>0</v>
      </c>
      <c r="CB50" s="413">
        <v>0</v>
      </c>
      <c r="CC50" s="413">
        <v>0</v>
      </c>
      <c r="CD50" s="413">
        <v>0</v>
      </c>
      <c r="CE50" s="413">
        <v>0</v>
      </c>
      <c r="CF50" s="413">
        <v>0</v>
      </c>
      <c r="CG50" s="413">
        <v>0</v>
      </c>
      <c r="CH50" s="413">
        <v>0</v>
      </c>
      <c r="CI50" s="413">
        <v>0</v>
      </c>
      <c r="CJ50" s="413">
        <v>0</v>
      </c>
      <c r="CK50" s="413">
        <v>0</v>
      </c>
      <c r="CL50" s="413">
        <v>0</v>
      </c>
      <c r="CM50" s="413">
        <v>0</v>
      </c>
      <c r="CN50" s="413">
        <v>0</v>
      </c>
      <c r="CO50" s="414">
        <f t="shared" si="2"/>
        <v>1</v>
      </c>
    </row>
    <row r="51" spans="1:93" s="415" customFormat="1" ht="25.5" x14ac:dyDescent="0.25">
      <c r="A51" s="881" t="s">
        <v>417</v>
      </c>
      <c r="B51" s="862" t="s">
        <v>2152</v>
      </c>
      <c r="C51" s="861" t="s">
        <v>756</v>
      </c>
      <c r="D51" s="862"/>
      <c r="E51" s="861" t="s">
        <v>655</v>
      </c>
      <c r="F51" s="862"/>
      <c r="G51" s="861" t="s">
        <v>648</v>
      </c>
      <c r="H51" s="861" t="s">
        <v>654</v>
      </c>
      <c r="I51" s="861" t="s">
        <v>647</v>
      </c>
      <c r="J51" s="861" t="s">
        <v>671</v>
      </c>
      <c r="K51" s="861" t="s">
        <v>649</v>
      </c>
      <c r="L51" s="861" t="s">
        <v>36</v>
      </c>
      <c r="M51" s="861" t="s">
        <v>653</v>
      </c>
      <c r="N51" s="861" t="s">
        <v>680</v>
      </c>
      <c r="O51" s="861"/>
      <c r="P51" s="861"/>
      <c r="Q51" s="861" t="s">
        <v>650</v>
      </c>
      <c r="R51" s="861" t="s">
        <v>652</v>
      </c>
      <c r="S51" s="861" t="s">
        <v>649</v>
      </c>
      <c r="T51" s="861"/>
      <c r="U51" s="861"/>
      <c r="V51" s="861" t="s">
        <v>36</v>
      </c>
      <c r="W51" s="861" t="s">
        <v>640</v>
      </c>
      <c r="X51" s="863">
        <v>44013</v>
      </c>
      <c r="Y51" s="863">
        <v>44284</v>
      </c>
      <c r="Z51" s="864">
        <v>2021</v>
      </c>
      <c r="AA51" s="861" t="s">
        <v>676</v>
      </c>
      <c r="AB51" s="861" t="s">
        <v>675</v>
      </c>
      <c r="AC51" s="861" t="s">
        <v>663</v>
      </c>
      <c r="AD51" s="865"/>
      <c r="AE51" s="865"/>
      <c r="AF51" s="865"/>
      <c r="AG51" s="865"/>
      <c r="AH51" s="865"/>
      <c r="AI51" s="865"/>
      <c r="AJ51" s="865"/>
      <c r="AK51" s="865"/>
      <c r="AL51" s="865"/>
      <c r="AM51" s="865"/>
      <c r="AN51" s="865"/>
      <c r="AO51" s="865"/>
      <c r="AP51" s="865"/>
      <c r="AQ51" s="865"/>
      <c r="AR51" s="865"/>
      <c r="AS51" s="865"/>
      <c r="AT51" s="865"/>
      <c r="AU51" s="865"/>
      <c r="AV51" s="865">
        <v>175999.99999999997</v>
      </c>
      <c r="AW51" s="865"/>
      <c r="AX51" s="865"/>
      <c r="AY51" s="865"/>
      <c r="AZ51" s="865"/>
      <c r="BA51" s="865"/>
      <c r="BB51" s="865"/>
      <c r="BC51" s="865">
        <v>22879.999999999996</v>
      </c>
      <c r="BD51" s="865"/>
      <c r="BE51" s="865"/>
      <c r="BF51" s="865"/>
      <c r="BG51" s="865"/>
      <c r="BH51" s="865">
        <v>35864.096739226261</v>
      </c>
      <c r="BI51" s="865"/>
      <c r="BJ51" s="865"/>
      <c r="BK51" s="865"/>
      <c r="BL51" s="865"/>
      <c r="BM51" s="865"/>
      <c r="BN51" s="865"/>
      <c r="BO51" s="865"/>
      <c r="BP51" s="865"/>
      <c r="BQ51" s="865"/>
      <c r="BR51" s="865"/>
      <c r="BS51" s="865">
        <v>234744.09673922622</v>
      </c>
      <c r="BT51" s="412">
        <f t="shared" si="3"/>
        <v>175999.99999999997</v>
      </c>
      <c r="BU51" s="413">
        <v>1</v>
      </c>
      <c r="BV51" s="413">
        <v>0</v>
      </c>
      <c r="BW51" s="413">
        <v>0</v>
      </c>
      <c r="BX51" s="413">
        <v>0</v>
      </c>
      <c r="BY51" s="413">
        <v>0</v>
      </c>
      <c r="BZ51" s="413">
        <v>0</v>
      </c>
      <c r="CA51" s="413">
        <v>0</v>
      </c>
      <c r="CB51" s="413">
        <v>0</v>
      </c>
      <c r="CC51" s="413">
        <v>0</v>
      </c>
      <c r="CD51" s="413">
        <v>0</v>
      </c>
      <c r="CE51" s="413">
        <v>0</v>
      </c>
      <c r="CF51" s="413">
        <v>0</v>
      </c>
      <c r="CG51" s="413">
        <v>0</v>
      </c>
      <c r="CH51" s="413">
        <v>0</v>
      </c>
      <c r="CI51" s="413">
        <v>0</v>
      </c>
      <c r="CJ51" s="413">
        <v>0</v>
      </c>
      <c r="CK51" s="413">
        <v>0</v>
      </c>
      <c r="CL51" s="413">
        <v>0</v>
      </c>
      <c r="CM51" s="413">
        <v>0</v>
      </c>
      <c r="CN51" s="413">
        <v>0</v>
      </c>
      <c r="CO51" s="414">
        <f t="shared" si="2"/>
        <v>1</v>
      </c>
    </row>
    <row r="52" spans="1:93" s="415" customFormat="1" ht="25.5" x14ac:dyDescent="0.25">
      <c r="A52" s="881" t="s">
        <v>418</v>
      </c>
      <c r="B52" s="862" t="s">
        <v>2154</v>
      </c>
      <c r="C52" s="861" t="s">
        <v>755</v>
      </c>
      <c r="D52" s="862"/>
      <c r="E52" s="861" t="s">
        <v>655</v>
      </c>
      <c r="F52" s="862"/>
      <c r="G52" s="861" t="s">
        <v>648</v>
      </c>
      <c r="H52" s="861" t="s">
        <v>654</v>
      </c>
      <c r="I52" s="861" t="s">
        <v>647</v>
      </c>
      <c r="J52" s="861" t="s">
        <v>671</v>
      </c>
      <c r="K52" s="861" t="s">
        <v>649</v>
      </c>
      <c r="L52" s="861" t="s">
        <v>36</v>
      </c>
      <c r="M52" s="861" t="s">
        <v>653</v>
      </c>
      <c r="N52" s="861" t="s">
        <v>680</v>
      </c>
      <c r="O52" s="861"/>
      <c r="P52" s="861"/>
      <c r="Q52" s="861" t="s">
        <v>650</v>
      </c>
      <c r="R52" s="861" t="s">
        <v>652</v>
      </c>
      <c r="S52" s="861" t="s">
        <v>649</v>
      </c>
      <c r="T52" s="861"/>
      <c r="U52" s="861"/>
      <c r="V52" s="861" t="s">
        <v>36</v>
      </c>
      <c r="W52" s="861" t="s">
        <v>684</v>
      </c>
      <c r="X52" s="863">
        <v>44013</v>
      </c>
      <c r="Y52" s="863">
        <v>44284</v>
      </c>
      <c r="Z52" s="864">
        <v>2021</v>
      </c>
      <c r="AA52" s="861" t="s">
        <v>676</v>
      </c>
      <c r="AB52" s="861" t="s">
        <v>675</v>
      </c>
      <c r="AC52" s="861" t="s">
        <v>663</v>
      </c>
      <c r="AD52" s="865"/>
      <c r="AE52" s="865"/>
      <c r="AF52" s="865"/>
      <c r="AG52" s="865"/>
      <c r="AH52" s="865"/>
      <c r="AI52" s="865"/>
      <c r="AJ52" s="865"/>
      <c r="AK52" s="865"/>
      <c r="AL52" s="865"/>
      <c r="AM52" s="865"/>
      <c r="AN52" s="865"/>
      <c r="AO52" s="865"/>
      <c r="AP52" s="865"/>
      <c r="AQ52" s="865"/>
      <c r="AR52" s="865"/>
      <c r="AS52" s="865"/>
      <c r="AT52" s="865"/>
      <c r="AU52" s="865"/>
      <c r="AV52" s="865"/>
      <c r="AW52" s="865"/>
      <c r="AX52" s="865"/>
      <c r="AY52" s="865"/>
      <c r="AZ52" s="865"/>
      <c r="BA52" s="865">
        <v>217000</v>
      </c>
      <c r="BB52" s="865"/>
      <c r="BC52" s="865"/>
      <c r="BD52" s="865"/>
      <c r="BE52" s="865"/>
      <c r="BF52" s="865"/>
      <c r="BG52" s="865"/>
      <c r="BH52" s="865">
        <v>31179.289254250965</v>
      </c>
      <c r="BI52" s="865"/>
      <c r="BJ52" s="865"/>
      <c r="BK52" s="865"/>
      <c r="BL52" s="865"/>
      <c r="BM52" s="865"/>
      <c r="BN52" s="865"/>
      <c r="BO52" s="865"/>
      <c r="BP52" s="865"/>
      <c r="BQ52" s="865"/>
      <c r="BR52" s="865"/>
      <c r="BS52" s="865">
        <v>248179.28925425097</v>
      </c>
      <c r="BT52" s="412">
        <f t="shared" si="3"/>
        <v>217000</v>
      </c>
      <c r="BU52" s="413">
        <v>0</v>
      </c>
      <c r="BV52" s="413">
        <v>0</v>
      </c>
      <c r="BW52" s="413">
        <v>0</v>
      </c>
      <c r="BX52" s="413">
        <v>0</v>
      </c>
      <c r="BY52" s="413">
        <v>0</v>
      </c>
      <c r="BZ52" s="413">
        <v>0</v>
      </c>
      <c r="CA52" s="413">
        <v>0</v>
      </c>
      <c r="CB52" s="413">
        <v>1</v>
      </c>
      <c r="CC52" s="413">
        <v>0</v>
      </c>
      <c r="CD52" s="413">
        <v>0</v>
      </c>
      <c r="CE52" s="413">
        <v>0</v>
      </c>
      <c r="CF52" s="413">
        <v>0</v>
      </c>
      <c r="CG52" s="413">
        <v>0</v>
      </c>
      <c r="CH52" s="413">
        <v>0</v>
      </c>
      <c r="CI52" s="413">
        <v>0</v>
      </c>
      <c r="CJ52" s="413">
        <v>0</v>
      </c>
      <c r="CK52" s="413">
        <v>0</v>
      </c>
      <c r="CL52" s="413">
        <v>0</v>
      </c>
      <c r="CM52" s="413">
        <v>0</v>
      </c>
      <c r="CN52" s="413">
        <v>0</v>
      </c>
      <c r="CO52" s="414">
        <f t="shared" si="2"/>
        <v>1</v>
      </c>
    </row>
    <row r="53" spans="1:93" s="415" customFormat="1" ht="25.5" x14ac:dyDescent="0.25">
      <c r="A53" s="881" t="s">
        <v>420</v>
      </c>
      <c r="B53" s="862" t="s">
        <v>2844</v>
      </c>
      <c r="C53" s="861" t="s">
        <v>751</v>
      </c>
      <c r="D53" s="862"/>
      <c r="E53" s="861" t="s">
        <v>655</v>
      </c>
      <c r="F53" s="862"/>
      <c r="G53" s="861"/>
      <c r="H53" s="861" t="s">
        <v>654</v>
      </c>
      <c r="I53" s="861" t="s">
        <v>647</v>
      </c>
      <c r="J53" s="861" t="s">
        <v>641</v>
      </c>
      <c r="K53" s="861" t="s">
        <v>649</v>
      </c>
      <c r="L53" s="861" t="s">
        <v>40</v>
      </c>
      <c r="M53" s="861" t="s">
        <v>653</v>
      </c>
      <c r="N53" s="861" t="s">
        <v>645</v>
      </c>
      <c r="O53" s="861"/>
      <c r="P53" s="861"/>
      <c r="Q53" s="861" t="s">
        <v>642</v>
      </c>
      <c r="R53" s="861" t="s">
        <v>652</v>
      </c>
      <c r="S53" s="861" t="s">
        <v>649</v>
      </c>
      <c r="T53" s="861"/>
      <c r="U53" s="861"/>
      <c r="V53" s="861" t="s">
        <v>685</v>
      </c>
      <c r="W53" s="861" t="s">
        <v>677</v>
      </c>
      <c r="X53" s="863">
        <v>43283</v>
      </c>
      <c r="Y53" s="863">
        <v>45055</v>
      </c>
      <c r="Z53" s="864">
        <v>2023</v>
      </c>
      <c r="AA53" s="861"/>
      <c r="AB53" s="861"/>
      <c r="AC53" s="861"/>
      <c r="AD53" s="865"/>
      <c r="AE53" s="865"/>
      <c r="AF53" s="865"/>
      <c r="AG53" s="865"/>
      <c r="AH53" s="865"/>
      <c r="AI53" s="865"/>
      <c r="AJ53" s="865"/>
      <c r="AK53" s="865"/>
      <c r="AL53" s="865"/>
      <c r="AM53" s="865"/>
      <c r="AN53" s="865"/>
      <c r="AO53" s="865"/>
      <c r="AP53" s="865"/>
      <c r="AQ53" s="865"/>
      <c r="AR53" s="865">
        <v>5155050.0829000007</v>
      </c>
      <c r="AS53" s="865"/>
      <c r="AT53" s="865"/>
      <c r="AU53" s="865"/>
      <c r="AV53" s="865"/>
      <c r="AW53" s="865"/>
      <c r="AX53" s="865"/>
      <c r="AY53" s="865"/>
      <c r="AZ53" s="865"/>
      <c r="BA53" s="865"/>
      <c r="BB53" s="865"/>
      <c r="BC53" s="865">
        <v>0</v>
      </c>
      <c r="BD53" s="865">
        <v>0</v>
      </c>
      <c r="BE53" s="865">
        <v>0</v>
      </c>
      <c r="BF53" s="865">
        <v>0</v>
      </c>
      <c r="BG53" s="865">
        <v>0</v>
      </c>
      <c r="BH53" s="865">
        <v>1317463.0914685384</v>
      </c>
      <c r="BI53" s="865"/>
      <c r="BJ53" s="865"/>
      <c r="BK53" s="865"/>
      <c r="BL53" s="865"/>
      <c r="BM53" s="865"/>
      <c r="BN53" s="865"/>
      <c r="BO53" s="865"/>
      <c r="BP53" s="865"/>
      <c r="BQ53" s="865"/>
      <c r="BR53" s="865"/>
      <c r="BS53" s="865">
        <v>6472513.1743685398</v>
      </c>
      <c r="BT53" s="412">
        <f t="shared" si="3"/>
        <v>5155050.0829000007</v>
      </c>
      <c r="BU53" s="413">
        <v>0</v>
      </c>
      <c r="BV53" s="413">
        <v>0</v>
      </c>
      <c r="BW53" s="413">
        <v>1</v>
      </c>
      <c r="BX53" s="413">
        <v>0</v>
      </c>
      <c r="BY53" s="413">
        <v>0</v>
      </c>
      <c r="BZ53" s="413">
        <v>0</v>
      </c>
      <c r="CA53" s="413">
        <v>0</v>
      </c>
      <c r="CB53" s="413">
        <v>0</v>
      </c>
      <c r="CC53" s="413">
        <v>0</v>
      </c>
      <c r="CD53" s="413">
        <v>0</v>
      </c>
      <c r="CE53" s="413">
        <v>0</v>
      </c>
      <c r="CF53" s="413">
        <v>0</v>
      </c>
      <c r="CG53" s="413">
        <v>0</v>
      </c>
      <c r="CH53" s="413">
        <v>0</v>
      </c>
      <c r="CI53" s="413">
        <v>0</v>
      </c>
      <c r="CJ53" s="413">
        <v>0</v>
      </c>
      <c r="CK53" s="413">
        <v>0</v>
      </c>
      <c r="CL53" s="413">
        <v>0</v>
      </c>
      <c r="CM53" s="413">
        <v>0</v>
      </c>
      <c r="CN53" s="413">
        <v>0</v>
      </c>
      <c r="CO53" s="414">
        <f t="shared" si="2"/>
        <v>1</v>
      </c>
    </row>
    <row r="54" spans="1:93" s="415" customFormat="1" ht="25.5" x14ac:dyDescent="0.25">
      <c r="A54" s="881" t="s">
        <v>422</v>
      </c>
      <c r="B54" s="862" t="s">
        <v>2845</v>
      </c>
      <c r="C54" s="861" t="s">
        <v>750</v>
      </c>
      <c r="D54" s="862"/>
      <c r="E54" s="861" t="s">
        <v>655</v>
      </c>
      <c r="F54" s="862"/>
      <c r="G54" s="861"/>
      <c r="H54" s="861" t="s">
        <v>654</v>
      </c>
      <c r="I54" s="861" t="s">
        <v>647</v>
      </c>
      <c r="J54" s="861" t="s">
        <v>671</v>
      </c>
      <c r="K54" s="861" t="s">
        <v>649</v>
      </c>
      <c r="L54" s="861" t="s">
        <v>40</v>
      </c>
      <c r="M54" s="861" t="s">
        <v>653</v>
      </c>
      <c r="N54" s="861" t="s">
        <v>645</v>
      </c>
      <c r="O54" s="861"/>
      <c r="P54" s="861"/>
      <c r="Q54" s="861" t="s">
        <v>656</v>
      </c>
      <c r="R54" s="861" t="s">
        <v>652</v>
      </c>
      <c r="S54" s="861" t="s">
        <v>649</v>
      </c>
      <c r="T54" s="861"/>
      <c r="U54" s="861"/>
      <c r="V54" s="861" t="s">
        <v>683</v>
      </c>
      <c r="W54" s="861" t="s">
        <v>677</v>
      </c>
      <c r="X54" s="863">
        <v>43952</v>
      </c>
      <c r="Y54" s="863">
        <v>44862</v>
      </c>
      <c r="Z54" s="864">
        <v>2023</v>
      </c>
      <c r="AA54" s="861"/>
      <c r="AB54" s="861"/>
      <c r="AC54" s="861"/>
      <c r="AD54" s="865"/>
      <c r="AE54" s="865"/>
      <c r="AF54" s="865"/>
      <c r="AG54" s="865"/>
      <c r="AH54" s="865"/>
      <c r="AI54" s="865"/>
      <c r="AJ54" s="865"/>
      <c r="AK54" s="865"/>
      <c r="AL54" s="865"/>
      <c r="AM54" s="865"/>
      <c r="AN54" s="865"/>
      <c r="AO54" s="865"/>
      <c r="AP54" s="865"/>
      <c r="AQ54" s="865"/>
      <c r="AR54" s="865"/>
      <c r="AS54" s="865"/>
      <c r="AT54" s="865"/>
      <c r="AU54" s="865"/>
      <c r="AV54" s="865"/>
      <c r="AW54" s="865">
        <v>180000.00000000015</v>
      </c>
      <c r="AX54" s="865"/>
      <c r="AY54" s="865"/>
      <c r="AZ54" s="865"/>
      <c r="BA54" s="865"/>
      <c r="BB54" s="865"/>
      <c r="BC54" s="865"/>
      <c r="BD54" s="865"/>
      <c r="BE54" s="865"/>
      <c r="BF54" s="865"/>
      <c r="BG54" s="865"/>
      <c r="BH54" s="865">
        <v>1620000.0000000023</v>
      </c>
      <c r="BI54" s="865"/>
      <c r="BJ54" s="865"/>
      <c r="BK54" s="865"/>
      <c r="BL54" s="865"/>
      <c r="BM54" s="865"/>
      <c r="BN54" s="865"/>
      <c r="BO54" s="865"/>
      <c r="BP54" s="865"/>
      <c r="BQ54" s="865"/>
      <c r="BR54" s="865"/>
      <c r="BS54" s="865">
        <v>1800000.0000000026</v>
      </c>
      <c r="BT54" s="412">
        <f t="shared" si="3"/>
        <v>180000.00000000015</v>
      </c>
      <c r="BU54" s="413">
        <v>0</v>
      </c>
      <c r="BV54" s="413">
        <v>0</v>
      </c>
      <c r="BW54" s="413">
        <v>0</v>
      </c>
      <c r="BX54" s="413">
        <v>1</v>
      </c>
      <c r="BY54" s="413">
        <v>0</v>
      </c>
      <c r="BZ54" s="413">
        <v>0</v>
      </c>
      <c r="CA54" s="413">
        <v>0</v>
      </c>
      <c r="CB54" s="413">
        <v>0</v>
      </c>
      <c r="CC54" s="413">
        <v>0</v>
      </c>
      <c r="CD54" s="413">
        <v>0</v>
      </c>
      <c r="CE54" s="413">
        <v>0</v>
      </c>
      <c r="CF54" s="413">
        <v>0</v>
      </c>
      <c r="CG54" s="413">
        <v>0</v>
      </c>
      <c r="CH54" s="413">
        <v>0</v>
      </c>
      <c r="CI54" s="413">
        <v>0</v>
      </c>
      <c r="CJ54" s="413">
        <v>0</v>
      </c>
      <c r="CK54" s="413">
        <v>0</v>
      </c>
      <c r="CL54" s="413">
        <v>0</v>
      </c>
      <c r="CM54" s="413">
        <v>0</v>
      </c>
      <c r="CN54" s="413">
        <v>0</v>
      </c>
      <c r="CO54" s="414">
        <f t="shared" si="2"/>
        <v>1</v>
      </c>
    </row>
    <row r="55" spans="1:93" s="415" customFormat="1" ht="25.5" x14ac:dyDescent="0.25">
      <c r="A55" s="881" t="s">
        <v>424</v>
      </c>
      <c r="B55" s="862" t="s">
        <v>2158</v>
      </c>
      <c r="C55" s="861" t="s">
        <v>749</v>
      </c>
      <c r="D55" s="862"/>
      <c r="E55" s="861" t="s">
        <v>655</v>
      </c>
      <c r="F55" s="862"/>
      <c r="G55" s="861" t="s">
        <v>648</v>
      </c>
      <c r="H55" s="861" t="s">
        <v>654</v>
      </c>
      <c r="I55" s="861" t="s">
        <v>647</v>
      </c>
      <c r="J55" s="861" t="s">
        <v>671</v>
      </c>
      <c r="K55" s="861" t="s">
        <v>649</v>
      </c>
      <c r="L55" s="861" t="s">
        <v>36</v>
      </c>
      <c r="M55" s="861" t="s">
        <v>653</v>
      </c>
      <c r="N55" s="861" t="s">
        <v>680</v>
      </c>
      <c r="O55" s="861"/>
      <c r="P55" s="861"/>
      <c r="Q55" s="861" t="s">
        <v>650</v>
      </c>
      <c r="R55" s="861" t="s">
        <v>652</v>
      </c>
      <c r="S55" s="861" t="s">
        <v>649</v>
      </c>
      <c r="T55" s="861"/>
      <c r="U55" s="861"/>
      <c r="V55" s="861" t="s">
        <v>36</v>
      </c>
      <c r="W55" s="861" t="s">
        <v>640</v>
      </c>
      <c r="X55" s="863">
        <v>44378</v>
      </c>
      <c r="Y55" s="863">
        <v>44649</v>
      </c>
      <c r="Z55" s="864">
        <v>2022</v>
      </c>
      <c r="AA55" s="861" t="s">
        <v>676</v>
      </c>
      <c r="AB55" s="861" t="s">
        <v>675</v>
      </c>
      <c r="AC55" s="861" t="s">
        <v>663</v>
      </c>
      <c r="AD55" s="865"/>
      <c r="AE55" s="865"/>
      <c r="AF55" s="865"/>
      <c r="AG55" s="865"/>
      <c r="AH55" s="865"/>
      <c r="AI55" s="865"/>
      <c r="AJ55" s="865"/>
      <c r="AK55" s="865"/>
      <c r="AL55" s="865"/>
      <c r="AM55" s="865"/>
      <c r="AN55" s="865"/>
      <c r="AO55" s="865"/>
      <c r="AP55" s="865"/>
      <c r="AQ55" s="865"/>
      <c r="AR55" s="865"/>
      <c r="AS55" s="865"/>
      <c r="AT55" s="865"/>
      <c r="AU55" s="865"/>
      <c r="AV55" s="865">
        <v>244999.99999999997</v>
      </c>
      <c r="AW55" s="865"/>
      <c r="AX55" s="865"/>
      <c r="AY55" s="865"/>
      <c r="AZ55" s="865"/>
      <c r="BA55" s="865"/>
      <c r="BB55" s="865"/>
      <c r="BC55" s="865">
        <v>31850</v>
      </c>
      <c r="BD55" s="865"/>
      <c r="BE55" s="865"/>
      <c r="BF55" s="865"/>
      <c r="BG55" s="865"/>
      <c r="BH55" s="865">
        <v>49924.452847218367</v>
      </c>
      <c r="BI55" s="865"/>
      <c r="BJ55" s="865"/>
      <c r="BK55" s="865"/>
      <c r="BL55" s="865"/>
      <c r="BM55" s="865"/>
      <c r="BN55" s="865"/>
      <c r="BO55" s="865"/>
      <c r="BP55" s="865"/>
      <c r="BQ55" s="865"/>
      <c r="BR55" s="865"/>
      <c r="BS55" s="865">
        <v>326774.45284721832</v>
      </c>
      <c r="BT55" s="412">
        <f t="shared" si="3"/>
        <v>244999.99999999997</v>
      </c>
      <c r="BU55" s="413">
        <v>1</v>
      </c>
      <c r="BV55" s="413">
        <v>0</v>
      </c>
      <c r="BW55" s="413">
        <v>0</v>
      </c>
      <c r="BX55" s="413">
        <v>0</v>
      </c>
      <c r="BY55" s="413">
        <v>0</v>
      </c>
      <c r="BZ55" s="413">
        <v>0</v>
      </c>
      <c r="CA55" s="413">
        <v>0</v>
      </c>
      <c r="CB55" s="413">
        <v>0</v>
      </c>
      <c r="CC55" s="413">
        <v>0</v>
      </c>
      <c r="CD55" s="413">
        <v>0</v>
      </c>
      <c r="CE55" s="413">
        <v>0</v>
      </c>
      <c r="CF55" s="413">
        <v>0</v>
      </c>
      <c r="CG55" s="413">
        <v>0</v>
      </c>
      <c r="CH55" s="413">
        <v>0</v>
      </c>
      <c r="CI55" s="413">
        <v>0</v>
      </c>
      <c r="CJ55" s="413">
        <v>0</v>
      </c>
      <c r="CK55" s="413">
        <v>0</v>
      </c>
      <c r="CL55" s="413">
        <v>0</v>
      </c>
      <c r="CM55" s="413">
        <v>0</v>
      </c>
      <c r="CN55" s="413">
        <v>0</v>
      </c>
      <c r="CO55" s="414">
        <f t="shared" si="2"/>
        <v>1</v>
      </c>
    </row>
    <row r="56" spans="1:93" s="415" customFormat="1" ht="25.5" x14ac:dyDescent="0.25">
      <c r="A56" s="881" t="s">
        <v>426</v>
      </c>
      <c r="B56" s="862" t="s">
        <v>2160</v>
      </c>
      <c r="C56" s="861" t="s">
        <v>748</v>
      </c>
      <c r="D56" s="862"/>
      <c r="E56" s="861" t="s">
        <v>655</v>
      </c>
      <c r="F56" s="862"/>
      <c r="G56" s="861" t="s">
        <v>648</v>
      </c>
      <c r="H56" s="861" t="s">
        <v>654</v>
      </c>
      <c r="I56" s="861" t="s">
        <v>647</v>
      </c>
      <c r="J56" s="861" t="s">
        <v>671</v>
      </c>
      <c r="K56" s="861" t="s">
        <v>649</v>
      </c>
      <c r="L56" s="861" t="s">
        <v>36</v>
      </c>
      <c r="M56" s="861" t="s">
        <v>653</v>
      </c>
      <c r="N56" s="861" t="s">
        <v>680</v>
      </c>
      <c r="O56" s="861"/>
      <c r="P56" s="861"/>
      <c r="Q56" s="861" t="s">
        <v>650</v>
      </c>
      <c r="R56" s="861" t="s">
        <v>652</v>
      </c>
      <c r="S56" s="861" t="s">
        <v>649</v>
      </c>
      <c r="T56" s="861"/>
      <c r="U56" s="861"/>
      <c r="V56" s="861" t="s">
        <v>36</v>
      </c>
      <c r="W56" s="861" t="s">
        <v>640</v>
      </c>
      <c r="X56" s="863">
        <v>44378</v>
      </c>
      <c r="Y56" s="863">
        <v>44649</v>
      </c>
      <c r="Z56" s="864">
        <v>2022</v>
      </c>
      <c r="AA56" s="861" t="s">
        <v>676</v>
      </c>
      <c r="AB56" s="861" t="s">
        <v>675</v>
      </c>
      <c r="AC56" s="861" t="s">
        <v>663</v>
      </c>
      <c r="AD56" s="865"/>
      <c r="AE56" s="865"/>
      <c r="AF56" s="865"/>
      <c r="AG56" s="865"/>
      <c r="AH56" s="865"/>
      <c r="AI56" s="865"/>
      <c r="AJ56" s="865"/>
      <c r="AK56" s="865"/>
      <c r="AL56" s="865"/>
      <c r="AM56" s="865"/>
      <c r="AN56" s="865"/>
      <c r="AO56" s="865"/>
      <c r="AP56" s="865"/>
      <c r="AQ56" s="865"/>
      <c r="AR56" s="865"/>
      <c r="AS56" s="865"/>
      <c r="AT56" s="865"/>
      <c r="AU56" s="865"/>
      <c r="AV56" s="865">
        <v>194999.99999999997</v>
      </c>
      <c r="AW56" s="865"/>
      <c r="AX56" s="865"/>
      <c r="AY56" s="865">
        <v>60999.999999999985</v>
      </c>
      <c r="AZ56" s="865"/>
      <c r="BA56" s="865"/>
      <c r="BB56" s="865"/>
      <c r="BC56" s="865">
        <v>33280</v>
      </c>
      <c r="BD56" s="865"/>
      <c r="BE56" s="865"/>
      <c r="BF56" s="865"/>
      <c r="BG56" s="865"/>
      <c r="BH56" s="865">
        <v>52165.958893419986</v>
      </c>
      <c r="BI56" s="865"/>
      <c r="BJ56" s="865"/>
      <c r="BK56" s="865"/>
      <c r="BL56" s="865"/>
      <c r="BM56" s="865"/>
      <c r="BN56" s="865"/>
      <c r="BO56" s="865"/>
      <c r="BP56" s="865"/>
      <c r="BQ56" s="865"/>
      <c r="BR56" s="865"/>
      <c r="BS56" s="865">
        <v>341445.95889341994</v>
      </c>
      <c r="BT56" s="412">
        <f t="shared" si="3"/>
        <v>255999.99999999994</v>
      </c>
      <c r="BU56" s="413">
        <v>0.76171875000000011</v>
      </c>
      <c r="BV56" s="413">
        <v>0</v>
      </c>
      <c r="BW56" s="413">
        <v>0</v>
      </c>
      <c r="BX56" s="413">
        <v>0</v>
      </c>
      <c r="BY56" s="413">
        <v>0</v>
      </c>
      <c r="BZ56" s="413">
        <v>0</v>
      </c>
      <c r="CA56" s="413">
        <v>0</v>
      </c>
      <c r="CB56" s="413">
        <v>0.23828125</v>
      </c>
      <c r="CC56" s="413">
        <v>0</v>
      </c>
      <c r="CD56" s="413">
        <v>0</v>
      </c>
      <c r="CE56" s="413">
        <v>0</v>
      </c>
      <c r="CF56" s="413">
        <v>0</v>
      </c>
      <c r="CG56" s="413">
        <v>0</v>
      </c>
      <c r="CH56" s="413">
        <v>0</v>
      </c>
      <c r="CI56" s="413">
        <v>0</v>
      </c>
      <c r="CJ56" s="413">
        <v>0</v>
      </c>
      <c r="CK56" s="413">
        <v>0</v>
      </c>
      <c r="CL56" s="413">
        <v>0</v>
      </c>
      <c r="CM56" s="413">
        <v>0</v>
      </c>
      <c r="CN56" s="413">
        <v>0</v>
      </c>
      <c r="CO56" s="414">
        <f t="shared" si="2"/>
        <v>1</v>
      </c>
    </row>
    <row r="57" spans="1:93" s="415" customFormat="1" ht="25.5" x14ac:dyDescent="0.25">
      <c r="A57" s="881" t="s">
        <v>428</v>
      </c>
      <c r="B57" s="862" t="s">
        <v>2164</v>
      </c>
      <c r="C57" s="861" t="s">
        <v>747</v>
      </c>
      <c r="D57" s="862"/>
      <c r="E57" s="861" t="s">
        <v>655</v>
      </c>
      <c r="F57" s="862"/>
      <c r="G57" s="861" t="s">
        <v>648</v>
      </c>
      <c r="H57" s="861" t="s">
        <v>654</v>
      </c>
      <c r="I57" s="861" t="s">
        <v>647</v>
      </c>
      <c r="J57" s="861" t="s">
        <v>671</v>
      </c>
      <c r="K57" s="861" t="s">
        <v>649</v>
      </c>
      <c r="L57" s="861" t="s">
        <v>36</v>
      </c>
      <c r="M57" s="861" t="s">
        <v>653</v>
      </c>
      <c r="N57" s="861" t="s">
        <v>680</v>
      </c>
      <c r="O57" s="861"/>
      <c r="P57" s="861"/>
      <c r="Q57" s="861" t="s">
        <v>650</v>
      </c>
      <c r="R57" s="861" t="s">
        <v>652</v>
      </c>
      <c r="S57" s="861" t="s">
        <v>649</v>
      </c>
      <c r="T57" s="861"/>
      <c r="U57" s="861"/>
      <c r="V57" s="861" t="s">
        <v>36</v>
      </c>
      <c r="W57" s="861" t="s">
        <v>684</v>
      </c>
      <c r="X57" s="863">
        <v>44378</v>
      </c>
      <c r="Y57" s="863">
        <v>44649</v>
      </c>
      <c r="Z57" s="864">
        <v>2022</v>
      </c>
      <c r="AA57" s="861" t="s">
        <v>676</v>
      </c>
      <c r="AB57" s="861" t="s">
        <v>675</v>
      </c>
      <c r="AC57" s="861" t="s">
        <v>663</v>
      </c>
      <c r="AD57" s="865"/>
      <c r="AE57" s="865"/>
      <c r="AF57" s="865"/>
      <c r="AG57" s="865"/>
      <c r="AH57" s="865"/>
      <c r="AI57" s="865"/>
      <c r="AJ57" s="865"/>
      <c r="AK57" s="865"/>
      <c r="AL57" s="865"/>
      <c r="AM57" s="865"/>
      <c r="AN57" s="865"/>
      <c r="AO57" s="865"/>
      <c r="AP57" s="865"/>
      <c r="AQ57" s="865"/>
      <c r="AR57" s="865"/>
      <c r="AS57" s="865"/>
      <c r="AT57" s="865"/>
      <c r="AU57" s="865"/>
      <c r="AV57" s="865"/>
      <c r="AW57" s="865"/>
      <c r="AX57" s="865"/>
      <c r="AY57" s="865"/>
      <c r="AZ57" s="865"/>
      <c r="BA57" s="865">
        <v>203999.99999999994</v>
      </c>
      <c r="BB57" s="865"/>
      <c r="BC57" s="865"/>
      <c r="BD57" s="865"/>
      <c r="BE57" s="865"/>
      <c r="BF57" s="865"/>
      <c r="BG57" s="865"/>
      <c r="BH57" s="865">
        <v>29311.405566208283</v>
      </c>
      <c r="BI57" s="865"/>
      <c r="BJ57" s="865"/>
      <c r="BK57" s="865"/>
      <c r="BL57" s="865"/>
      <c r="BM57" s="865"/>
      <c r="BN57" s="865"/>
      <c r="BO57" s="865"/>
      <c r="BP57" s="865"/>
      <c r="BQ57" s="865"/>
      <c r="BR57" s="865"/>
      <c r="BS57" s="865">
        <v>233311.40556620824</v>
      </c>
      <c r="BT57" s="412">
        <f t="shared" si="3"/>
        <v>203999.99999999994</v>
      </c>
      <c r="BU57" s="413">
        <v>0</v>
      </c>
      <c r="BV57" s="413">
        <v>0</v>
      </c>
      <c r="BW57" s="413">
        <v>0</v>
      </c>
      <c r="BX57" s="413">
        <v>0</v>
      </c>
      <c r="BY57" s="413">
        <v>0</v>
      </c>
      <c r="BZ57" s="413">
        <v>0</v>
      </c>
      <c r="CA57" s="413">
        <v>0</v>
      </c>
      <c r="CB57" s="413">
        <v>1</v>
      </c>
      <c r="CC57" s="413">
        <v>0</v>
      </c>
      <c r="CD57" s="413">
        <v>0</v>
      </c>
      <c r="CE57" s="413">
        <v>0</v>
      </c>
      <c r="CF57" s="413">
        <v>0</v>
      </c>
      <c r="CG57" s="413">
        <v>0</v>
      </c>
      <c r="CH57" s="413">
        <v>0</v>
      </c>
      <c r="CI57" s="413">
        <v>0</v>
      </c>
      <c r="CJ57" s="413">
        <v>0</v>
      </c>
      <c r="CK57" s="413">
        <v>0</v>
      </c>
      <c r="CL57" s="413">
        <v>0</v>
      </c>
      <c r="CM57" s="413">
        <v>0</v>
      </c>
      <c r="CN57" s="413">
        <v>0</v>
      </c>
      <c r="CO57" s="414">
        <f t="shared" si="2"/>
        <v>1</v>
      </c>
    </row>
    <row r="58" spans="1:93" s="415" customFormat="1" ht="25.5" x14ac:dyDescent="0.25">
      <c r="A58" s="881" t="s">
        <v>430</v>
      </c>
      <c r="B58" s="862" t="s">
        <v>2846</v>
      </c>
      <c r="C58" s="861" t="s">
        <v>2480</v>
      </c>
      <c r="D58" s="862"/>
      <c r="E58" s="861" t="s">
        <v>655</v>
      </c>
      <c r="F58" s="862"/>
      <c r="G58" s="861"/>
      <c r="H58" s="861" t="s">
        <v>654</v>
      </c>
      <c r="I58" s="861" t="s">
        <v>647</v>
      </c>
      <c r="J58" s="861" t="s">
        <v>671</v>
      </c>
      <c r="K58" s="861" t="s">
        <v>649</v>
      </c>
      <c r="L58" s="861" t="s">
        <v>55</v>
      </c>
      <c r="M58" s="861" t="s">
        <v>653</v>
      </c>
      <c r="N58" s="861" t="s">
        <v>645</v>
      </c>
      <c r="O58" s="861"/>
      <c r="P58" s="861"/>
      <c r="Q58" s="861" t="s">
        <v>656</v>
      </c>
      <c r="R58" s="861" t="s">
        <v>652</v>
      </c>
      <c r="S58" s="861" t="s">
        <v>649</v>
      </c>
      <c r="T58" s="861"/>
      <c r="U58" s="861"/>
      <c r="V58" s="861" t="s">
        <v>683</v>
      </c>
      <c r="W58" s="861" t="s">
        <v>677</v>
      </c>
      <c r="X58" s="863">
        <v>44013</v>
      </c>
      <c r="Y58" s="863">
        <v>44776</v>
      </c>
      <c r="Z58" s="864">
        <v>2023</v>
      </c>
      <c r="AA58" s="861"/>
      <c r="AB58" s="861"/>
      <c r="AC58" s="861"/>
      <c r="AD58" s="865"/>
      <c r="AE58" s="865"/>
      <c r="AF58" s="865"/>
      <c r="AG58" s="865"/>
      <c r="AH58" s="865"/>
      <c r="AI58" s="865"/>
      <c r="AJ58" s="865"/>
      <c r="AK58" s="865"/>
      <c r="AL58" s="865"/>
      <c r="AM58" s="865"/>
      <c r="AN58" s="865"/>
      <c r="AO58" s="865"/>
      <c r="AP58" s="865"/>
      <c r="AQ58" s="865"/>
      <c r="AR58" s="865"/>
      <c r="AS58" s="865"/>
      <c r="AT58" s="865"/>
      <c r="AU58" s="865"/>
      <c r="AV58" s="865"/>
      <c r="AW58" s="865">
        <v>287759.99999999988</v>
      </c>
      <c r="AX58" s="865"/>
      <c r="AY58" s="865"/>
      <c r="AZ58" s="865"/>
      <c r="BA58" s="865"/>
      <c r="BB58" s="865"/>
      <c r="BC58" s="865"/>
      <c r="BD58" s="865"/>
      <c r="BE58" s="865"/>
      <c r="BF58" s="865"/>
      <c r="BG58" s="865"/>
      <c r="BH58" s="865">
        <v>911240.00000000093</v>
      </c>
      <c r="BI58" s="865"/>
      <c r="BJ58" s="865"/>
      <c r="BK58" s="865"/>
      <c r="BL58" s="865"/>
      <c r="BM58" s="865"/>
      <c r="BN58" s="865"/>
      <c r="BO58" s="865"/>
      <c r="BP58" s="865"/>
      <c r="BQ58" s="865"/>
      <c r="BR58" s="865"/>
      <c r="BS58" s="865">
        <v>1199000.0000000007</v>
      </c>
      <c r="BT58" s="412">
        <f t="shared" si="3"/>
        <v>287759.99999999988</v>
      </c>
      <c r="BU58" s="413">
        <v>0</v>
      </c>
      <c r="BV58" s="413">
        <v>0</v>
      </c>
      <c r="BW58" s="413">
        <v>0</v>
      </c>
      <c r="BX58" s="413">
        <v>1</v>
      </c>
      <c r="BY58" s="413">
        <v>0</v>
      </c>
      <c r="BZ58" s="413">
        <v>0</v>
      </c>
      <c r="CA58" s="413">
        <v>0</v>
      </c>
      <c r="CB58" s="413">
        <v>0</v>
      </c>
      <c r="CC58" s="413">
        <v>0</v>
      </c>
      <c r="CD58" s="413">
        <v>0</v>
      </c>
      <c r="CE58" s="413">
        <v>0</v>
      </c>
      <c r="CF58" s="413">
        <v>0</v>
      </c>
      <c r="CG58" s="413">
        <v>0</v>
      </c>
      <c r="CH58" s="413">
        <v>0</v>
      </c>
      <c r="CI58" s="413">
        <v>0</v>
      </c>
      <c r="CJ58" s="413">
        <v>0</v>
      </c>
      <c r="CK58" s="413">
        <v>0</v>
      </c>
      <c r="CL58" s="413">
        <v>0</v>
      </c>
      <c r="CM58" s="413">
        <v>0</v>
      </c>
      <c r="CN58" s="413">
        <v>0</v>
      </c>
      <c r="CO58" s="414">
        <f t="shared" si="2"/>
        <v>1</v>
      </c>
    </row>
    <row r="59" spans="1:93" s="415" customFormat="1" ht="25.5" x14ac:dyDescent="0.25">
      <c r="A59" s="881" t="s">
        <v>431</v>
      </c>
      <c r="B59" s="862" t="s">
        <v>2847</v>
      </c>
      <c r="C59" s="861" t="s">
        <v>2481</v>
      </c>
      <c r="D59" s="862"/>
      <c r="E59" s="861" t="s">
        <v>655</v>
      </c>
      <c r="F59" s="862"/>
      <c r="G59" s="861"/>
      <c r="H59" s="861" t="s">
        <v>654</v>
      </c>
      <c r="I59" s="861" t="s">
        <v>647</v>
      </c>
      <c r="J59" s="861" t="s">
        <v>671</v>
      </c>
      <c r="K59" s="861" t="s">
        <v>649</v>
      </c>
      <c r="L59" s="861" t="s">
        <v>55</v>
      </c>
      <c r="M59" s="861" t="s">
        <v>653</v>
      </c>
      <c r="N59" s="861" t="s">
        <v>645</v>
      </c>
      <c r="O59" s="861"/>
      <c r="P59" s="861"/>
      <c r="Q59" s="861" t="s">
        <v>656</v>
      </c>
      <c r="R59" s="861" t="s">
        <v>652</v>
      </c>
      <c r="S59" s="861" t="s">
        <v>649</v>
      </c>
      <c r="T59" s="861"/>
      <c r="U59" s="861"/>
      <c r="V59" s="861" t="s">
        <v>683</v>
      </c>
      <c r="W59" s="861" t="s">
        <v>677</v>
      </c>
      <c r="X59" s="863">
        <v>44256</v>
      </c>
      <c r="Y59" s="863">
        <v>45062</v>
      </c>
      <c r="Z59" s="864">
        <v>2023</v>
      </c>
      <c r="AA59" s="861"/>
      <c r="AB59" s="861"/>
      <c r="AC59" s="861"/>
      <c r="AD59" s="865"/>
      <c r="AE59" s="865"/>
      <c r="AF59" s="865"/>
      <c r="AG59" s="865"/>
      <c r="AH59" s="865"/>
      <c r="AI59" s="865"/>
      <c r="AJ59" s="865"/>
      <c r="AK59" s="865"/>
      <c r="AL59" s="865"/>
      <c r="AM59" s="865"/>
      <c r="AN59" s="865"/>
      <c r="AO59" s="865"/>
      <c r="AP59" s="865"/>
      <c r="AQ59" s="865"/>
      <c r="AR59" s="865"/>
      <c r="AS59" s="865"/>
      <c r="AT59" s="865"/>
      <c r="AU59" s="865"/>
      <c r="AV59" s="865"/>
      <c r="AW59" s="865">
        <v>259899.99999999994</v>
      </c>
      <c r="AX59" s="865"/>
      <c r="AY59" s="865"/>
      <c r="AZ59" s="865"/>
      <c r="BA59" s="865"/>
      <c r="BB59" s="865"/>
      <c r="BC59" s="865"/>
      <c r="BD59" s="865"/>
      <c r="BE59" s="865"/>
      <c r="BF59" s="865"/>
      <c r="BG59" s="865"/>
      <c r="BH59" s="865">
        <v>1039600.0000000005</v>
      </c>
      <c r="BI59" s="865"/>
      <c r="BJ59" s="865"/>
      <c r="BK59" s="865"/>
      <c r="BL59" s="865"/>
      <c r="BM59" s="865"/>
      <c r="BN59" s="865"/>
      <c r="BO59" s="865"/>
      <c r="BP59" s="865"/>
      <c r="BQ59" s="865"/>
      <c r="BR59" s="865"/>
      <c r="BS59" s="865">
        <v>1299500.0000000005</v>
      </c>
      <c r="BT59" s="412">
        <f t="shared" si="3"/>
        <v>259899.99999999994</v>
      </c>
      <c r="BU59" s="413">
        <v>0</v>
      </c>
      <c r="BV59" s="413">
        <v>0</v>
      </c>
      <c r="BW59" s="413">
        <v>0</v>
      </c>
      <c r="BX59" s="413">
        <v>1</v>
      </c>
      <c r="BY59" s="413">
        <v>0</v>
      </c>
      <c r="BZ59" s="413">
        <v>0</v>
      </c>
      <c r="CA59" s="413">
        <v>0</v>
      </c>
      <c r="CB59" s="413">
        <v>0</v>
      </c>
      <c r="CC59" s="413">
        <v>0</v>
      </c>
      <c r="CD59" s="413">
        <v>0</v>
      </c>
      <c r="CE59" s="413">
        <v>0</v>
      </c>
      <c r="CF59" s="413">
        <v>0</v>
      </c>
      <c r="CG59" s="413">
        <v>0</v>
      </c>
      <c r="CH59" s="413">
        <v>0</v>
      </c>
      <c r="CI59" s="413">
        <v>0</v>
      </c>
      <c r="CJ59" s="413">
        <v>0</v>
      </c>
      <c r="CK59" s="413">
        <v>0</v>
      </c>
      <c r="CL59" s="413">
        <v>0</v>
      </c>
      <c r="CM59" s="413">
        <v>0</v>
      </c>
      <c r="CN59" s="413">
        <v>0</v>
      </c>
      <c r="CO59" s="414">
        <f t="shared" si="2"/>
        <v>1</v>
      </c>
    </row>
    <row r="60" spans="1:93" s="415" customFormat="1" ht="25.5" x14ac:dyDescent="0.25">
      <c r="A60" s="881" t="s">
        <v>432</v>
      </c>
      <c r="B60" s="862" t="s">
        <v>2241</v>
      </c>
      <c r="C60" s="861" t="s">
        <v>2676</v>
      </c>
      <c r="D60" s="862"/>
      <c r="E60" s="861" t="s">
        <v>655</v>
      </c>
      <c r="F60" s="862"/>
      <c r="G60" s="861"/>
      <c r="H60" s="861" t="s">
        <v>654</v>
      </c>
      <c r="I60" s="861" t="s">
        <v>647</v>
      </c>
      <c r="J60" s="861" t="s">
        <v>671</v>
      </c>
      <c r="K60" s="861" t="s">
        <v>649</v>
      </c>
      <c r="L60" s="861" t="s">
        <v>40</v>
      </c>
      <c r="M60" s="861" t="s">
        <v>653</v>
      </c>
      <c r="N60" s="861" t="s">
        <v>645</v>
      </c>
      <c r="O60" s="861"/>
      <c r="P60" s="861"/>
      <c r="Q60" s="861" t="s">
        <v>650</v>
      </c>
      <c r="R60" s="861" t="s">
        <v>652</v>
      </c>
      <c r="S60" s="861" t="s">
        <v>649</v>
      </c>
      <c r="T60" s="861"/>
      <c r="U60" s="861"/>
      <c r="V60" s="861" t="s">
        <v>683</v>
      </c>
      <c r="W60" s="861" t="s">
        <v>640</v>
      </c>
      <c r="X60" s="863">
        <v>43647</v>
      </c>
      <c r="Y60" s="863">
        <v>44316</v>
      </c>
      <c r="Z60" s="864">
        <v>2021</v>
      </c>
      <c r="AA60" s="861"/>
      <c r="AB60" s="861"/>
      <c r="AC60" s="861"/>
      <c r="AD60" s="865"/>
      <c r="AE60" s="865"/>
      <c r="AF60" s="865"/>
      <c r="AG60" s="865"/>
      <c r="AH60" s="865"/>
      <c r="AI60" s="865"/>
      <c r="AJ60" s="865"/>
      <c r="AK60" s="865"/>
      <c r="AL60" s="865"/>
      <c r="AM60" s="865"/>
      <c r="AN60" s="865"/>
      <c r="AO60" s="865"/>
      <c r="AP60" s="865"/>
      <c r="AQ60" s="865"/>
      <c r="AR60" s="865"/>
      <c r="AS60" s="865"/>
      <c r="AT60" s="865"/>
      <c r="AU60" s="865"/>
      <c r="AV60" s="865"/>
      <c r="AW60" s="865">
        <v>0</v>
      </c>
      <c r="AX60" s="865"/>
      <c r="AY60" s="865"/>
      <c r="AZ60" s="865"/>
      <c r="BA60" s="865"/>
      <c r="BB60" s="865"/>
      <c r="BC60" s="865"/>
      <c r="BD60" s="865"/>
      <c r="BE60" s="865"/>
      <c r="BF60" s="865"/>
      <c r="BG60" s="865"/>
      <c r="BH60" s="865">
        <v>899999.85714285751</v>
      </c>
      <c r="BI60" s="865"/>
      <c r="BJ60" s="865"/>
      <c r="BK60" s="865"/>
      <c r="BL60" s="865"/>
      <c r="BM60" s="865"/>
      <c r="BN60" s="865"/>
      <c r="BO60" s="865"/>
      <c r="BP60" s="865"/>
      <c r="BQ60" s="865"/>
      <c r="BR60" s="865"/>
      <c r="BS60" s="865">
        <v>899999.85714285751</v>
      </c>
      <c r="BT60" s="412">
        <f t="shared" si="3"/>
        <v>0</v>
      </c>
      <c r="BU60" s="413">
        <v>0</v>
      </c>
      <c r="BV60" s="413">
        <v>0</v>
      </c>
      <c r="BW60" s="413">
        <v>0</v>
      </c>
      <c r="BX60" s="413">
        <v>1</v>
      </c>
      <c r="BY60" s="413">
        <v>0</v>
      </c>
      <c r="BZ60" s="413">
        <v>0</v>
      </c>
      <c r="CA60" s="413">
        <v>0</v>
      </c>
      <c r="CB60" s="413">
        <v>0</v>
      </c>
      <c r="CC60" s="413">
        <v>0</v>
      </c>
      <c r="CD60" s="413">
        <v>0</v>
      </c>
      <c r="CE60" s="413">
        <v>0</v>
      </c>
      <c r="CF60" s="413">
        <v>0</v>
      </c>
      <c r="CG60" s="413">
        <v>0</v>
      </c>
      <c r="CH60" s="413">
        <v>0</v>
      </c>
      <c r="CI60" s="413">
        <v>0</v>
      </c>
      <c r="CJ60" s="413">
        <v>0</v>
      </c>
      <c r="CK60" s="413">
        <v>0</v>
      </c>
      <c r="CL60" s="413">
        <v>0</v>
      </c>
      <c r="CM60" s="413">
        <v>0</v>
      </c>
      <c r="CN60" s="413">
        <v>0</v>
      </c>
      <c r="CO60" s="414">
        <f t="shared" si="2"/>
        <v>1</v>
      </c>
    </row>
    <row r="61" spans="1:93" s="415" customFormat="1" ht="25.5" x14ac:dyDescent="0.25">
      <c r="A61" s="881" t="s">
        <v>434</v>
      </c>
      <c r="B61" s="862" t="s">
        <v>2848</v>
      </c>
      <c r="C61" s="861" t="s">
        <v>746</v>
      </c>
      <c r="D61" s="862"/>
      <c r="E61" s="861" t="s">
        <v>655</v>
      </c>
      <c r="F61" s="862"/>
      <c r="G61" s="861"/>
      <c r="H61" s="861" t="s">
        <v>654</v>
      </c>
      <c r="I61" s="861" t="s">
        <v>647</v>
      </c>
      <c r="J61" s="861" t="s">
        <v>641</v>
      </c>
      <c r="K61" s="861" t="s">
        <v>649</v>
      </c>
      <c r="L61" s="861" t="s">
        <v>40</v>
      </c>
      <c r="M61" s="861" t="s">
        <v>653</v>
      </c>
      <c r="N61" s="861" t="s">
        <v>645</v>
      </c>
      <c r="O61" s="861"/>
      <c r="P61" s="861"/>
      <c r="Q61" s="861" t="s">
        <v>656</v>
      </c>
      <c r="R61" s="861" t="s">
        <v>652</v>
      </c>
      <c r="S61" s="861" t="s">
        <v>649</v>
      </c>
      <c r="T61" s="861"/>
      <c r="U61" s="861"/>
      <c r="V61" s="861" t="s">
        <v>685</v>
      </c>
      <c r="W61" s="861" t="s">
        <v>677</v>
      </c>
      <c r="X61" s="863">
        <v>43160</v>
      </c>
      <c r="Y61" s="863">
        <v>44126</v>
      </c>
      <c r="Z61" s="864">
        <v>2021</v>
      </c>
      <c r="AA61" s="861"/>
      <c r="AB61" s="861"/>
      <c r="AC61" s="861"/>
      <c r="AD61" s="865"/>
      <c r="AE61" s="865"/>
      <c r="AF61" s="865"/>
      <c r="AG61" s="865"/>
      <c r="AH61" s="865"/>
      <c r="AI61" s="865"/>
      <c r="AJ61" s="865"/>
      <c r="AK61" s="865"/>
      <c r="AL61" s="865">
        <v>904639.99999999988</v>
      </c>
      <c r="AM61" s="865"/>
      <c r="AN61" s="865"/>
      <c r="AO61" s="865"/>
      <c r="AP61" s="865"/>
      <c r="AQ61" s="865"/>
      <c r="AR61" s="865">
        <v>1227999.9999999998</v>
      </c>
      <c r="AS61" s="865">
        <v>299999.92499999999</v>
      </c>
      <c r="AT61" s="865"/>
      <c r="AU61" s="865"/>
      <c r="AV61" s="865"/>
      <c r="AW61" s="865"/>
      <c r="AX61" s="865"/>
      <c r="AY61" s="865"/>
      <c r="AZ61" s="865"/>
      <c r="BA61" s="865"/>
      <c r="BB61" s="865"/>
      <c r="BC61" s="865">
        <v>358895.9887499999</v>
      </c>
      <c r="BD61" s="865"/>
      <c r="BE61" s="865">
        <v>371457.34835624992</v>
      </c>
      <c r="BF61" s="865">
        <v>8698.2314707921869</v>
      </c>
      <c r="BG61" s="865">
        <v>0</v>
      </c>
      <c r="BH61" s="865">
        <v>1340421.8065785081</v>
      </c>
      <c r="BI61" s="865"/>
      <c r="BJ61" s="865"/>
      <c r="BK61" s="865"/>
      <c r="BL61" s="865"/>
      <c r="BM61" s="865"/>
      <c r="BN61" s="865"/>
      <c r="BO61" s="865"/>
      <c r="BP61" s="865"/>
      <c r="BQ61" s="865"/>
      <c r="BR61" s="865"/>
      <c r="BS61" s="865">
        <v>4512113.3001555502</v>
      </c>
      <c r="BT61" s="412">
        <f t="shared" si="3"/>
        <v>2432639.9249999993</v>
      </c>
      <c r="BU61" s="413">
        <v>0</v>
      </c>
      <c r="BV61" s="413">
        <v>0.12332278275832378</v>
      </c>
      <c r="BW61" s="413">
        <v>0.50480138362441784</v>
      </c>
      <c r="BX61" s="413">
        <v>0</v>
      </c>
      <c r="BY61" s="413">
        <v>0</v>
      </c>
      <c r="BZ61" s="413">
        <v>0</v>
      </c>
      <c r="CA61" s="413">
        <v>0</v>
      </c>
      <c r="CB61" s="413">
        <v>0</v>
      </c>
      <c r="CC61" s="413">
        <v>0</v>
      </c>
      <c r="CD61" s="413">
        <v>0</v>
      </c>
      <c r="CE61" s="413">
        <v>0</v>
      </c>
      <c r="CF61" s="413">
        <v>0</v>
      </c>
      <c r="CG61" s="413">
        <v>0</v>
      </c>
      <c r="CH61" s="413">
        <v>0</v>
      </c>
      <c r="CI61" s="413">
        <v>0.37187583361725846</v>
      </c>
      <c r="CJ61" s="413">
        <v>0</v>
      </c>
      <c r="CK61" s="413">
        <v>0</v>
      </c>
      <c r="CL61" s="413">
        <v>0</v>
      </c>
      <c r="CM61" s="413">
        <v>0</v>
      </c>
      <c r="CN61" s="413">
        <v>0</v>
      </c>
      <c r="CO61" s="414">
        <f t="shared" si="2"/>
        <v>1</v>
      </c>
    </row>
    <row r="62" spans="1:93" s="415" customFormat="1" ht="25.5" x14ac:dyDescent="0.25">
      <c r="A62" s="881" t="s">
        <v>436</v>
      </c>
      <c r="B62" s="862" t="s">
        <v>2849</v>
      </c>
      <c r="C62" s="861" t="s">
        <v>745</v>
      </c>
      <c r="D62" s="862"/>
      <c r="E62" s="861" t="s">
        <v>655</v>
      </c>
      <c r="F62" s="862"/>
      <c r="G62" s="861"/>
      <c r="H62" s="861" t="s">
        <v>654</v>
      </c>
      <c r="I62" s="861" t="s">
        <v>647</v>
      </c>
      <c r="J62" s="861" t="s">
        <v>671</v>
      </c>
      <c r="K62" s="861" t="s">
        <v>649</v>
      </c>
      <c r="L62" s="861" t="s">
        <v>36</v>
      </c>
      <c r="M62" s="861" t="s">
        <v>653</v>
      </c>
      <c r="N62" s="861" t="s">
        <v>680</v>
      </c>
      <c r="O62" s="861"/>
      <c r="P62" s="861"/>
      <c r="Q62" s="861" t="s">
        <v>650</v>
      </c>
      <c r="R62" s="861" t="s">
        <v>652</v>
      </c>
      <c r="S62" s="861" t="s">
        <v>649</v>
      </c>
      <c r="T62" s="861"/>
      <c r="U62" s="861"/>
      <c r="V62" s="861" t="s">
        <v>36</v>
      </c>
      <c r="W62" s="861" t="s">
        <v>677</v>
      </c>
      <c r="X62" s="863">
        <v>44743</v>
      </c>
      <c r="Y62" s="863">
        <v>45219</v>
      </c>
      <c r="Z62" s="864">
        <v>2024</v>
      </c>
      <c r="AA62" s="861" t="s">
        <v>676</v>
      </c>
      <c r="AB62" s="861" t="s">
        <v>675</v>
      </c>
      <c r="AC62" s="861" t="s">
        <v>663</v>
      </c>
      <c r="AD62" s="865"/>
      <c r="AE62" s="865"/>
      <c r="AF62" s="865"/>
      <c r="AG62" s="865"/>
      <c r="AH62" s="865"/>
      <c r="AI62" s="865"/>
      <c r="AJ62" s="865"/>
      <c r="AK62" s="865"/>
      <c r="AL62" s="865"/>
      <c r="AM62" s="865"/>
      <c r="AN62" s="865"/>
      <c r="AO62" s="865"/>
      <c r="AP62" s="865"/>
      <c r="AQ62" s="865"/>
      <c r="AR62" s="865"/>
      <c r="AS62" s="865"/>
      <c r="AT62" s="865"/>
      <c r="AU62" s="865"/>
      <c r="AV62" s="865">
        <v>192500.00000000026</v>
      </c>
      <c r="AW62" s="865"/>
      <c r="AX62" s="865"/>
      <c r="AY62" s="865">
        <v>83000.000000000116</v>
      </c>
      <c r="AZ62" s="865"/>
      <c r="BA62" s="865"/>
      <c r="BB62" s="865"/>
      <c r="BC62" s="865">
        <v>35815.000000000044</v>
      </c>
      <c r="BD62" s="865"/>
      <c r="BE62" s="865"/>
      <c r="BF62" s="865"/>
      <c r="BG62" s="865"/>
      <c r="BH62" s="865">
        <v>56139.537793504787</v>
      </c>
      <c r="BI62" s="865"/>
      <c r="BJ62" s="865"/>
      <c r="BK62" s="865"/>
      <c r="BL62" s="865"/>
      <c r="BM62" s="865"/>
      <c r="BN62" s="865"/>
      <c r="BO62" s="865"/>
      <c r="BP62" s="865"/>
      <c r="BQ62" s="865"/>
      <c r="BR62" s="865"/>
      <c r="BS62" s="865">
        <v>367454.53779350518</v>
      </c>
      <c r="BT62" s="412">
        <f t="shared" si="3"/>
        <v>275500.00000000035</v>
      </c>
      <c r="BU62" s="413">
        <v>0.69872958257713258</v>
      </c>
      <c r="BV62" s="413">
        <v>0</v>
      </c>
      <c r="BW62" s="413">
        <v>0</v>
      </c>
      <c r="BX62" s="413">
        <v>0</v>
      </c>
      <c r="BY62" s="413">
        <v>0</v>
      </c>
      <c r="BZ62" s="413">
        <v>0</v>
      </c>
      <c r="CA62" s="413">
        <v>0</v>
      </c>
      <c r="CB62" s="413">
        <v>0.30127041742286753</v>
      </c>
      <c r="CC62" s="413">
        <v>0</v>
      </c>
      <c r="CD62" s="413">
        <v>0</v>
      </c>
      <c r="CE62" s="413">
        <v>0</v>
      </c>
      <c r="CF62" s="413">
        <v>0</v>
      </c>
      <c r="CG62" s="413">
        <v>0</v>
      </c>
      <c r="CH62" s="413">
        <v>0</v>
      </c>
      <c r="CI62" s="413">
        <v>0</v>
      </c>
      <c r="CJ62" s="413">
        <v>0</v>
      </c>
      <c r="CK62" s="413">
        <v>0</v>
      </c>
      <c r="CL62" s="413">
        <v>0</v>
      </c>
      <c r="CM62" s="413">
        <v>0</v>
      </c>
      <c r="CN62" s="413">
        <v>0</v>
      </c>
      <c r="CO62" s="414">
        <f t="shared" si="2"/>
        <v>1</v>
      </c>
    </row>
    <row r="63" spans="1:93" s="415" customFormat="1" ht="25.5" x14ac:dyDescent="0.25">
      <c r="A63" s="881" t="s">
        <v>438</v>
      </c>
      <c r="B63" s="862" t="s">
        <v>2850</v>
      </c>
      <c r="C63" s="861" t="s">
        <v>744</v>
      </c>
      <c r="D63" s="862"/>
      <c r="E63" s="861" t="s">
        <v>655</v>
      </c>
      <c r="F63" s="862"/>
      <c r="G63" s="861"/>
      <c r="H63" s="861" t="s">
        <v>654</v>
      </c>
      <c r="I63" s="861" t="s">
        <v>647</v>
      </c>
      <c r="J63" s="861" t="s">
        <v>671</v>
      </c>
      <c r="K63" s="861" t="s">
        <v>649</v>
      </c>
      <c r="L63" s="861" t="s">
        <v>36</v>
      </c>
      <c r="M63" s="861" t="s">
        <v>653</v>
      </c>
      <c r="N63" s="861" t="s">
        <v>680</v>
      </c>
      <c r="O63" s="861"/>
      <c r="P63" s="861" t="s">
        <v>643</v>
      </c>
      <c r="Q63" s="861" t="s">
        <v>650</v>
      </c>
      <c r="R63" s="861" t="s">
        <v>652</v>
      </c>
      <c r="S63" s="861" t="s">
        <v>649</v>
      </c>
      <c r="T63" s="861"/>
      <c r="U63" s="861"/>
      <c r="V63" s="861" t="s">
        <v>36</v>
      </c>
      <c r="W63" s="861" t="s">
        <v>640</v>
      </c>
      <c r="X63" s="863">
        <v>44743</v>
      </c>
      <c r="Y63" s="863">
        <v>45138</v>
      </c>
      <c r="Z63" s="864">
        <v>2024</v>
      </c>
      <c r="AA63" s="861" t="s">
        <v>676</v>
      </c>
      <c r="AB63" s="861" t="s">
        <v>675</v>
      </c>
      <c r="AC63" s="861" t="s">
        <v>663</v>
      </c>
      <c r="AD63" s="865"/>
      <c r="AE63" s="865"/>
      <c r="AF63" s="865"/>
      <c r="AG63" s="865"/>
      <c r="AH63" s="865"/>
      <c r="AI63" s="865"/>
      <c r="AJ63" s="865"/>
      <c r="AK63" s="865"/>
      <c r="AL63" s="865"/>
      <c r="AM63" s="865"/>
      <c r="AN63" s="865"/>
      <c r="AO63" s="865"/>
      <c r="AP63" s="865"/>
      <c r="AQ63" s="865"/>
      <c r="AR63" s="865"/>
      <c r="AS63" s="865"/>
      <c r="AT63" s="865"/>
      <c r="AU63" s="865"/>
      <c r="AV63" s="865"/>
      <c r="AW63" s="865"/>
      <c r="AX63" s="865"/>
      <c r="AY63" s="865"/>
      <c r="AZ63" s="865"/>
      <c r="BA63" s="865">
        <v>122000.00000000007</v>
      </c>
      <c r="BB63" s="865"/>
      <c r="BC63" s="865"/>
      <c r="BD63" s="865"/>
      <c r="BE63" s="865"/>
      <c r="BF63" s="865"/>
      <c r="BG63" s="865"/>
      <c r="BH63" s="865">
        <v>17529.369995477511</v>
      </c>
      <c r="BI63" s="865"/>
      <c r="BJ63" s="865"/>
      <c r="BK63" s="865"/>
      <c r="BL63" s="865"/>
      <c r="BM63" s="865"/>
      <c r="BN63" s="865"/>
      <c r="BO63" s="865"/>
      <c r="BP63" s="865"/>
      <c r="BQ63" s="865"/>
      <c r="BR63" s="865"/>
      <c r="BS63" s="865">
        <v>139529.36999547758</v>
      </c>
      <c r="BT63" s="412">
        <f t="shared" si="3"/>
        <v>122000.00000000007</v>
      </c>
      <c r="BU63" s="413">
        <v>0</v>
      </c>
      <c r="BV63" s="413">
        <v>0</v>
      </c>
      <c r="BW63" s="413">
        <v>0</v>
      </c>
      <c r="BX63" s="413">
        <v>0</v>
      </c>
      <c r="BY63" s="413">
        <v>0</v>
      </c>
      <c r="BZ63" s="413">
        <v>0</v>
      </c>
      <c r="CA63" s="413">
        <v>0</v>
      </c>
      <c r="CB63" s="413">
        <v>1</v>
      </c>
      <c r="CC63" s="413">
        <v>0</v>
      </c>
      <c r="CD63" s="413">
        <v>0</v>
      </c>
      <c r="CE63" s="413">
        <v>0</v>
      </c>
      <c r="CF63" s="413">
        <v>0</v>
      </c>
      <c r="CG63" s="413">
        <v>0</v>
      </c>
      <c r="CH63" s="413">
        <v>0</v>
      </c>
      <c r="CI63" s="413">
        <v>0</v>
      </c>
      <c r="CJ63" s="413">
        <v>0</v>
      </c>
      <c r="CK63" s="413">
        <v>0</v>
      </c>
      <c r="CL63" s="413">
        <v>0</v>
      </c>
      <c r="CM63" s="413">
        <v>0</v>
      </c>
      <c r="CN63" s="413">
        <v>0</v>
      </c>
      <c r="CO63" s="414">
        <f t="shared" si="2"/>
        <v>1</v>
      </c>
    </row>
    <row r="64" spans="1:93" s="415" customFormat="1" ht="25.5" x14ac:dyDescent="0.25">
      <c r="A64" s="881" t="s">
        <v>440</v>
      </c>
      <c r="B64" s="862" t="s">
        <v>2851</v>
      </c>
      <c r="C64" s="861" t="s">
        <v>743</v>
      </c>
      <c r="D64" s="862"/>
      <c r="E64" s="861" t="s">
        <v>655</v>
      </c>
      <c r="F64" s="862"/>
      <c r="G64" s="861"/>
      <c r="H64" s="861" t="s">
        <v>654</v>
      </c>
      <c r="I64" s="861" t="s">
        <v>647</v>
      </c>
      <c r="J64" s="861" t="s">
        <v>671</v>
      </c>
      <c r="K64" s="861" t="s">
        <v>649</v>
      </c>
      <c r="L64" s="861" t="s">
        <v>36</v>
      </c>
      <c r="M64" s="861" t="s">
        <v>653</v>
      </c>
      <c r="N64" s="861" t="s">
        <v>680</v>
      </c>
      <c r="O64" s="861"/>
      <c r="P64" s="861"/>
      <c r="Q64" s="861" t="s">
        <v>650</v>
      </c>
      <c r="R64" s="861" t="s">
        <v>652</v>
      </c>
      <c r="S64" s="861" t="s">
        <v>649</v>
      </c>
      <c r="T64" s="861"/>
      <c r="U64" s="861"/>
      <c r="V64" s="861" t="s">
        <v>36</v>
      </c>
      <c r="W64" s="861" t="s">
        <v>677</v>
      </c>
      <c r="X64" s="863">
        <v>44743</v>
      </c>
      <c r="Y64" s="863">
        <v>45219</v>
      </c>
      <c r="Z64" s="864">
        <v>2024</v>
      </c>
      <c r="AA64" s="861" t="s">
        <v>676</v>
      </c>
      <c r="AB64" s="861" t="s">
        <v>675</v>
      </c>
      <c r="AC64" s="861" t="s">
        <v>663</v>
      </c>
      <c r="AD64" s="865"/>
      <c r="AE64" s="865"/>
      <c r="AF64" s="865"/>
      <c r="AG64" s="865"/>
      <c r="AH64" s="865"/>
      <c r="AI64" s="865"/>
      <c r="AJ64" s="865"/>
      <c r="AK64" s="865"/>
      <c r="AL64" s="865"/>
      <c r="AM64" s="865"/>
      <c r="AN64" s="865"/>
      <c r="AO64" s="865"/>
      <c r="AP64" s="865"/>
      <c r="AQ64" s="865"/>
      <c r="AR64" s="865"/>
      <c r="AS64" s="865"/>
      <c r="AT64" s="865"/>
      <c r="AU64" s="865"/>
      <c r="AV64" s="865"/>
      <c r="AW64" s="865"/>
      <c r="AX64" s="865"/>
      <c r="AY64" s="865">
        <v>128500.00000000017</v>
      </c>
      <c r="AZ64" s="865"/>
      <c r="BA64" s="865"/>
      <c r="BB64" s="865"/>
      <c r="BC64" s="865">
        <v>16705.000000000022</v>
      </c>
      <c r="BD64" s="865"/>
      <c r="BE64" s="865"/>
      <c r="BF64" s="865"/>
      <c r="BG64" s="865"/>
      <c r="BH64" s="865">
        <v>26184.866085173748</v>
      </c>
      <c r="BI64" s="865"/>
      <c r="BJ64" s="865"/>
      <c r="BK64" s="865"/>
      <c r="BL64" s="865"/>
      <c r="BM64" s="865"/>
      <c r="BN64" s="865"/>
      <c r="BO64" s="865"/>
      <c r="BP64" s="865"/>
      <c r="BQ64" s="865"/>
      <c r="BR64" s="865"/>
      <c r="BS64" s="865">
        <v>171389.86608517394</v>
      </c>
      <c r="BT64" s="412">
        <f t="shared" si="3"/>
        <v>128500.00000000017</v>
      </c>
      <c r="BU64" s="413">
        <v>0</v>
      </c>
      <c r="BV64" s="413">
        <v>0</v>
      </c>
      <c r="BW64" s="413">
        <v>0</v>
      </c>
      <c r="BX64" s="413">
        <v>0</v>
      </c>
      <c r="BY64" s="413">
        <v>0</v>
      </c>
      <c r="BZ64" s="413">
        <v>0</v>
      </c>
      <c r="CA64" s="413">
        <v>0</v>
      </c>
      <c r="CB64" s="413">
        <v>1</v>
      </c>
      <c r="CC64" s="413">
        <v>0</v>
      </c>
      <c r="CD64" s="413">
        <v>0</v>
      </c>
      <c r="CE64" s="413">
        <v>0</v>
      </c>
      <c r="CF64" s="413">
        <v>0</v>
      </c>
      <c r="CG64" s="413">
        <v>0</v>
      </c>
      <c r="CH64" s="413">
        <v>0</v>
      </c>
      <c r="CI64" s="413">
        <v>0</v>
      </c>
      <c r="CJ64" s="413">
        <v>0</v>
      </c>
      <c r="CK64" s="413">
        <v>0</v>
      </c>
      <c r="CL64" s="413">
        <v>0</v>
      </c>
      <c r="CM64" s="413">
        <v>0</v>
      </c>
      <c r="CN64" s="413">
        <v>0</v>
      </c>
      <c r="CO64" s="414">
        <f t="shared" si="2"/>
        <v>1</v>
      </c>
    </row>
    <row r="65" spans="1:93" s="415" customFormat="1" ht="25.5" x14ac:dyDescent="0.25">
      <c r="A65" s="881" t="s">
        <v>442</v>
      </c>
      <c r="B65" s="862" t="s">
        <v>2854</v>
      </c>
      <c r="C65" s="861" t="s">
        <v>742</v>
      </c>
      <c r="D65" s="862"/>
      <c r="E65" s="861" t="s">
        <v>655</v>
      </c>
      <c r="F65" s="862"/>
      <c r="G65" s="861"/>
      <c r="H65" s="861" t="s">
        <v>654</v>
      </c>
      <c r="I65" s="861" t="s">
        <v>647</v>
      </c>
      <c r="J65" s="861" t="s">
        <v>671</v>
      </c>
      <c r="K65" s="861" t="s">
        <v>649</v>
      </c>
      <c r="L65" s="861" t="s">
        <v>40</v>
      </c>
      <c r="M65" s="861" t="s">
        <v>653</v>
      </c>
      <c r="N65" s="861" t="s">
        <v>645</v>
      </c>
      <c r="O65" s="861"/>
      <c r="P65" s="861"/>
      <c r="Q65" s="861" t="s">
        <v>656</v>
      </c>
      <c r="R65" s="861" t="s">
        <v>652</v>
      </c>
      <c r="S65" s="861" t="s">
        <v>649</v>
      </c>
      <c r="T65" s="861"/>
      <c r="U65" s="861"/>
      <c r="V65" s="861" t="s">
        <v>683</v>
      </c>
      <c r="W65" s="861" t="s">
        <v>677</v>
      </c>
      <c r="X65" s="863">
        <v>44682</v>
      </c>
      <c r="Y65" s="863">
        <v>45593</v>
      </c>
      <c r="Z65" s="864">
        <v>2025</v>
      </c>
      <c r="AA65" s="861"/>
      <c r="AB65" s="861"/>
      <c r="AC65" s="861"/>
      <c r="AD65" s="865"/>
      <c r="AE65" s="865"/>
      <c r="AF65" s="865"/>
      <c r="AG65" s="865"/>
      <c r="AH65" s="865"/>
      <c r="AI65" s="865"/>
      <c r="AJ65" s="865"/>
      <c r="AK65" s="865"/>
      <c r="AL65" s="865"/>
      <c r="AM65" s="865"/>
      <c r="AN65" s="865"/>
      <c r="AO65" s="865"/>
      <c r="AP65" s="865"/>
      <c r="AQ65" s="865"/>
      <c r="AR65" s="865"/>
      <c r="AS65" s="865"/>
      <c r="AT65" s="865"/>
      <c r="AU65" s="865"/>
      <c r="AV65" s="865"/>
      <c r="AW65" s="865">
        <v>179999.99999999977</v>
      </c>
      <c r="AX65" s="865"/>
      <c r="AY65" s="865"/>
      <c r="AZ65" s="865"/>
      <c r="BA65" s="865"/>
      <c r="BB65" s="865"/>
      <c r="BC65" s="865"/>
      <c r="BD65" s="865"/>
      <c r="BE65" s="865"/>
      <c r="BF65" s="865"/>
      <c r="BG65" s="865"/>
      <c r="BH65" s="865">
        <v>1619999.9999999995</v>
      </c>
      <c r="BI65" s="865"/>
      <c r="BJ65" s="865"/>
      <c r="BK65" s="865"/>
      <c r="BL65" s="865"/>
      <c r="BM65" s="865"/>
      <c r="BN65" s="865"/>
      <c r="BO65" s="865"/>
      <c r="BP65" s="865"/>
      <c r="BQ65" s="865"/>
      <c r="BR65" s="865"/>
      <c r="BS65" s="865">
        <v>1799999.9999999995</v>
      </c>
      <c r="BT65" s="412">
        <f t="shared" si="3"/>
        <v>179999.99999999977</v>
      </c>
      <c r="BU65" s="413">
        <v>0</v>
      </c>
      <c r="BV65" s="413">
        <v>0</v>
      </c>
      <c r="BW65" s="413">
        <v>0</v>
      </c>
      <c r="BX65" s="413">
        <v>1</v>
      </c>
      <c r="BY65" s="413">
        <v>0</v>
      </c>
      <c r="BZ65" s="413">
        <v>0</v>
      </c>
      <c r="CA65" s="413">
        <v>0</v>
      </c>
      <c r="CB65" s="413">
        <v>0</v>
      </c>
      <c r="CC65" s="413">
        <v>0</v>
      </c>
      <c r="CD65" s="413">
        <v>0</v>
      </c>
      <c r="CE65" s="413">
        <v>0</v>
      </c>
      <c r="CF65" s="413">
        <v>0</v>
      </c>
      <c r="CG65" s="413">
        <v>0</v>
      </c>
      <c r="CH65" s="413">
        <v>0</v>
      </c>
      <c r="CI65" s="413">
        <v>0</v>
      </c>
      <c r="CJ65" s="413">
        <v>0</v>
      </c>
      <c r="CK65" s="413">
        <v>0</v>
      </c>
      <c r="CL65" s="413">
        <v>0</v>
      </c>
      <c r="CM65" s="413">
        <v>0</v>
      </c>
      <c r="CN65" s="413">
        <v>0</v>
      </c>
      <c r="CO65" s="414">
        <f t="shared" si="2"/>
        <v>1</v>
      </c>
    </row>
    <row r="66" spans="1:93" s="415" customFormat="1" ht="25.5" x14ac:dyDescent="0.25">
      <c r="A66" s="881" t="s">
        <v>444</v>
      </c>
      <c r="B66" s="862" t="s">
        <v>2856</v>
      </c>
      <c r="C66" s="861" t="s">
        <v>2482</v>
      </c>
      <c r="D66" s="862"/>
      <c r="E66" s="861" t="s">
        <v>655</v>
      </c>
      <c r="F66" s="862"/>
      <c r="G66" s="861"/>
      <c r="H66" s="861" t="s">
        <v>654</v>
      </c>
      <c r="I66" s="861" t="s">
        <v>647</v>
      </c>
      <c r="J66" s="861" t="s">
        <v>671</v>
      </c>
      <c r="K66" s="861" t="s">
        <v>649</v>
      </c>
      <c r="L66" s="861" t="s">
        <v>55</v>
      </c>
      <c r="M66" s="861" t="s">
        <v>653</v>
      </c>
      <c r="N66" s="861" t="s">
        <v>645</v>
      </c>
      <c r="O66" s="861"/>
      <c r="P66" s="861"/>
      <c r="Q66" s="861" t="s">
        <v>656</v>
      </c>
      <c r="R66" s="861" t="s">
        <v>652</v>
      </c>
      <c r="S66" s="861" t="s">
        <v>649</v>
      </c>
      <c r="T66" s="861"/>
      <c r="U66" s="861"/>
      <c r="V66" s="861" t="s">
        <v>683</v>
      </c>
      <c r="W66" s="861" t="s">
        <v>677</v>
      </c>
      <c r="X66" s="863">
        <v>44743</v>
      </c>
      <c r="Y66" s="863">
        <v>45505</v>
      </c>
      <c r="Z66" s="864">
        <v>2025</v>
      </c>
      <c r="AA66" s="861"/>
      <c r="AB66" s="861"/>
      <c r="AC66" s="861"/>
      <c r="AD66" s="865"/>
      <c r="AE66" s="865"/>
      <c r="AF66" s="865"/>
      <c r="AG66" s="865"/>
      <c r="AH66" s="865"/>
      <c r="AI66" s="865"/>
      <c r="AJ66" s="865"/>
      <c r="AK66" s="865"/>
      <c r="AL66" s="865"/>
      <c r="AM66" s="865"/>
      <c r="AN66" s="865"/>
      <c r="AO66" s="865"/>
      <c r="AP66" s="865"/>
      <c r="AQ66" s="865"/>
      <c r="AR66" s="865"/>
      <c r="AS66" s="865"/>
      <c r="AT66" s="865"/>
      <c r="AU66" s="865"/>
      <c r="AV66" s="865"/>
      <c r="AW66" s="865">
        <v>287760.00000000023</v>
      </c>
      <c r="AX66" s="865"/>
      <c r="AY66" s="865"/>
      <c r="AZ66" s="865"/>
      <c r="BA66" s="865"/>
      <c r="BB66" s="865"/>
      <c r="BC66" s="865"/>
      <c r="BD66" s="865"/>
      <c r="BE66" s="865"/>
      <c r="BF66" s="865"/>
      <c r="BG66" s="865"/>
      <c r="BH66" s="865">
        <v>911240.00000000163</v>
      </c>
      <c r="BI66" s="865"/>
      <c r="BJ66" s="865"/>
      <c r="BK66" s="865"/>
      <c r="BL66" s="865"/>
      <c r="BM66" s="865"/>
      <c r="BN66" s="865"/>
      <c r="BO66" s="865"/>
      <c r="BP66" s="865"/>
      <c r="BQ66" s="865"/>
      <c r="BR66" s="865"/>
      <c r="BS66" s="865">
        <v>1199000.0000000019</v>
      </c>
      <c r="BT66" s="412">
        <f t="shared" si="3"/>
        <v>287760.00000000023</v>
      </c>
      <c r="BU66" s="413">
        <v>0</v>
      </c>
      <c r="BV66" s="413">
        <v>0</v>
      </c>
      <c r="BW66" s="413">
        <v>0</v>
      </c>
      <c r="BX66" s="413">
        <v>1</v>
      </c>
      <c r="BY66" s="413">
        <v>0</v>
      </c>
      <c r="BZ66" s="413">
        <v>0</v>
      </c>
      <c r="CA66" s="413">
        <v>0</v>
      </c>
      <c r="CB66" s="413">
        <v>0</v>
      </c>
      <c r="CC66" s="413">
        <v>0</v>
      </c>
      <c r="CD66" s="413">
        <v>0</v>
      </c>
      <c r="CE66" s="413">
        <v>0</v>
      </c>
      <c r="CF66" s="413">
        <v>0</v>
      </c>
      <c r="CG66" s="413">
        <v>0</v>
      </c>
      <c r="CH66" s="413">
        <v>0</v>
      </c>
      <c r="CI66" s="413">
        <v>0</v>
      </c>
      <c r="CJ66" s="413">
        <v>0</v>
      </c>
      <c r="CK66" s="413">
        <v>0</v>
      </c>
      <c r="CL66" s="413">
        <v>0</v>
      </c>
      <c r="CM66" s="413">
        <v>0</v>
      </c>
      <c r="CN66" s="413">
        <v>0</v>
      </c>
      <c r="CO66" s="414">
        <f t="shared" si="2"/>
        <v>1</v>
      </c>
    </row>
    <row r="67" spans="1:93" s="415" customFormat="1" ht="25.5" x14ac:dyDescent="0.25">
      <c r="A67" s="881" t="s">
        <v>445</v>
      </c>
      <c r="B67" s="862" t="s">
        <v>2857</v>
      </c>
      <c r="C67" s="861" t="s">
        <v>2783</v>
      </c>
      <c r="D67" s="862"/>
      <c r="E67" s="861" t="s">
        <v>655</v>
      </c>
      <c r="F67" s="862"/>
      <c r="G67" s="861"/>
      <c r="H67" s="861" t="s">
        <v>654</v>
      </c>
      <c r="I67" s="861" t="s">
        <v>647</v>
      </c>
      <c r="J67" s="861" t="s">
        <v>671</v>
      </c>
      <c r="K67" s="861" t="s">
        <v>649</v>
      </c>
      <c r="L67" s="861" t="s">
        <v>55</v>
      </c>
      <c r="M67" s="861" t="s">
        <v>653</v>
      </c>
      <c r="N67" s="861" t="s">
        <v>645</v>
      </c>
      <c r="O67" s="861"/>
      <c r="P67" s="861"/>
      <c r="Q67" s="861" t="s">
        <v>656</v>
      </c>
      <c r="R67" s="861" t="s">
        <v>652</v>
      </c>
      <c r="S67" s="861" t="s">
        <v>649</v>
      </c>
      <c r="T67" s="861"/>
      <c r="U67" s="861"/>
      <c r="V67" s="861" t="s">
        <v>683</v>
      </c>
      <c r="W67" s="861" t="s">
        <v>640</v>
      </c>
      <c r="X67" s="863">
        <v>43983</v>
      </c>
      <c r="Y67" s="863">
        <v>44669</v>
      </c>
      <c r="Z67" s="864">
        <v>2022</v>
      </c>
      <c r="AA67" s="861"/>
      <c r="AB67" s="861"/>
      <c r="AC67" s="861"/>
      <c r="AD67" s="865"/>
      <c r="AE67" s="865"/>
      <c r="AF67" s="865"/>
      <c r="AG67" s="865"/>
      <c r="AH67" s="865"/>
      <c r="AI67" s="865"/>
      <c r="AJ67" s="865"/>
      <c r="AK67" s="865"/>
      <c r="AL67" s="865"/>
      <c r="AM67" s="865"/>
      <c r="AN67" s="865"/>
      <c r="AO67" s="865"/>
      <c r="AP67" s="865"/>
      <c r="AQ67" s="865"/>
      <c r="AR67" s="865"/>
      <c r="AS67" s="865"/>
      <c r="AT67" s="865"/>
      <c r="AU67" s="865"/>
      <c r="AV67" s="865"/>
      <c r="AW67" s="865">
        <v>459999.99999999948</v>
      </c>
      <c r="AX67" s="865"/>
      <c r="AY67" s="865"/>
      <c r="AZ67" s="865"/>
      <c r="BA67" s="865"/>
      <c r="BB67" s="865"/>
      <c r="BC67" s="865"/>
      <c r="BD67" s="865"/>
      <c r="BE67" s="865"/>
      <c r="BF67" s="865"/>
      <c r="BG67" s="865"/>
      <c r="BH67" s="865">
        <v>1839712.8146666649</v>
      </c>
      <c r="BI67" s="865"/>
      <c r="BJ67" s="865"/>
      <c r="BK67" s="865"/>
      <c r="BL67" s="865"/>
      <c r="BM67" s="865"/>
      <c r="BN67" s="865"/>
      <c r="BO67" s="865"/>
      <c r="BP67" s="865"/>
      <c r="BQ67" s="865"/>
      <c r="BR67" s="865"/>
      <c r="BS67" s="865">
        <v>2299712.8146666647</v>
      </c>
      <c r="BT67" s="412">
        <f t="shared" si="3"/>
        <v>459999.99999999948</v>
      </c>
      <c r="BU67" s="413">
        <v>0</v>
      </c>
      <c r="BV67" s="413">
        <v>0</v>
      </c>
      <c r="BW67" s="413">
        <v>0</v>
      </c>
      <c r="BX67" s="413">
        <v>1</v>
      </c>
      <c r="BY67" s="413">
        <v>0</v>
      </c>
      <c r="BZ67" s="413">
        <v>0</v>
      </c>
      <c r="CA67" s="413">
        <v>0</v>
      </c>
      <c r="CB67" s="413">
        <v>0</v>
      </c>
      <c r="CC67" s="413">
        <v>0</v>
      </c>
      <c r="CD67" s="413">
        <v>0</v>
      </c>
      <c r="CE67" s="413">
        <v>0</v>
      </c>
      <c r="CF67" s="413">
        <v>0</v>
      </c>
      <c r="CG67" s="413">
        <v>0</v>
      </c>
      <c r="CH67" s="413">
        <v>0</v>
      </c>
      <c r="CI67" s="413">
        <v>0</v>
      </c>
      <c r="CJ67" s="413">
        <v>0</v>
      </c>
      <c r="CK67" s="413">
        <v>0</v>
      </c>
      <c r="CL67" s="413">
        <v>0</v>
      </c>
      <c r="CM67" s="413">
        <v>0</v>
      </c>
      <c r="CN67" s="413">
        <v>0</v>
      </c>
      <c r="CO67" s="414">
        <f t="shared" si="2"/>
        <v>1</v>
      </c>
    </row>
    <row r="68" spans="1:93" s="415" customFormat="1" ht="25.5" x14ac:dyDescent="0.25">
      <c r="A68" s="881" t="s">
        <v>446</v>
      </c>
      <c r="B68" s="862" t="s">
        <v>2858</v>
      </c>
      <c r="C68" s="861" t="s">
        <v>2484</v>
      </c>
      <c r="D68" s="862"/>
      <c r="E68" s="861" t="s">
        <v>655</v>
      </c>
      <c r="F68" s="862"/>
      <c r="G68" s="861"/>
      <c r="H68" s="861" t="s">
        <v>654</v>
      </c>
      <c r="I68" s="861" t="s">
        <v>647</v>
      </c>
      <c r="J68" s="861" t="s">
        <v>671</v>
      </c>
      <c r="K68" s="861" t="s">
        <v>649</v>
      </c>
      <c r="L68" s="861" t="s">
        <v>55</v>
      </c>
      <c r="M68" s="861" t="s">
        <v>653</v>
      </c>
      <c r="N68" s="861" t="s">
        <v>645</v>
      </c>
      <c r="O68" s="861"/>
      <c r="P68" s="861"/>
      <c r="Q68" s="861" t="s">
        <v>656</v>
      </c>
      <c r="R68" s="861" t="s">
        <v>652</v>
      </c>
      <c r="S68" s="861" t="s">
        <v>649</v>
      </c>
      <c r="T68" s="861"/>
      <c r="U68" s="861"/>
      <c r="V68" s="861" t="s">
        <v>683</v>
      </c>
      <c r="W68" s="861" t="s">
        <v>640</v>
      </c>
      <c r="X68" s="863">
        <v>43952</v>
      </c>
      <c r="Y68" s="863">
        <v>45118</v>
      </c>
      <c r="Z68" s="864">
        <v>2024</v>
      </c>
      <c r="AA68" s="861"/>
      <c r="AB68" s="861"/>
      <c r="AC68" s="861"/>
      <c r="AD68" s="865"/>
      <c r="AE68" s="865"/>
      <c r="AF68" s="865"/>
      <c r="AG68" s="865"/>
      <c r="AH68" s="865"/>
      <c r="AI68" s="865"/>
      <c r="AJ68" s="865"/>
      <c r="AK68" s="865"/>
      <c r="AL68" s="865"/>
      <c r="AM68" s="865"/>
      <c r="AN68" s="865"/>
      <c r="AO68" s="865"/>
      <c r="AP68" s="865"/>
      <c r="AQ68" s="865"/>
      <c r="AR68" s="865"/>
      <c r="AS68" s="865"/>
      <c r="AT68" s="865"/>
      <c r="AU68" s="865"/>
      <c r="AV68" s="865"/>
      <c r="AW68" s="865">
        <v>432300.00000000058</v>
      </c>
      <c r="AX68" s="865"/>
      <c r="AY68" s="865"/>
      <c r="AZ68" s="865"/>
      <c r="BA68" s="865"/>
      <c r="BB68" s="865"/>
      <c r="BC68" s="865"/>
      <c r="BD68" s="865"/>
      <c r="BE68" s="865"/>
      <c r="BF68" s="865"/>
      <c r="BG68" s="865"/>
      <c r="BH68" s="865">
        <v>1730028.3030000033</v>
      </c>
      <c r="BI68" s="865"/>
      <c r="BJ68" s="865"/>
      <c r="BK68" s="865"/>
      <c r="BL68" s="865"/>
      <c r="BM68" s="865"/>
      <c r="BN68" s="865"/>
      <c r="BO68" s="865"/>
      <c r="BP68" s="865"/>
      <c r="BQ68" s="865"/>
      <c r="BR68" s="865"/>
      <c r="BS68" s="865">
        <v>2162328.3030000036</v>
      </c>
      <c r="BT68" s="412">
        <f t="shared" si="3"/>
        <v>432300.00000000058</v>
      </c>
      <c r="BU68" s="413">
        <v>0</v>
      </c>
      <c r="BV68" s="413">
        <v>0</v>
      </c>
      <c r="BW68" s="413">
        <v>0</v>
      </c>
      <c r="BX68" s="413">
        <v>1</v>
      </c>
      <c r="BY68" s="413">
        <v>0</v>
      </c>
      <c r="BZ68" s="413">
        <v>0</v>
      </c>
      <c r="CA68" s="413">
        <v>0</v>
      </c>
      <c r="CB68" s="413">
        <v>0</v>
      </c>
      <c r="CC68" s="413">
        <v>0</v>
      </c>
      <c r="CD68" s="413">
        <v>0</v>
      </c>
      <c r="CE68" s="413">
        <v>0</v>
      </c>
      <c r="CF68" s="413">
        <v>0</v>
      </c>
      <c r="CG68" s="413">
        <v>0</v>
      </c>
      <c r="CH68" s="413">
        <v>0</v>
      </c>
      <c r="CI68" s="413">
        <v>0</v>
      </c>
      <c r="CJ68" s="413">
        <v>0</v>
      </c>
      <c r="CK68" s="413">
        <v>0</v>
      </c>
      <c r="CL68" s="413">
        <v>0</v>
      </c>
      <c r="CM68" s="413">
        <v>0</v>
      </c>
      <c r="CN68" s="413">
        <v>0</v>
      </c>
      <c r="CO68" s="414">
        <f t="shared" si="2"/>
        <v>1</v>
      </c>
    </row>
    <row r="69" spans="1:93" s="415" customFormat="1" ht="25.5" x14ac:dyDescent="0.25">
      <c r="A69" s="881" t="s">
        <v>447</v>
      </c>
      <c r="B69" s="862" t="s">
        <v>2860</v>
      </c>
      <c r="C69" s="861" t="s">
        <v>2784</v>
      </c>
      <c r="D69" s="862"/>
      <c r="E69" s="861" t="s">
        <v>655</v>
      </c>
      <c r="F69" s="862"/>
      <c r="G69" s="861"/>
      <c r="H69" s="861" t="s">
        <v>654</v>
      </c>
      <c r="I69" s="861" t="s">
        <v>647</v>
      </c>
      <c r="J69" s="861" t="s">
        <v>671</v>
      </c>
      <c r="K69" s="861" t="s">
        <v>649</v>
      </c>
      <c r="L69" s="861" t="s">
        <v>55</v>
      </c>
      <c r="M69" s="861" t="s">
        <v>653</v>
      </c>
      <c r="N69" s="861" t="s">
        <v>645</v>
      </c>
      <c r="O69" s="861"/>
      <c r="P69" s="861"/>
      <c r="Q69" s="861" t="s">
        <v>650</v>
      </c>
      <c r="R69" s="861" t="s">
        <v>652</v>
      </c>
      <c r="S69" s="861" t="s">
        <v>649</v>
      </c>
      <c r="T69" s="861"/>
      <c r="U69" s="861"/>
      <c r="V69" s="861" t="s">
        <v>683</v>
      </c>
      <c r="W69" s="861" t="s">
        <v>640</v>
      </c>
      <c r="X69" s="863">
        <v>44378</v>
      </c>
      <c r="Y69" s="863">
        <v>45107</v>
      </c>
      <c r="Z69" s="864">
        <v>2024</v>
      </c>
      <c r="AA69" s="861"/>
      <c r="AB69" s="861"/>
      <c r="AC69" s="861"/>
      <c r="AD69" s="865"/>
      <c r="AE69" s="865"/>
      <c r="AF69" s="865"/>
      <c r="AG69" s="865"/>
      <c r="AH69" s="865"/>
      <c r="AI69" s="865"/>
      <c r="AJ69" s="865"/>
      <c r="AK69" s="865"/>
      <c r="AL69" s="865"/>
      <c r="AM69" s="865"/>
      <c r="AN69" s="865"/>
      <c r="AO69" s="865"/>
      <c r="AP69" s="865"/>
      <c r="AQ69" s="865"/>
      <c r="AR69" s="865"/>
      <c r="AS69" s="865"/>
      <c r="AT69" s="865"/>
      <c r="AU69" s="865"/>
      <c r="AV69" s="865"/>
      <c r="AW69" s="865">
        <v>80000</v>
      </c>
      <c r="AX69" s="865"/>
      <c r="AY69" s="865"/>
      <c r="AZ69" s="865"/>
      <c r="BA69" s="865"/>
      <c r="BB69" s="865"/>
      <c r="BC69" s="865"/>
      <c r="BD69" s="865"/>
      <c r="BE69" s="865"/>
      <c r="BF69" s="865"/>
      <c r="BG69" s="865"/>
      <c r="BH69" s="865">
        <v>320428.84733333351</v>
      </c>
      <c r="BI69" s="865"/>
      <c r="BJ69" s="865"/>
      <c r="BK69" s="865"/>
      <c r="BL69" s="865"/>
      <c r="BM69" s="865"/>
      <c r="BN69" s="865"/>
      <c r="BO69" s="865"/>
      <c r="BP69" s="865"/>
      <c r="BQ69" s="865"/>
      <c r="BR69" s="865"/>
      <c r="BS69" s="865">
        <v>400428.84733333351</v>
      </c>
      <c r="BT69" s="412">
        <f t="shared" si="3"/>
        <v>80000</v>
      </c>
      <c r="BU69" s="413">
        <v>0</v>
      </c>
      <c r="BV69" s="413">
        <v>0</v>
      </c>
      <c r="BW69" s="413">
        <v>0</v>
      </c>
      <c r="BX69" s="413">
        <v>1</v>
      </c>
      <c r="BY69" s="413">
        <v>0</v>
      </c>
      <c r="BZ69" s="413">
        <v>0</v>
      </c>
      <c r="CA69" s="413">
        <v>0</v>
      </c>
      <c r="CB69" s="413">
        <v>0</v>
      </c>
      <c r="CC69" s="413">
        <v>0</v>
      </c>
      <c r="CD69" s="413">
        <v>0</v>
      </c>
      <c r="CE69" s="413">
        <v>0</v>
      </c>
      <c r="CF69" s="413">
        <v>0</v>
      </c>
      <c r="CG69" s="413">
        <v>0</v>
      </c>
      <c r="CH69" s="413">
        <v>0</v>
      </c>
      <c r="CI69" s="413">
        <v>0</v>
      </c>
      <c r="CJ69" s="413">
        <v>0</v>
      </c>
      <c r="CK69" s="413">
        <v>0</v>
      </c>
      <c r="CL69" s="413">
        <v>0</v>
      </c>
      <c r="CM69" s="413">
        <v>0</v>
      </c>
      <c r="CN69" s="413">
        <v>0</v>
      </c>
      <c r="CO69" s="414">
        <f t="shared" si="2"/>
        <v>1</v>
      </c>
    </row>
    <row r="70" spans="1:93" s="415" customFormat="1" ht="25.5" x14ac:dyDescent="0.25">
      <c r="A70" s="881" t="s">
        <v>449</v>
      </c>
      <c r="B70" s="862" t="s">
        <v>2862</v>
      </c>
      <c r="C70" s="861" t="s">
        <v>741</v>
      </c>
      <c r="D70" s="862"/>
      <c r="E70" s="861" t="s">
        <v>655</v>
      </c>
      <c r="F70" s="862"/>
      <c r="G70" s="861"/>
      <c r="H70" s="861" t="s">
        <v>654</v>
      </c>
      <c r="I70" s="861" t="s">
        <v>647</v>
      </c>
      <c r="J70" s="861" t="s">
        <v>641</v>
      </c>
      <c r="K70" s="861" t="s">
        <v>649</v>
      </c>
      <c r="L70" s="861" t="s">
        <v>40</v>
      </c>
      <c r="M70" s="861" t="s">
        <v>653</v>
      </c>
      <c r="N70" s="861" t="s">
        <v>645</v>
      </c>
      <c r="O70" s="861"/>
      <c r="P70" s="861"/>
      <c r="Q70" s="861" t="s">
        <v>650</v>
      </c>
      <c r="R70" s="861" t="s">
        <v>652</v>
      </c>
      <c r="S70" s="861" t="s">
        <v>649</v>
      </c>
      <c r="T70" s="861"/>
      <c r="U70" s="861"/>
      <c r="V70" s="861" t="s">
        <v>685</v>
      </c>
      <c r="W70" s="861"/>
      <c r="X70" s="863">
        <v>43862</v>
      </c>
      <c r="Y70" s="863">
        <v>45013</v>
      </c>
      <c r="Z70" s="864">
        <v>2023</v>
      </c>
      <c r="AA70" s="861"/>
      <c r="AB70" s="861"/>
      <c r="AC70" s="861"/>
      <c r="AD70" s="865"/>
      <c r="AE70" s="865"/>
      <c r="AF70" s="865"/>
      <c r="AG70" s="865"/>
      <c r="AH70" s="865"/>
      <c r="AI70" s="865"/>
      <c r="AJ70" s="865"/>
      <c r="AK70" s="865"/>
      <c r="AL70" s="865"/>
      <c r="AM70" s="865"/>
      <c r="AN70" s="865"/>
      <c r="AO70" s="865"/>
      <c r="AP70" s="865"/>
      <c r="AQ70" s="865"/>
      <c r="AR70" s="865"/>
      <c r="AS70" s="865"/>
      <c r="AT70" s="865"/>
      <c r="AU70" s="865"/>
      <c r="AV70" s="865"/>
      <c r="AW70" s="865">
        <v>160000.00000000009</v>
      </c>
      <c r="AX70" s="865"/>
      <c r="AY70" s="865"/>
      <c r="AZ70" s="865"/>
      <c r="BA70" s="865"/>
      <c r="BB70" s="865"/>
      <c r="BC70" s="865"/>
      <c r="BD70" s="865"/>
      <c r="BE70" s="865"/>
      <c r="BF70" s="865"/>
      <c r="BG70" s="865"/>
      <c r="BH70" s="865">
        <v>640219.4221133336</v>
      </c>
      <c r="BI70" s="865"/>
      <c r="BJ70" s="865"/>
      <c r="BK70" s="865"/>
      <c r="BL70" s="865"/>
      <c r="BM70" s="865"/>
      <c r="BN70" s="865"/>
      <c r="BO70" s="865"/>
      <c r="BP70" s="865"/>
      <c r="BQ70" s="865"/>
      <c r="BR70" s="865"/>
      <c r="BS70" s="865">
        <v>800219.42211333383</v>
      </c>
      <c r="BT70" s="412">
        <f t="shared" si="3"/>
        <v>160000.00000000009</v>
      </c>
      <c r="BU70" s="413">
        <v>0</v>
      </c>
      <c r="BV70" s="413">
        <v>0</v>
      </c>
      <c r="BW70" s="413">
        <v>0</v>
      </c>
      <c r="BX70" s="413">
        <v>1</v>
      </c>
      <c r="BY70" s="413">
        <v>0</v>
      </c>
      <c r="BZ70" s="413">
        <v>0</v>
      </c>
      <c r="CA70" s="413">
        <v>0</v>
      </c>
      <c r="CB70" s="413">
        <v>0</v>
      </c>
      <c r="CC70" s="413">
        <v>0</v>
      </c>
      <c r="CD70" s="413">
        <v>0</v>
      </c>
      <c r="CE70" s="413">
        <v>0</v>
      </c>
      <c r="CF70" s="413">
        <v>0</v>
      </c>
      <c r="CG70" s="413">
        <v>0</v>
      </c>
      <c r="CH70" s="413">
        <v>0</v>
      </c>
      <c r="CI70" s="413">
        <v>0</v>
      </c>
      <c r="CJ70" s="413">
        <v>0</v>
      </c>
      <c r="CK70" s="413">
        <v>0</v>
      </c>
      <c r="CL70" s="413">
        <v>0</v>
      </c>
      <c r="CM70" s="413">
        <v>0</v>
      </c>
      <c r="CN70" s="413">
        <v>0</v>
      </c>
      <c r="CO70" s="414">
        <f t="shared" si="2"/>
        <v>1</v>
      </c>
    </row>
    <row r="71" spans="1:93" s="415" customFormat="1" ht="25.5" x14ac:dyDescent="0.25">
      <c r="A71" s="881" t="s">
        <v>459</v>
      </c>
      <c r="B71" s="862" t="s">
        <v>2244</v>
      </c>
      <c r="C71" s="861" t="s">
        <v>739</v>
      </c>
      <c r="D71" s="862"/>
      <c r="E71" s="861" t="s">
        <v>655</v>
      </c>
      <c r="F71" s="862"/>
      <c r="G71" s="861"/>
      <c r="H71" s="861" t="s">
        <v>654</v>
      </c>
      <c r="I71" s="861" t="s">
        <v>647</v>
      </c>
      <c r="J71" s="861" t="s">
        <v>671</v>
      </c>
      <c r="K71" s="861" t="s">
        <v>649</v>
      </c>
      <c r="L71" s="861" t="s">
        <v>40</v>
      </c>
      <c r="M71" s="861" t="s">
        <v>653</v>
      </c>
      <c r="N71" s="861" t="s">
        <v>645</v>
      </c>
      <c r="O71" s="861"/>
      <c r="P71" s="861"/>
      <c r="Q71" s="861" t="s">
        <v>650</v>
      </c>
      <c r="R71" s="861" t="s">
        <v>652</v>
      </c>
      <c r="S71" s="861" t="s">
        <v>649</v>
      </c>
      <c r="T71" s="861"/>
      <c r="U71" s="861"/>
      <c r="V71" s="861" t="s">
        <v>683</v>
      </c>
      <c r="W71" s="861" t="s">
        <v>677</v>
      </c>
      <c r="X71" s="863">
        <v>43346</v>
      </c>
      <c r="Y71" s="863">
        <v>44260</v>
      </c>
      <c r="Z71" s="864">
        <v>2021</v>
      </c>
      <c r="AA71" s="861"/>
      <c r="AB71" s="861"/>
      <c r="AC71" s="861"/>
      <c r="AD71" s="865"/>
      <c r="AE71" s="865"/>
      <c r="AF71" s="865"/>
      <c r="AG71" s="865"/>
      <c r="AH71" s="865"/>
      <c r="AI71" s="865"/>
      <c r="AJ71" s="865"/>
      <c r="AK71" s="865"/>
      <c r="AL71" s="865"/>
      <c r="AM71" s="865"/>
      <c r="AN71" s="865"/>
      <c r="AO71" s="865"/>
      <c r="AP71" s="865"/>
      <c r="AQ71" s="865"/>
      <c r="AR71" s="865"/>
      <c r="AS71" s="865"/>
      <c r="AT71" s="865"/>
      <c r="AU71" s="865"/>
      <c r="AV71" s="865"/>
      <c r="AW71" s="865">
        <v>0</v>
      </c>
      <c r="AX71" s="865"/>
      <c r="AY71" s="865"/>
      <c r="AZ71" s="865"/>
      <c r="BA71" s="865"/>
      <c r="BB71" s="865"/>
      <c r="BC71" s="865"/>
      <c r="BD71" s="865"/>
      <c r="BE71" s="865"/>
      <c r="BF71" s="865"/>
      <c r="BG71" s="865"/>
      <c r="BH71" s="865">
        <v>499999.99999999953</v>
      </c>
      <c r="BI71" s="865"/>
      <c r="BJ71" s="865"/>
      <c r="BK71" s="865"/>
      <c r="BL71" s="865"/>
      <c r="BM71" s="865"/>
      <c r="BN71" s="865"/>
      <c r="BO71" s="865"/>
      <c r="BP71" s="865"/>
      <c r="BQ71" s="865"/>
      <c r="BR71" s="865"/>
      <c r="BS71" s="865">
        <v>499999.99999999953</v>
      </c>
      <c r="BT71" s="412">
        <f t="shared" si="3"/>
        <v>0</v>
      </c>
      <c r="BU71" s="413">
        <v>0</v>
      </c>
      <c r="BV71" s="413">
        <v>0</v>
      </c>
      <c r="BW71" s="413">
        <v>0</v>
      </c>
      <c r="BX71" s="413">
        <v>1</v>
      </c>
      <c r="BY71" s="413">
        <v>0</v>
      </c>
      <c r="BZ71" s="413">
        <v>0</v>
      </c>
      <c r="CA71" s="413">
        <v>0</v>
      </c>
      <c r="CB71" s="413">
        <v>0</v>
      </c>
      <c r="CC71" s="413">
        <v>0</v>
      </c>
      <c r="CD71" s="413">
        <v>0</v>
      </c>
      <c r="CE71" s="413">
        <v>0</v>
      </c>
      <c r="CF71" s="413">
        <v>0</v>
      </c>
      <c r="CG71" s="413">
        <v>0</v>
      </c>
      <c r="CH71" s="413">
        <v>0</v>
      </c>
      <c r="CI71" s="413">
        <v>0</v>
      </c>
      <c r="CJ71" s="413">
        <v>0</v>
      </c>
      <c r="CK71" s="413">
        <v>0</v>
      </c>
      <c r="CL71" s="413">
        <v>0</v>
      </c>
      <c r="CM71" s="413">
        <v>0</v>
      </c>
      <c r="CN71" s="413">
        <v>0</v>
      </c>
      <c r="CO71" s="414">
        <f t="shared" si="2"/>
        <v>1</v>
      </c>
    </row>
    <row r="72" spans="1:93" s="415" customFormat="1" ht="25.5" x14ac:dyDescent="0.25">
      <c r="A72" s="881" t="s">
        <v>463</v>
      </c>
      <c r="B72" s="862" t="s">
        <v>2245</v>
      </c>
      <c r="C72" s="861" t="s">
        <v>738</v>
      </c>
      <c r="D72" s="862"/>
      <c r="E72" s="861" t="s">
        <v>655</v>
      </c>
      <c r="F72" s="862"/>
      <c r="G72" s="861"/>
      <c r="H72" s="861" t="s">
        <v>654</v>
      </c>
      <c r="I72" s="861" t="s">
        <v>647</v>
      </c>
      <c r="J72" s="861" t="s">
        <v>671</v>
      </c>
      <c r="K72" s="861" t="s">
        <v>649</v>
      </c>
      <c r="L72" s="861" t="s">
        <v>40</v>
      </c>
      <c r="M72" s="861" t="s">
        <v>653</v>
      </c>
      <c r="N72" s="861" t="s">
        <v>645</v>
      </c>
      <c r="O72" s="861"/>
      <c r="P72" s="861"/>
      <c r="Q72" s="861" t="s">
        <v>650</v>
      </c>
      <c r="R72" s="861" t="s">
        <v>652</v>
      </c>
      <c r="S72" s="861" t="s">
        <v>649</v>
      </c>
      <c r="T72" s="861"/>
      <c r="U72" s="861"/>
      <c r="V72" s="861" t="s">
        <v>683</v>
      </c>
      <c r="W72" s="861" t="s">
        <v>677</v>
      </c>
      <c r="X72" s="863">
        <v>44410</v>
      </c>
      <c r="Y72" s="863">
        <v>45089</v>
      </c>
      <c r="Z72" s="864">
        <v>2023</v>
      </c>
      <c r="AA72" s="861"/>
      <c r="AB72" s="861"/>
      <c r="AC72" s="861"/>
      <c r="AD72" s="865"/>
      <c r="AE72" s="865"/>
      <c r="AF72" s="865"/>
      <c r="AG72" s="865"/>
      <c r="AH72" s="865"/>
      <c r="AI72" s="865"/>
      <c r="AJ72" s="865"/>
      <c r="AK72" s="865"/>
      <c r="AL72" s="865"/>
      <c r="AM72" s="865"/>
      <c r="AN72" s="865"/>
      <c r="AO72" s="865"/>
      <c r="AP72" s="865"/>
      <c r="AQ72" s="865"/>
      <c r="AR72" s="865"/>
      <c r="AS72" s="865"/>
      <c r="AT72" s="865"/>
      <c r="AU72" s="865"/>
      <c r="AV72" s="865"/>
      <c r="AW72" s="865">
        <v>0</v>
      </c>
      <c r="AX72" s="865"/>
      <c r="AY72" s="865"/>
      <c r="AZ72" s="865"/>
      <c r="BA72" s="865"/>
      <c r="BB72" s="865"/>
      <c r="BC72" s="865"/>
      <c r="BD72" s="865"/>
      <c r="BE72" s="865"/>
      <c r="BF72" s="865"/>
      <c r="BG72" s="865"/>
      <c r="BH72" s="865">
        <v>899999.99999999965</v>
      </c>
      <c r="BI72" s="865"/>
      <c r="BJ72" s="865"/>
      <c r="BK72" s="865"/>
      <c r="BL72" s="865"/>
      <c r="BM72" s="865"/>
      <c r="BN72" s="865"/>
      <c r="BO72" s="865"/>
      <c r="BP72" s="865"/>
      <c r="BQ72" s="865"/>
      <c r="BR72" s="865"/>
      <c r="BS72" s="865">
        <v>899999.99999999965</v>
      </c>
      <c r="BT72" s="412">
        <f t="shared" si="3"/>
        <v>0</v>
      </c>
      <c r="BU72" s="413">
        <v>0</v>
      </c>
      <c r="BV72" s="413">
        <v>0</v>
      </c>
      <c r="BW72" s="413">
        <v>0</v>
      </c>
      <c r="BX72" s="413">
        <v>1</v>
      </c>
      <c r="BY72" s="413">
        <v>0</v>
      </c>
      <c r="BZ72" s="413">
        <v>0</v>
      </c>
      <c r="CA72" s="413">
        <v>0</v>
      </c>
      <c r="CB72" s="413">
        <v>0</v>
      </c>
      <c r="CC72" s="413">
        <v>0</v>
      </c>
      <c r="CD72" s="413">
        <v>0</v>
      </c>
      <c r="CE72" s="413">
        <v>0</v>
      </c>
      <c r="CF72" s="413">
        <v>0</v>
      </c>
      <c r="CG72" s="413">
        <v>0</v>
      </c>
      <c r="CH72" s="413">
        <v>0</v>
      </c>
      <c r="CI72" s="413">
        <v>0</v>
      </c>
      <c r="CJ72" s="413">
        <v>0</v>
      </c>
      <c r="CK72" s="413">
        <v>0</v>
      </c>
      <c r="CL72" s="413">
        <v>0</v>
      </c>
      <c r="CM72" s="413">
        <v>0</v>
      </c>
      <c r="CN72" s="413">
        <v>0</v>
      </c>
      <c r="CO72" s="414">
        <f t="shared" si="2"/>
        <v>1</v>
      </c>
    </row>
    <row r="73" spans="1:93" s="415" customFormat="1" ht="25.5" x14ac:dyDescent="0.25">
      <c r="A73" s="881" t="s">
        <v>465</v>
      </c>
      <c r="B73" s="862" t="s">
        <v>2246</v>
      </c>
      <c r="C73" s="861" t="s">
        <v>737</v>
      </c>
      <c r="D73" s="862"/>
      <c r="E73" s="861" t="s">
        <v>655</v>
      </c>
      <c r="F73" s="862"/>
      <c r="G73" s="861"/>
      <c r="H73" s="861" t="s">
        <v>654</v>
      </c>
      <c r="I73" s="861" t="s">
        <v>647</v>
      </c>
      <c r="J73" s="861" t="s">
        <v>671</v>
      </c>
      <c r="K73" s="861" t="s">
        <v>649</v>
      </c>
      <c r="L73" s="861" t="s">
        <v>40</v>
      </c>
      <c r="M73" s="861" t="s">
        <v>653</v>
      </c>
      <c r="N73" s="861" t="s">
        <v>645</v>
      </c>
      <c r="O73" s="861"/>
      <c r="P73" s="861"/>
      <c r="Q73" s="861" t="s">
        <v>656</v>
      </c>
      <c r="R73" s="861" t="s">
        <v>652</v>
      </c>
      <c r="S73" s="861" t="s">
        <v>649</v>
      </c>
      <c r="T73" s="861"/>
      <c r="U73" s="861"/>
      <c r="V73" s="861" t="s">
        <v>683</v>
      </c>
      <c r="W73" s="861" t="s">
        <v>677</v>
      </c>
      <c r="X73" s="863">
        <v>44256</v>
      </c>
      <c r="Y73" s="863">
        <v>45099</v>
      </c>
      <c r="Z73" s="864">
        <v>2023</v>
      </c>
      <c r="AA73" s="861"/>
      <c r="AB73" s="861"/>
      <c r="AC73" s="861"/>
      <c r="AD73" s="865"/>
      <c r="AE73" s="865"/>
      <c r="AF73" s="865"/>
      <c r="AG73" s="865"/>
      <c r="AH73" s="865"/>
      <c r="AI73" s="865"/>
      <c r="AJ73" s="865"/>
      <c r="AK73" s="865"/>
      <c r="AL73" s="865"/>
      <c r="AM73" s="865"/>
      <c r="AN73" s="865"/>
      <c r="AO73" s="865"/>
      <c r="AP73" s="865"/>
      <c r="AQ73" s="865"/>
      <c r="AR73" s="865"/>
      <c r="AS73" s="865"/>
      <c r="AT73" s="865"/>
      <c r="AU73" s="865"/>
      <c r="AV73" s="865"/>
      <c r="AW73" s="865">
        <v>0</v>
      </c>
      <c r="AX73" s="865"/>
      <c r="AY73" s="865"/>
      <c r="AZ73" s="865"/>
      <c r="BA73" s="865"/>
      <c r="BB73" s="865"/>
      <c r="BC73" s="865"/>
      <c r="BD73" s="865"/>
      <c r="BE73" s="865"/>
      <c r="BF73" s="865"/>
      <c r="BG73" s="865"/>
      <c r="BH73" s="865">
        <v>1500000.0000000019</v>
      </c>
      <c r="BI73" s="865"/>
      <c r="BJ73" s="865"/>
      <c r="BK73" s="865"/>
      <c r="BL73" s="865"/>
      <c r="BM73" s="865"/>
      <c r="BN73" s="865"/>
      <c r="BO73" s="865"/>
      <c r="BP73" s="865"/>
      <c r="BQ73" s="865"/>
      <c r="BR73" s="865"/>
      <c r="BS73" s="865">
        <v>1500000.0000000019</v>
      </c>
      <c r="BT73" s="412">
        <f>BS73</f>
        <v>1500000.0000000019</v>
      </c>
      <c r="BU73" s="413">
        <v>0</v>
      </c>
      <c r="BV73" s="413">
        <v>0</v>
      </c>
      <c r="BW73" s="413">
        <v>0</v>
      </c>
      <c r="BX73" s="413">
        <v>1</v>
      </c>
      <c r="BY73" s="413">
        <v>0</v>
      </c>
      <c r="BZ73" s="413">
        <v>0</v>
      </c>
      <c r="CA73" s="413">
        <v>0</v>
      </c>
      <c r="CB73" s="413">
        <v>0</v>
      </c>
      <c r="CC73" s="413">
        <v>0</v>
      </c>
      <c r="CD73" s="413">
        <v>0</v>
      </c>
      <c r="CE73" s="413">
        <v>0</v>
      </c>
      <c r="CF73" s="413">
        <v>0</v>
      </c>
      <c r="CG73" s="413">
        <v>0</v>
      </c>
      <c r="CH73" s="413">
        <v>0</v>
      </c>
      <c r="CI73" s="413">
        <v>0</v>
      </c>
      <c r="CJ73" s="413">
        <v>0</v>
      </c>
      <c r="CK73" s="413">
        <v>0</v>
      </c>
      <c r="CL73" s="413">
        <v>0</v>
      </c>
      <c r="CM73" s="413">
        <v>0</v>
      </c>
      <c r="CN73" s="413">
        <v>0</v>
      </c>
      <c r="CO73" s="414">
        <f t="shared" si="2"/>
        <v>1</v>
      </c>
    </row>
    <row r="74" spans="1:93" s="415" customFormat="1" ht="25.5" x14ac:dyDescent="0.25">
      <c r="A74" s="881" t="s">
        <v>470</v>
      </c>
      <c r="B74" s="862" t="s">
        <v>2248</v>
      </c>
      <c r="C74" s="861" t="s">
        <v>735</v>
      </c>
      <c r="D74" s="862"/>
      <c r="E74" s="861" t="s">
        <v>655</v>
      </c>
      <c r="F74" s="862"/>
      <c r="G74" s="861"/>
      <c r="H74" s="861" t="s">
        <v>654</v>
      </c>
      <c r="I74" s="861" t="s">
        <v>647</v>
      </c>
      <c r="J74" s="861" t="s">
        <v>671</v>
      </c>
      <c r="K74" s="861" t="s">
        <v>649</v>
      </c>
      <c r="L74" s="861" t="s">
        <v>40</v>
      </c>
      <c r="M74" s="861" t="s">
        <v>653</v>
      </c>
      <c r="N74" s="861" t="s">
        <v>645</v>
      </c>
      <c r="O74" s="861"/>
      <c r="P74" s="861"/>
      <c r="Q74" s="861" t="s">
        <v>650</v>
      </c>
      <c r="R74" s="861" t="s">
        <v>652</v>
      </c>
      <c r="S74" s="861" t="s">
        <v>649</v>
      </c>
      <c r="T74" s="861"/>
      <c r="U74" s="861"/>
      <c r="V74" s="861" t="s">
        <v>683</v>
      </c>
      <c r="W74" s="861" t="s">
        <v>677</v>
      </c>
      <c r="X74" s="863">
        <v>43325</v>
      </c>
      <c r="Y74" s="863">
        <v>43874</v>
      </c>
      <c r="Z74" s="864">
        <v>2020</v>
      </c>
      <c r="AA74" s="861"/>
      <c r="AB74" s="861"/>
      <c r="AC74" s="861"/>
      <c r="AD74" s="865"/>
      <c r="AE74" s="865"/>
      <c r="AF74" s="865"/>
      <c r="AG74" s="865"/>
      <c r="AH74" s="865"/>
      <c r="AI74" s="865"/>
      <c r="AJ74" s="865"/>
      <c r="AK74" s="865"/>
      <c r="AL74" s="865"/>
      <c r="AM74" s="865"/>
      <c r="AN74" s="865"/>
      <c r="AO74" s="865"/>
      <c r="AP74" s="865"/>
      <c r="AQ74" s="865"/>
      <c r="AR74" s="865"/>
      <c r="AS74" s="865"/>
      <c r="AT74" s="865"/>
      <c r="AU74" s="865"/>
      <c r="AV74" s="865"/>
      <c r="AW74" s="865">
        <v>0</v>
      </c>
      <c r="AX74" s="865"/>
      <c r="AY74" s="865"/>
      <c r="AZ74" s="865"/>
      <c r="BA74" s="865"/>
      <c r="BB74" s="865"/>
      <c r="BC74" s="865"/>
      <c r="BD74" s="865"/>
      <c r="BE74" s="865"/>
      <c r="BF74" s="865"/>
      <c r="BG74" s="865"/>
      <c r="BH74" s="865">
        <v>900000.00000000093</v>
      </c>
      <c r="BI74" s="865"/>
      <c r="BJ74" s="865"/>
      <c r="BK74" s="865"/>
      <c r="BL74" s="865"/>
      <c r="BM74" s="865"/>
      <c r="BN74" s="865"/>
      <c r="BO74" s="865"/>
      <c r="BP74" s="865"/>
      <c r="BQ74" s="865"/>
      <c r="BR74" s="865"/>
      <c r="BS74" s="865">
        <v>900000.00000000093</v>
      </c>
      <c r="BT74" s="412">
        <f t="shared" si="3"/>
        <v>0</v>
      </c>
      <c r="BU74" s="413">
        <v>0</v>
      </c>
      <c r="BV74" s="413">
        <v>0</v>
      </c>
      <c r="BW74" s="413">
        <v>0</v>
      </c>
      <c r="BX74" s="413">
        <v>1</v>
      </c>
      <c r="BY74" s="413">
        <v>0</v>
      </c>
      <c r="BZ74" s="413">
        <v>0</v>
      </c>
      <c r="CA74" s="413">
        <v>0</v>
      </c>
      <c r="CB74" s="413">
        <v>0</v>
      </c>
      <c r="CC74" s="413">
        <v>0</v>
      </c>
      <c r="CD74" s="413">
        <v>0</v>
      </c>
      <c r="CE74" s="413">
        <v>0</v>
      </c>
      <c r="CF74" s="413">
        <v>0</v>
      </c>
      <c r="CG74" s="413">
        <v>0</v>
      </c>
      <c r="CH74" s="413">
        <v>0</v>
      </c>
      <c r="CI74" s="413">
        <v>0</v>
      </c>
      <c r="CJ74" s="413">
        <v>0</v>
      </c>
      <c r="CK74" s="413">
        <v>0</v>
      </c>
      <c r="CL74" s="413">
        <v>0</v>
      </c>
      <c r="CM74" s="413">
        <v>0</v>
      </c>
      <c r="CN74" s="413">
        <v>0</v>
      </c>
      <c r="CO74" s="414">
        <f t="shared" si="2"/>
        <v>1</v>
      </c>
    </row>
    <row r="75" spans="1:93" s="415" customFormat="1" ht="25.5" x14ac:dyDescent="0.25">
      <c r="A75" s="881" t="s">
        <v>473</v>
      </c>
      <c r="B75" s="862" t="s">
        <v>2866</v>
      </c>
      <c r="C75" s="861" t="s">
        <v>2486</v>
      </c>
      <c r="D75" s="862"/>
      <c r="E75" s="861" t="s">
        <v>655</v>
      </c>
      <c r="F75" s="862"/>
      <c r="G75" s="861"/>
      <c r="H75" s="861" t="s">
        <v>654</v>
      </c>
      <c r="I75" s="861" t="s">
        <v>647</v>
      </c>
      <c r="J75" s="861" t="s">
        <v>671</v>
      </c>
      <c r="K75" s="861" t="s">
        <v>649</v>
      </c>
      <c r="L75" s="861" t="s">
        <v>55</v>
      </c>
      <c r="M75" s="861" t="s">
        <v>653</v>
      </c>
      <c r="N75" s="861" t="s">
        <v>645</v>
      </c>
      <c r="O75" s="861"/>
      <c r="P75" s="861"/>
      <c r="Q75" s="861" t="s">
        <v>650</v>
      </c>
      <c r="R75" s="861" t="s">
        <v>652</v>
      </c>
      <c r="S75" s="861" t="s">
        <v>649</v>
      </c>
      <c r="T75" s="861"/>
      <c r="U75" s="861"/>
      <c r="V75" s="861" t="s">
        <v>683</v>
      </c>
      <c r="W75" s="861" t="s">
        <v>677</v>
      </c>
      <c r="X75" s="863">
        <v>43374</v>
      </c>
      <c r="Y75" s="863">
        <v>43754</v>
      </c>
      <c r="Z75" s="864">
        <v>2020</v>
      </c>
      <c r="AA75" s="861"/>
      <c r="AB75" s="861"/>
      <c r="AC75" s="861"/>
      <c r="AD75" s="865"/>
      <c r="AE75" s="865"/>
      <c r="AF75" s="865"/>
      <c r="AG75" s="865"/>
      <c r="AH75" s="865"/>
      <c r="AI75" s="865"/>
      <c r="AJ75" s="865"/>
      <c r="AK75" s="865"/>
      <c r="AL75" s="865"/>
      <c r="AM75" s="865"/>
      <c r="AN75" s="865"/>
      <c r="AO75" s="865"/>
      <c r="AP75" s="865"/>
      <c r="AQ75" s="865"/>
      <c r="AR75" s="865"/>
      <c r="AS75" s="865"/>
      <c r="AT75" s="865"/>
      <c r="AU75" s="865"/>
      <c r="AV75" s="865"/>
      <c r="AW75" s="865">
        <v>25000</v>
      </c>
      <c r="AX75" s="865"/>
      <c r="AY75" s="865"/>
      <c r="AZ75" s="865"/>
      <c r="BA75" s="865"/>
      <c r="BB75" s="865"/>
      <c r="BC75" s="865"/>
      <c r="BD75" s="865"/>
      <c r="BE75" s="865"/>
      <c r="BF75" s="865"/>
      <c r="BG75" s="865"/>
      <c r="BH75" s="865">
        <v>475000.00000000006</v>
      </c>
      <c r="BI75" s="865"/>
      <c r="BJ75" s="865"/>
      <c r="BK75" s="865"/>
      <c r="BL75" s="865"/>
      <c r="BM75" s="865"/>
      <c r="BN75" s="865"/>
      <c r="BO75" s="865"/>
      <c r="BP75" s="865"/>
      <c r="BQ75" s="865"/>
      <c r="BR75" s="865"/>
      <c r="BS75" s="865">
        <v>500000.00000000006</v>
      </c>
      <c r="BT75" s="412">
        <f t="shared" si="3"/>
        <v>25000</v>
      </c>
      <c r="BU75" s="413">
        <v>0</v>
      </c>
      <c r="BV75" s="413">
        <v>0</v>
      </c>
      <c r="BW75" s="413">
        <v>0</v>
      </c>
      <c r="BX75" s="413">
        <v>1</v>
      </c>
      <c r="BY75" s="413">
        <v>0</v>
      </c>
      <c r="BZ75" s="413">
        <v>0</v>
      </c>
      <c r="CA75" s="413">
        <v>0</v>
      </c>
      <c r="CB75" s="413">
        <v>0</v>
      </c>
      <c r="CC75" s="413">
        <v>0</v>
      </c>
      <c r="CD75" s="413">
        <v>0</v>
      </c>
      <c r="CE75" s="413">
        <v>0</v>
      </c>
      <c r="CF75" s="413">
        <v>0</v>
      </c>
      <c r="CG75" s="413">
        <v>0</v>
      </c>
      <c r="CH75" s="413">
        <v>0</v>
      </c>
      <c r="CI75" s="413">
        <v>0</v>
      </c>
      <c r="CJ75" s="413">
        <v>0</v>
      </c>
      <c r="CK75" s="413">
        <v>0</v>
      </c>
      <c r="CL75" s="413">
        <v>0</v>
      </c>
      <c r="CM75" s="413">
        <v>0</v>
      </c>
      <c r="CN75" s="413">
        <v>0</v>
      </c>
      <c r="CO75" s="414">
        <f t="shared" si="2"/>
        <v>1</v>
      </c>
    </row>
    <row r="76" spans="1:93" s="415" customFormat="1" ht="25.5" x14ac:dyDescent="0.25">
      <c r="A76" s="881" t="s">
        <v>481</v>
      </c>
      <c r="B76" s="862" t="s">
        <v>2869</v>
      </c>
      <c r="C76" s="861" t="s">
        <v>2677</v>
      </c>
      <c r="D76" s="862"/>
      <c r="E76" s="861" t="s">
        <v>655</v>
      </c>
      <c r="F76" s="862"/>
      <c r="G76" s="861" t="s">
        <v>722</v>
      </c>
      <c r="H76" s="861" t="s">
        <v>654</v>
      </c>
      <c r="I76" s="861" t="s">
        <v>647</v>
      </c>
      <c r="J76" s="861" t="s">
        <v>641</v>
      </c>
      <c r="K76" s="861" t="s">
        <v>649</v>
      </c>
      <c r="L76" s="861" t="s">
        <v>60</v>
      </c>
      <c r="M76" s="861" t="s">
        <v>653</v>
      </c>
      <c r="N76" s="861" t="s">
        <v>680</v>
      </c>
      <c r="O76" s="861"/>
      <c r="P76" s="861" t="s">
        <v>643</v>
      </c>
      <c r="Q76" s="861" t="s">
        <v>656</v>
      </c>
      <c r="R76" s="861" t="s">
        <v>652</v>
      </c>
      <c r="S76" s="861" t="s">
        <v>649</v>
      </c>
      <c r="T76" s="861"/>
      <c r="U76" s="861"/>
      <c r="V76" s="861" t="s">
        <v>641</v>
      </c>
      <c r="W76" s="861" t="s">
        <v>684</v>
      </c>
      <c r="X76" s="863">
        <v>44013</v>
      </c>
      <c r="Y76" s="863">
        <v>44377</v>
      </c>
      <c r="Z76" s="864">
        <v>2021</v>
      </c>
      <c r="AA76" s="861" t="s">
        <v>676</v>
      </c>
      <c r="AB76" s="861"/>
      <c r="AC76" s="861"/>
      <c r="AD76" s="865"/>
      <c r="AE76" s="865"/>
      <c r="AF76" s="865"/>
      <c r="AG76" s="865">
        <v>2094357.9999999995</v>
      </c>
      <c r="AH76" s="865"/>
      <c r="AI76" s="865"/>
      <c r="AJ76" s="865"/>
      <c r="AK76" s="865"/>
      <c r="AL76" s="865"/>
      <c r="AM76" s="865"/>
      <c r="AN76" s="865"/>
      <c r="AO76" s="865"/>
      <c r="AP76" s="865"/>
      <c r="AQ76" s="865"/>
      <c r="AR76" s="865"/>
      <c r="AS76" s="865"/>
      <c r="AT76" s="865"/>
      <c r="AU76" s="865"/>
      <c r="AV76" s="865"/>
      <c r="AW76" s="865"/>
      <c r="AX76" s="865"/>
      <c r="AY76" s="865"/>
      <c r="AZ76" s="865"/>
      <c r="BA76" s="865"/>
      <c r="BB76" s="865"/>
      <c r="BC76" s="865"/>
      <c r="BD76" s="865"/>
      <c r="BE76" s="865"/>
      <c r="BF76" s="865"/>
      <c r="BG76" s="865"/>
      <c r="BH76" s="865">
        <v>105641.85349198889</v>
      </c>
      <c r="BI76" s="865"/>
      <c r="BJ76" s="865"/>
      <c r="BK76" s="865"/>
      <c r="BL76" s="865"/>
      <c r="BM76" s="865"/>
      <c r="BN76" s="865"/>
      <c r="BO76" s="865"/>
      <c r="BP76" s="865"/>
      <c r="BQ76" s="865"/>
      <c r="BR76" s="865"/>
      <c r="BS76" s="865">
        <v>2199999.8534919885</v>
      </c>
      <c r="BT76" s="412">
        <f t="shared" si="3"/>
        <v>2094357.9999999995</v>
      </c>
      <c r="BU76" s="413">
        <v>0</v>
      </c>
      <c r="BV76" s="413">
        <v>0</v>
      </c>
      <c r="BW76" s="413">
        <v>0</v>
      </c>
      <c r="BX76" s="413">
        <v>0</v>
      </c>
      <c r="BY76" s="413">
        <v>0</v>
      </c>
      <c r="BZ76" s="413">
        <v>0</v>
      </c>
      <c r="CA76" s="413">
        <v>0</v>
      </c>
      <c r="CB76" s="413">
        <v>0</v>
      </c>
      <c r="CC76" s="413">
        <v>0</v>
      </c>
      <c r="CD76" s="413">
        <v>1</v>
      </c>
      <c r="CE76" s="413">
        <v>0</v>
      </c>
      <c r="CF76" s="413">
        <v>0</v>
      </c>
      <c r="CG76" s="413">
        <v>0</v>
      </c>
      <c r="CH76" s="413">
        <v>0</v>
      </c>
      <c r="CI76" s="413">
        <v>0</v>
      </c>
      <c r="CJ76" s="413">
        <v>0</v>
      </c>
      <c r="CK76" s="413">
        <v>0</v>
      </c>
      <c r="CL76" s="413">
        <v>0</v>
      </c>
      <c r="CM76" s="413">
        <v>0</v>
      </c>
      <c r="CN76" s="413">
        <v>0</v>
      </c>
      <c r="CO76" s="414">
        <f t="shared" si="2"/>
        <v>1</v>
      </c>
    </row>
    <row r="77" spans="1:93" s="415" customFormat="1" ht="25.5" x14ac:dyDescent="0.25">
      <c r="A77" s="881" t="s">
        <v>483</v>
      </c>
      <c r="B77" s="862" t="s">
        <v>2870</v>
      </c>
      <c r="C77" s="861" t="s">
        <v>2678</v>
      </c>
      <c r="D77" s="862"/>
      <c r="E77" s="861" t="s">
        <v>655</v>
      </c>
      <c r="F77" s="862"/>
      <c r="G77" s="861" t="s">
        <v>722</v>
      </c>
      <c r="H77" s="861" t="s">
        <v>654</v>
      </c>
      <c r="I77" s="861" t="s">
        <v>647</v>
      </c>
      <c r="J77" s="861" t="s">
        <v>641</v>
      </c>
      <c r="K77" s="861" t="s">
        <v>649</v>
      </c>
      <c r="L77" s="861" t="s">
        <v>60</v>
      </c>
      <c r="M77" s="861" t="s">
        <v>653</v>
      </c>
      <c r="N77" s="861" t="s">
        <v>680</v>
      </c>
      <c r="O77" s="861"/>
      <c r="P77" s="861" t="s">
        <v>643</v>
      </c>
      <c r="Q77" s="861" t="s">
        <v>656</v>
      </c>
      <c r="R77" s="861" t="s">
        <v>652</v>
      </c>
      <c r="S77" s="861" t="s">
        <v>649</v>
      </c>
      <c r="T77" s="861"/>
      <c r="U77" s="861"/>
      <c r="V77" s="861" t="s">
        <v>641</v>
      </c>
      <c r="W77" s="861" t="s">
        <v>684</v>
      </c>
      <c r="X77" s="863">
        <v>44378</v>
      </c>
      <c r="Y77" s="863">
        <v>44739</v>
      </c>
      <c r="Z77" s="864">
        <v>2022</v>
      </c>
      <c r="AA77" s="861" t="s">
        <v>676</v>
      </c>
      <c r="AB77" s="861"/>
      <c r="AC77" s="861"/>
      <c r="AD77" s="865"/>
      <c r="AE77" s="865"/>
      <c r="AF77" s="865"/>
      <c r="AG77" s="865">
        <v>2094358.0000000005</v>
      </c>
      <c r="AH77" s="865"/>
      <c r="AI77" s="865"/>
      <c r="AJ77" s="865"/>
      <c r="AK77" s="865"/>
      <c r="AL77" s="865"/>
      <c r="AM77" s="865"/>
      <c r="AN77" s="865"/>
      <c r="AO77" s="865"/>
      <c r="AP77" s="865"/>
      <c r="AQ77" s="865"/>
      <c r="AR77" s="865"/>
      <c r="AS77" s="865"/>
      <c r="AT77" s="865"/>
      <c r="AU77" s="865"/>
      <c r="AV77" s="865"/>
      <c r="AW77" s="865"/>
      <c r="AX77" s="865"/>
      <c r="AY77" s="865"/>
      <c r="AZ77" s="865"/>
      <c r="BA77" s="865"/>
      <c r="BB77" s="865"/>
      <c r="BC77" s="865"/>
      <c r="BD77" s="865"/>
      <c r="BE77" s="865"/>
      <c r="BF77" s="865"/>
      <c r="BG77" s="865"/>
      <c r="BH77" s="865">
        <v>105641.85349198894</v>
      </c>
      <c r="BI77" s="865"/>
      <c r="BJ77" s="865"/>
      <c r="BK77" s="865"/>
      <c r="BL77" s="865"/>
      <c r="BM77" s="865"/>
      <c r="BN77" s="865"/>
      <c r="BO77" s="865"/>
      <c r="BP77" s="865"/>
      <c r="BQ77" s="865"/>
      <c r="BR77" s="865"/>
      <c r="BS77" s="865">
        <v>2199999.8534919894</v>
      </c>
      <c r="BT77" s="412">
        <f t="shared" si="3"/>
        <v>2094358.0000000005</v>
      </c>
      <c r="BU77" s="413">
        <v>0</v>
      </c>
      <c r="BV77" s="413">
        <v>0</v>
      </c>
      <c r="BW77" s="413">
        <v>0</v>
      </c>
      <c r="BX77" s="413">
        <v>0</v>
      </c>
      <c r="BY77" s="413">
        <v>0</v>
      </c>
      <c r="BZ77" s="413">
        <v>0</v>
      </c>
      <c r="CA77" s="413">
        <v>0</v>
      </c>
      <c r="CB77" s="413">
        <v>0</v>
      </c>
      <c r="CC77" s="413">
        <v>0</v>
      </c>
      <c r="CD77" s="413">
        <v>1</v>
      </c>
      <c r="CE77" s="413">
        <v>0</v>
      </c>
      <c r="CF77" s="413">
        <v>0</v>
      </c>
      <c r="CG77" s="413">
        <v>0</v>
      </c>
      <c r="CH77" s="413">
        <v>0</v>
      </c>
      <c r="CI77" s="413">
        <v>0</v>
      </c>
      <c r="CJ77" s="413">
        <v>0</v>
      </c>
      <c r="CK77" s="413">
        <v>0</v>
      </c>
      <c r="CL77" s="413">
        <v>0</v>
      </c>
      <c r="CM77" s="413">
        <v>0</v>
      </c>
      <c r="CN77" s="413">
        <v>0</v>
      </c>
      <c r="CO77" s="414">
        <f t="shared" si="2"/>
        <v>1</v>
      </c>
    </row>
    <row r="78" spans="1:93" s="415" customFormat="1" ht="25.5" x14ac:dyDescent="0.25">
      <c r="A78" s="881" t="s">
        <v>485</v>
      </c>
      <c r="B78" s="862" t="s">
        <v>2871</v>
      </c>
      <c r="C78" s="861" t="s">
        <v>2679</v>
      </c>
      <c r="D78" s="862"/>
      <c r="E78" s="861" t="s">
        <v>655</v>
      </c>
      <c r="F78" s="862"/>
      <c r="G78" s="861" t="s">
        <v>722</v>
      </c>
      <c r="H78" s="861" t="s">
        <v>654</v>
      </c>
      <c r="I78" s="861" t="s">
        <v>647</v>
      </c>
      <c r="J78" s="861" t="s">
        <v>641</v>
      </c>
      <c r="K78" s="861" t="s">
        <v>649</v>
      </c>
      <c r="L78" s="861" t="s">
        <v>60</v>
      </c>
      <c r="M78" s="861" t="s">
        <v>653</v>
      </c>
      <c r="N78" s="861" t="s">
        <v>680</v>
      </c>
      <c r="O78" s="861"/>
      <c r="P78" s="861" t="s">
        <v>643</v>
      </c>
      <c r="Q78" s="861" t="s">
        <v>656</v>
      </c>
      <c r="R78" s="861" t="s">
        <v>652</v>
      </c>
      <c r="S78" s="861" t="s">
        <v>649</v>
      </c>
      <c r="T78" s="861"/>
      <c r="U78" s="861"/>
      <c r="V78" s="861" t="s">
        <v>641</v>
      </c>
      <c r="W78" s="861" t="s">
        <v>684</v>
      </c>
      <c r="X78" s="863">
        <v>44743</v>
      </c>
      <c r="Y78" s="863">
        <v>45107</v>
      </c>
      <c r="Z78" s="864">
        <v>2023</v>
      </c>
      <c r="AA78" s="861" t="s">
        <v>676</v>
      </c>
      <c r="AB78" s="861"/>
      <c r="AC78" s="861"/>
      <c r="AD78" s="865"/>
      <c r="AE78" s="865"/>
      <c r="AF78" s="865"/>
      <c r="AG78" s="865">
        <v>2094358</v>
      </c>
      <c r="AH78" s="865"/>
      <c r="AI78" s="865"/>
      <c r="AJ78" s="865"/>
      <c r="AK78" s="865"/>
      <c r="AL78" s="865"/>
      <c r="AM78" s="865"/>
      <c r="AN78" s="865"/>
      <c r="AO78" s="865"/>
      <c r="AP78" s="865"/>
      <c r="AQ78" s="865"/>
      <c r="AR78" s="865"/>
      <c r="AS78" s="865"/>
      <c r="AT78" s="865"/>
      <c r="AU78" s="865"/>
      <c r="AV78" s="865"/>
      <c r="AW78" s="865"/>
      <c r="AX78" s="865"/>
      <c r="AY78" s="865"/>
      <c r="AZ78" s="865"/>
      <c r="BA78" s="865"/>
      <c r="BB78" s="865"/>
      <c r="BC78" s="865"/>
      <c r="BD78" s="865"/>
      <c r="BE78" s="865"/>
      <c r="BF78" s="865"/>
      <c r="BG78" s="865"/>
      <c r="BH78" s="865">
        <v>105641.85349198891</v>
      </c>
      <c r="BI78" s="865"/>
      <c r="BJ78" s="865"/>
      <c r="BK78" s="865"/>
      <c r="BL78" s="865"/>
      <c r="BM78" s="865"/>
      <c r="BN78" s="865"/>
      <c r="BO78" s="865"/>
      <c r="BP78" s="865"/>
      <c r="BQ78" s="865"/>
      <c r="BR78" s="865"/>
      <c r="BS78" s="865">
        <v>2199999.853491989</v>
      </c>
      <c r="BT78" s="412">
        <f t="shared" si="3"/>
        <v>2094358</v>
      </c>
      <c r="BU78" s="413">
        <v>0</v>
      </c>
      <c r="BV78" s="413">
        <v>0</v>
      </c>
      <c r="BW78" s="413">
        <v>0</v>
      </c>
      <c r="BX78" s="413">
        <v>0</v>
      </c>
      <c r="BY78" s="413">
        <v>0</v>
      </c>
      <c r="BZ78" s="413">
        <v>0</v>
      </c>
      <c r="CA78" s="413">
        <v>0</v>
      </c>
      <c r="CB78" s="413">
        <v>0</v>
      </c>
      <c r="CC78" s="413">
        <v>0</v>
      </c>
      <c r="CD78" s="413">
        <v>1</v>
      </c>
      <c r="CE78" s="413">
        <v>0</v>
      </c>
      <c r="CF78" s="413">
        <v>0</v>
      </c>
      <c r="CG78" s="413">
        <v>0</v>
      </c>
      <c r="CH78" s="413">
        <v>0</v>
      </c>
      <c r="CI78" s="413">
        <v>0</v>
      </c>
      <c r="CJ78" s="413">
        <v>0</v>
      </c>
      <c r="CK78" s="413">
        <v>0</v>
      </c>
      <c r="CL78" s="413">
        <v>0</v>
      </c>
      <c r="CM78" s="413">
        <v>0</v>
      </c>
      <c r="CN78" s="413">
        <v>0</v>
      </c>
      <c r="CO78" s="414">
        <f t="shared" si="2"/>
        <v>1</v>
      </c>
    </row>
    <row r="79" spans="1:93" s="415" customFormat="1" ht="25.5" x14ac:dyDescent="0.25">
      <c r="A79" s="881" t="s">
        <v>491</v>
      </c>
      <c r="B79" s="862" t="s">
        <v>2872</v>
      </c>
      <c r="C79" s="861" t="s">
        <v>2488</v>
      </c>
      <c r="D79" s="862"/>
      <c r="E79" s="861"/>
      <c r="F79" s="862"/>
      <c r="G79" s="861"/>
      <c r="H79" s="861" t="s">
        <v>654</v>
      </c>
      <c r="I79" s="861" t="s">
        <v>647</v>
      </c>
      <c r="J79" s="861" t="s">
        <v>641</v>
      </c>
      <c r="K79" s="861" t="s">
        <v>663</v>
      </c>
      <c r="L79" s="861" t="s">
        <v>40</v>
      </c>
      <c r="M79" s="861" t="s">
        <v>653</v>
      </c>
      <c r="N79" s="861" t="s">
        <v>680</v>
      </c>
      <c r="O79" s="861"/>
      <c r="P79" s="861" t="s">
        <v>643</v>
      </c>
      <c r="Q79" s="861" t="s">
        <v>642</v>
      </c>
      <c r="R79" s="861" t="s">
        <v>652</v>
      </c>
      <c r="S79" s="861" t="s">
        <v>649</v>
      </c>
      <c r="T79" s="861"/>
      <c r="U79" s="861" t="s">
        <v>689</v>
      </c>
      <c r="V79" s="861" t="s">
        <v>641</v>
      </c>
      <c r="W79" s="861" t="s">
        <v>694</v>
      </c>
      <c r="X79" s="863">
        <v>42919</v>
      </c>
      <c r="Y79" s="863">
        <v>45097</v>
      </c>
      <c r="Z79" s="864">
        <v>2023</v>
      </c>
      <c r="AA79" s="861" t="s">
        <v>663</v>
      </c>
      <c r="AB79" s="861"/>
      <c r="AC79" s="861" t="s">
        <v>663</v>
      </c>
      <c r="AD79" s="865"/>
      <c r="AE79" s="865"/>
      <c r="AF79" s="865"/>
      <c r="AG79" s="865"/>
      <c r="AH79" s="865"/>
      <c r="AI79" s="865"/>
      <c r="AJ79" s="865"/>
      <c r="AK79" s="865"/>
      <c r="AL79" s="865">
        <v>14944199.999999996</v>
      </c>
      <c r="AM79" s="865"/>
      <c r="AN79" s="865"/>
      <c r="AO79" s="865"/>
      <c r="AP79" s="865"/>
      <c r="AQ79" s="865"/>
      <c r="AR79" s="865">
        <v>304800</v>
      </c>
      <c r="AS79" s="865"/>
      <c r="AT79" s="865"/>
      <c r="AU79" s="865"/>
      <c r="AV79" s="865"/>
      <c r="AW79" s="865"/>
      <c r="AX79" s="865"/>
      <c r="AY79" s="865"/>
      <c r="AZ79" s="865"/>
      <c r="BA79" s="865"/>
      <c r="BB79" s="865"/>
      <c r="BC79" s="865">
        <v>2287350</v>
      </c>
      <c r="BD79" s="865"/>
      <c r="BE79" s="865">
        <v>2367407.25</v>
      </c>
      <c r="BF79" s="865">
        <v>54735.332437500008</v>
      </c>
      <c r="BG79" s="865">
        <v>1689865.9999999998</v>
      </c>
      <c r="BH79" s="865">
        <v>6556044.4117020015</v>
      </c>
      <c r="BI79" s="865"/>
      <c r="BJ79" s="865"/>
      <c r="BK79" s="865"/>
      <c r="BL79" s="865"/>
      <c r="BM79" s="865"/>
      <c r="BN79" s="865"/>
      <c r="BO79" s="865"/>
      <c r="BP79" s="865"/>
      <c r="BQ79" s="865"/>
      <c r="BR79" s="865"/>
      <c r="BS79" s="865">
        <v>28204402.9941395</v>
      </c>
      <c r="BT79" s="412">
        <f t="shared" si="3"/>
        <v>15248999.999999996</v>
      </c>
      <c r="BU79" s="413">
        <v>0</v>
      </c>
      <c r="BV79" s="413">
        <v>0</v>
      </c>
      <c r="BW79" s="413">
        <v>1.9988195947275238E-2</v>
      </c>
      <c r="BX79" s="413">
        <v>0</v>
      </c>
      <c r="BY79" s="413">
        <v>0</v>
      </c>
      <c r="BZ79" s="413">
        <v>0</v>
      </c>
      <c r="CA79" s="413">
        <v>0</v>
      </c>
      <c r="CB79" s="413">
        <v>0</v>
      </c>
      <c r="CC79" s="413">
        <v>0</v>
      </c>
      <c r="CD79" s="413">
        <v>0</v>
      </c>
      <c r="CE79" s="413">
        <v>0</v>
      </c>
      <c r="CF79" s="413">
        <v>0</v>
      </c>
      <c r="CG79" s="413">
        <v>0</v>
      </c>
      <c r="CH79" s="413">
        <v>0</v>
      </c>
      <c r="CI79" s="413">
        <v>0.98001180405272481</v>
      </c>
      <c r="CJ79" s="413">
        <v>0</v>
      </c>
      <c r="CK79" s="413">
        <v>0</v>
      </c>
      <c r="CL79" s="413">
        <v>0</v>
      </c>
      <c r="CM79" s="413">
        <v>0</v>
      </c>
      <c r="CN79" s="413">
        <v>0</v>
      </c>
      <c r="CO79" s="414">
        <f t="shared" si="2"/>
        <v>1</v>
      </c>
    </row>
    <row r="80" spans="1:93" s="415" customFormat="1" ht="25.5" x14ac:dyDescent="0.25">
      <c r="A80" s="881" t="s">
        <v>493</v>
      </c>
      <c r="B80" s="862" t="s">
        <v>2873</v>
      </c>
      <c r="C80" s="861" t="s">
        <v>730</v>
      </c>
      <c r="D80" s="862"/>
      <c r="E80" s="861" t="s">
        <v>655</v>
      </c>
      <c r="F80" s="862"/>
      <c r="G80" s="861"/>
      <c r="H80" s="861" t="s">
        <v>654</v>
      </c>
      <c r="I80" s="861" t="s">
        <v>647</v>
      </c>
      <c r="J80" s="861" t="s">
        <v>641</v>
      </c>
      <c r="K80" s="861" t="s">
        <v>649</v>
      </c>
      <c r="L80" s="861" t="s">
        <v>40</v>
      </c>
      <c r="M80" s="861" t="s">
        <v>653</v>
      </c>
      <c r="N80" s="861" t="s">
        <v>680</v>
      </c>
      <c r="O80" s="861"/>
      <c r="P80" s="861" t="s">
        <v>643</v>
      </c>
      <c r="Q80" s="861" t="s">
        <v>642</v>
      </c>
      <c r="R80" s="861" t="s">
        <v>652</v>
      </c>
      <c r="S80" s="861" t="s">
        <v>649</v>
      </c>
      <c r="T80" s="861"/>
      <c r="U80" s="861" t="s">
        <v>689</v>
      </c>
      <c r="V80" s="861" t="s">
        <v>641</v>
      </c>
      <c r="W80" s="861" t="s">
        <v>729</v>
      </c>
      <c r="X80" s="863">
        <v>43282</v>
      </c>
      <c r="Y80" s="863">
        <v>45107</v>
      </c>
      <c r="Z80" s="864">
        <v>2023</v>
      </c>
      <c r="AA80" s="861" t="s">
        <v>663</v>
      </c>
      <c r="AB80" s="861"/>
      <c r="AC80" s="861" t="s">
        <v>663</v>
      </c>
      <c r="AD80" s="865"/>
      <c r="AE80" s="865"/>
      <c r="AF80" s="865"/>
      <c r="AG80" s="865">
        <v>1998570.2832779991</v>
      </c>
      <c r="AH80" s="865"/>
      <c r="AI80" s="865">
        <v>141224.82639989498</v>
      </c>
      <c r="AJ80" s="865"/>
      <c r="AK80" s="865"/>
      <c r="AL80" s="865">
        <v>82000</v>
      </c>
      <c r="AM80" s="865"/>
      <c r="AN80" s="865"/>
      <c r="AO80" s="865">
        <v>0</v>
      </c>
      <c r="AP80" s="865"/>
      <c r="AQ80" s="865"/>
      <c r="AR80" s="865"/>
      <c r="AS80" s="865"/>
      <c r="AT80" s="865"/>
      <c r="AU80" s="865"/>
      <c r="AV80" s="865"/>
      <c r="AW80" s="865"/>
      <c r="AX80" s="865"/>
      <c r="AY80" s="865"/>
      <c r="AZ80" s="865"/>
      <c r="BA80" s="865"/>
      <c r="BB80" s="865"/>
      <c r="BC80" s="865">
        <v>165841.77167668423</v>
      </c>
      <c r="BD80" s="865">
        <v>110561.18111778949</v>
      </c>
      <c r="BE80" s="865">
        <v>186571.9931362698</v>
      </c>
      <c r="BF80" s="865">
        <v>6811.1176529237573</v>
      </c>
      <c r="BG80" s="865">
        <v>64735.023617796993</v>
      </c>
      <c r="BH80" s="865">
        <v>771738.61002811929</v>
      </c>
      <c r="BI80" s="865"/>
      <c r="BJ80" s="865"/>
      <c r="BK80" s="865"/>
      <c r="BL80" s="865"/>
      <c r="BM80" s="865"/>
      <c r="BN80" s="865"/>
      <c r="BO80" s="865"/>
      <c r="BP80" s="865">
        <v>1000000</v>
      </c>
      <c r="BQ80" s="865"/>
      <c r="BR80" s="865"/>
      <c r="BS80" s="865">
        <v>4528054.8069074769</v>
      </c>
      <c r="BT80" s="412">
        <f t="shared" si="3"/>
        <v>2221795.109677894</v>
      </c>
      <c r="BU80" s="413">
        <v>0</v>
      </c>
      <c r="BV80" s="413">
        <v>0</v>
      </c>
      <c r="BW80" s="413">
        <v>0</v>
      </c>
      <c r="BX80" s="413">
        <v>0</v>
      </c>
      <c r="BY80" s="413">
        <v>0</v>
      </c>
      <c r="BZ80" s="413">
        <v>0</v>
      </c>
      <c r="CA80" s="413">
        <v>0</v>
      </c>
      <c r="CB80" s="413">
        <v>0</v>
      </c>
      <c r="CC80" s="413">
        <v>0</v>
      </c>
      <c r="CD80" s="413">
        <v>0.89952951762853728</v>
      </c>
      <c r="CE80" s="413">
        <v>0</v>
      </c>
      <c r="CF80" s="413">
        <v>6.3563388804275991E-2</v>
      </c>
      <c r="CG80" s="413">
        <v>0</v>
      </c>
      <c r="CH80" s="413">
        <v>0</v>
      </c>
      <c r="CI80" s="413">
        <v>3.6907093567186758E-2</v>
      </c>
      <c r="CJ80" s="413">
        <v>0</v>
      </c>
      <c r="CK80" s="413">
        <v>0</v>
      </c>
      <c r="CL80" s="413">
        <v>0</v>
      </c>
      <c r="CM80" s="413">
        <v>0</v>
      </c>
      <c r="CN80" s="413">
        <v>0</v>
      </c>
      <c r="CO80" s="414">
        <f t="shared" si="2"/>
        <v>1</v>
      </c>
    </row>
    <row r="81" spans="1:93" s="415" customFormat="1" ht="25.5" x14ac:dyDescent="0.25">
      <c r="A81" s="881" t="s">
        <v>495</v>
      </c>
      <c r="B81" s="862" t="s">
        <v>2874</v>
      </c>
      <c r="C81" s="861" t="s">
        <v>2489</v>
      </c>
      <c r="D81" s="862"/>
      <c r="E81" s="861"/>
      <c r="F81" s="862"/>
      <c r="G81" s="861"/>
      <c r="H81" s="861" t="s">
        <v>654</v>
      </c>
      <c r="I81" s="861" t="s">
        <v>647</v>
      </c>
      <c r="J81" s="861" t="s">
        <v>641</v>
      </c>
      <c r="K81" s="861" t="s">
        <v>649</v>
      </c>
      <c r="L81" s="861" t="s">
        <v>40</v>
      </c>
      <c r="M81" s="861" t="s">
        <v>653</v>
      </c>
      <c r="N81" s="861" t="s">
        <v>680</v>
      </c>
      <c r="O81" s="861"/>
      <c r="P81" s="861" t="s">
        <v>643</v>
      </c>
      <c r="Q81" s="861" t="s">
        <v>656</v>
      </c>
      <c r="R81" s="861" t="s">
        <v>652</v>
      </c>
      <c r="S81" s="861" t="s">
        <v>649</v>
      </c>
      <c r="T81" s="861"/>
      <c r="U81" s="861" t="s">
        <v>689</v>
      </c>
      <c r="V81" s="861" t="s">
        <v>641</v>
      </c>
      <c r="W81" s="861" t="s">
        <v>694</v>
      </c>
      <c r="X81" s="863">
        <v>43282</v>
      </c>
      <c r="Y81" s="863">
        <v>45107</v>
      </c>
      <c r="Z81" s="864">
        <v>2023</v>
      </c>
      <c r="AA81" s="861" t="s">
        <v>663</v>
      </c>
      <c r="AB81" s="861"/>
      <c r="AC81" s="861" t="s">
        <v>663</v>
      </c>
      <c r="AD81" s="865"/>
      <c r="AE81" s="865"/>
      <c r="AF81" s="865"/>
      <c r="AG81" s="865">
        <v>2749405.537</v>
      </c>
      <c r="AH81" s="865"/>
      <c r="AI81" s="865">
        <v>69144.603199998994</v>
      </c>
      <c r="AJ81" s="865"/>
      <c r="AK81" s="865"/>
      <c r="AL81" s="865">
        <v>240000.00000000003</v>
      </c>
      <c r="AM81" s="865"/>
      <c r="AN81" s="865"/>
      <c r="AO81" s="865"/>
      <c r="AP81" s="865"/>
      <c r="AQ81" s="865"/>
      <c r="AR81" s="865"/>
      <c r="AS81" s="865"/>
      <c r="AT81" s="865"/>
      <c r="AU81" s="865"/>
      <c r="AV81" s="865"/>
      <c r="AW81" s="865"/>
      <c r="AX81" s="865"/>
      <c r="AY81" s="865"/>
      <c r="AZ81" s="865"/>
      <c r="BA81" s="865"/>
      <c r="BB81" s="865"/>
      <c r="BC81" s="865">
        <v>156914.26052999985</v>
      </c>
      <c r="BD81" s="865">
        <v>104609.50701999992</v>
      </c>
      <c r="BE81" s="865">
        <v>176528.54309624986</v>
      </c>
      <c r="BF81" s="865">
        <v>9615.6567398271854</v>
      </c>
      <c r="BG81" s="865">
        <v>13250.014289999999</v>
      </c>
      <c r="BH81" s="865">
        <v>1065844.7486779841</v>
      </c>
      <c r="BI81" s="865"/>
      <c r="BJ81" s="865"/>
      <c r="BK81" s="865"/>
      <c r="BL81" s="865"/>
      <c r="BM81" s="865"/>
      <c r="BN81" s="865"/>
      <c r="BO81" s="865"/>
      <c r="BP81" s="865"/>
      <c r="BQ81" s="865"/>
      <c r="BR81" s="865"/>
      <c r="BS81" s="865">
        <v>4585312.8705540607</v>
      </c>
      <c r="BT81" s="412">
        <f t="shared" si="3"/>
        <v>3058550.1401999989</v>
      </c>
      <c r="BU81" s="413">
        <v>0</v>
      </c>
      <c r="BV81" s="413">
        <v>0</v>
      </c>
      <c r="BW81" s="413">
        <v>0</v>
      </c>
      <c r="BX81" s="413">
        <v>0</v>
      </c>
      <c r="BY81" s="413">
        <v>0</v>
      </c>
      <c r="BZ81" s="413">
        <v>0</v>
      </c>
      <c r="CA81" s="413">
        <v>0</v>
      </c>
      <c r="CB81" s="413">
        <v>0</v>
      </c>
      <c r="CC81" s="413">
        <v>0</v>
      </c>
      <c r="CD81" s="413">
        <v>0.89892446125477488</v>
      </c>
      <c r="CE81" s="413">
        <v>0</v>
      </c>
      <c r="CF81" s="413">
        <v>2.2606986980922152E-2</v>
      </c>
      <c r="CG81" s="413">
        <v>0</v>
      </c>
      <c r="CH81" s="413">
        <v>0</v>
      </c>
      <c r="CI81" s="413">
        <v>7.8468551764303077E-2</v>
      </c>
      <c r="CJ81" s="413">
        <v>0</v>
      </c>
      <c r="CK81" s="413">
        <v>0</v>
      </c>
      <c r="CL81" s="413">
        <v>0</v>
      </c>
      <c r="CM81" s="413">
        <v>0</v>
      </c>
      <c r="CN81" s="413">
        <v>0</v>
      </c>
      <c r="CO81" s="414">
        <f t="shared" si="2"/>
        <v>1</v>
      </c>
    </row>
    <row r="82" spans="1:93" s="415" customFormat="1" ht="25.5" x14ac:dyDescent="0.25">
      <c r="A82" s="881" t="s">
        <v>497</v>
      </c>
      <c r="B82" s="862" t="s">
        <v>2875</v>
      </c>
      <c r="C82" s="861" t="s">
        <v>2490</v>
      </c>
      <c r="D82" s="862"/>
      <c r="E82" s="861"/>
      <c r="F82" s="862"/>
      <c r="G82" s="861"/>
      <c r="H82" s="861" t="s">
        <v>654</v>
      </c>
      <c r="I82" s="861" t="s">
        <v>647</v>
      </c>
      <c r="J82" s="861" t="s">
        <v>641</v>
      </c>
      <c r="K82" s="861" t="s">
        <v>649</v>
      </c>
      <c r="L82" s="861" t="s">
        <v>40</v>
      </c>
      <c r="M82" s="861" t="s">
        <v>653</v>
      </c>
      <c r="N82" s="861" t="s">
        <v>680</v>
      </c>
      <c r="O82" s="861"/>
      <c r="P82" s="861" t="s">
        <v>643</v>
      </c>
      <c r="Q82" s="861" t="s">
        <v>642</v>
      </c>
      <c r="R82" s="861" t="s">
        <v>652</v>
      </c>
      <c r="S82" s="861" t="s">
        <v>649</v>
      </c>
      <c r="T82" s="861"/>
      <c r="U82" s="861" t="s">
        <v>689</v>
      </c>
      <c r="V82" s="861" t="s">
        <v>641</v>
      </c>
      <c r="W82" s="861" t="s">
        <v>766</v>
      </c>
      <c r="X82" s="863">
        <v>43282</v>
      </c>
      <c r="Y82" s="863">
        <v>45107</v>
      </c>
      <c r="Z82" s="864">
        <v>2023</v>
      </c>
      <c r="AA82" s="861" t="s">
        <v>663</v>
      </c>
      <c r="AB82" s="861"/>
      <c r="AC82" s="861" t="s">
        <v>663</v>
      </c>
      <c r="AD82" s="865"/>
      <c r="AE82" s="865"/>
      <c r="AF82" s="865"/>
      <c r="AG82" s="865">
        <v>6605194.6879999992</v>
      </c>
      <c r="AH82" s="865"/>
      <c r="AI82" s="865">
        <v>252446.06159999999</v>
      </c>
      <c r="AJ82" s="865"/>
      <c r="AK82" s="865"/>
      <c r="AL82" s="865">
        <v>504000.00000000012</v>
      </c>
      <c r="AM82" s="865"/>
      <c r="AN82" s="865"/>
      <c r="AO82" s="865"/>
      <c r="AP82" s="865"/>
      <c r="AQ82" s="865"/>
      <c r="AR82" s="865"/>
      <c r="AS82" s="865"/>
      <c r="AT82" s="865"/>
      <c r="AU82" s="865"/>
      <c r="AV82" s="865"/>
      <c r="AW82" s="865"/>
      <c r="AX82" s="865"/>
      <c r="AY82" s="865"/>
      <c r="AZ82" s="865"/>
      <c r="BA82" s="865"/>
      <c r="BB82" s="865"/>
      <c r="BC82" s="865">
        <v>530921.22580000013</v>
      </c>
      <c r="BD82" s="865">
        <v>352987.90664000006</v>
      </c>
      <c r="BE82" s="865">
        <v>591975.11907540017</v>
      </c>
      <c r="BF82" s="865">
        <v>23716.07425306736</v>
      </c>
      <c r="BG82" s="865">
        <v>8636.1950400000005</v>
      </c>
      <c r="BH82" s="865">
        <v>1545482.3063167033</v>
      </c>
      <c r="BI82" s="865"/>
      <c r="BJ82" s="865"/>
      <c r="BK82" s="865"/>
      <c r="BL82" s="865"/>
      <c r="BM82" s="865"/>
      <c r="BN82" s="865"/>
      <c r="BO82" s="865"/>
      <c r="BP82" s="865"/>
      <c r="BQ82" s="865"/>
      <c r="BR82" s="865"/>
      <c r="BS82" s="865">
        <v>10415359.576725168</v>
      </c>
      <c r="BT82" s="412">
        <f t="shared" si="3"/>
        <v>7361640.7495999988</v>
      </c>
      <c r="BU82" s="413">
        <v>0</v>
      </c>
      <c r="BV82" s="413">
        <v>0</v>
      </c>
      <c r="BW82" s="413">
        <v>0</v>
      </c>
      <c r="BX82" s="413">
        <v>0</v>
      </c>
      <c r="BY82" s="413">
        <v>0</v>
      </c>
      <c r="BZ82" s="413">
        <v>0</v>
      </c>
      <c r="CA82" s="413">
        <v>0</v>
      </c>
      <c r="CB82" s="413">
        <v>0</v>
      </c>
      <c r="CC82" s="413">
        <v>0</v>
      </c>
      <c r="CD82" s="413">
        <v>0.89724490948011804</v>
      </c>
      <c r="CE82" s="413">
        <v>0</v>
      </c>
      <c r="CF82" s="413">
        <v>3.4292091965193609E-2</v>
      </c>
      <c r="CG82" s="413">
        <v>0</v>
      </c>
      <c r="CH82" s="413">
        <v>0</v>
      </c>
      <c r="CI82" s="413">
        <v>6.8462998554688417E-2</v>
      </c>
      <c r="CJ82" s="413">
        <v>0</v>
      </c>
      <c r="CK82" s="413">
        <v>0</v>
      </c>
      <c r="CL82" s="413">
        <v>0</v>
      </c>
      <c r="CM82" s="413">
        <v>0</v>
      </c>
      <c r="CN82" s="413">
        <v>0</v>
      </c>
      <c r="CO82" s="414">
        <f t="shared" si="2"/>
        <v>1</v>
      </c>
    </row>
    <row r="83" spans="1:93" s="415" customFormat="1" ht="25.5" x14ac:dyDescent="0.25">
      <c r="A83" s="881" t="s">
        <v>508</v>
      </c>
      <c r="B83" s="862" t="s">
        <v>2878</v>
      </c>
      <c r="C83" s="861" t="s">
        <v>727</v>
      </c>
      <c r="D83" s="862"/>
      <c r="E83" s="861" t="s">
        <v>726</v>
      </c>
      <c r="F83" s="862"/>
      <c r="G83" s="861"/>
      <c r="H83" s="861" t="s">
        <v>654</v>
      </c>
      <c r="I83" s="861" t="s">
        <v>647</v>
      </c>
      <c r="J83" s="861" t="s">
        <v>641</v>
      </c>
      <c r="K83" s="861" t="s">
        <v>649</v>
      </c>
      <c r="L83" s="861" t="s">
        <v>54</v>
      </c>
      <c r="M83" s="861" t="s">
        <v>653</v>
      </c>
      <c r="N83" s="861" t="s">
        <v>645</v>
      </c>
      <c r="O83" s="861"/>
      <c r="P83" s="861"/>
      <c r="Q83" s="861" t="s">
        <v>656</v>
      </c>
      <c r="R83" s="861" t="s">
        <v>652</v>
      </c>
      <c r="S83" s="861" t="s">
        <v>649</v>
      </c>
      <c r="T83" s="861"/>
      <c r="U83" s="861"/>
      <c r="V83" s="861" t="s">
        <v>641</v>
      </c>
      <c r="W83" s="861" t="s">
        <v>694</v>
      </c>
      <c r="X83" s="863">
        <v>43647</v>
      </c>
      <c r="Y83" s="863">
        <v>44400</v>
      </c>
      <c r="Z83" s="864">
        <v>2021</v>
      </c>
      <c r="AA83" s="861"/>
      <c r="AB83" s="861"/>
      <c r="AC83" s="861"/>
      <c r="AD83" s="865"/>
      <c r="AE83" s="865"/>
      <c r="AF83" s="865"/>
      <c r="AG83" s="865">
        <v>435273.24940000009</v>
      </c>
      <c r="AH83" s="865"/>
      <c r="AI83" s="865">
        <v>71774.999992790938</v>
      </c>
      <c r="AJ83" s="865"/>
      <c r="AK83" s="865"/>
      <c r="AL83" s="865">
        <v>311800.00500157085</v>
      </c>
      <c r="AM83" s="865"/>
      <c r="AN83" s="865"/>
      <c r="AO83" s="865">
        <v>50000.000000000022</v>
      </c>
      <c r="AP83" s="865"/>
      <c r="AQ83" s="865"/>
      <c r="AR83" s="865"/>
      <c r="AS83" s="865"/>
      <c r="AT83" s="865"/>
      <c r="AU83" s="865"/>
      <c r="AV83" s="865"/>
      <c r="AW83" s="865"/>
      <c r="AX83" s="865"/>
      <c r="AY83" s="865"/>
      <c r="AZ83" s="865"/>
      <c r="BA83" s="865"/>
      <c r="BB83" s="865"/>
      <c r="BC83" s="865">
        <v>86742.27974871351</v>
      </c>
      <c r="BD83" s="865">
        <v>57828.18649914235</v>
      </c>
      <c r="BE83" s="865">
        <v>97585.064717302754</v>
      </c>
      <c r="BF83" s="865">
        <v>2904.0104097386793</v>
      </c>
      <c r="BG83" s="865">
        <v>64828.186499436204</v>
      </c>
      <c r="BH83" s="865">
        <v>348915.89393441699</v>
      </c>
      <c r="BI83" s="865"/>
      <c r="BJ83" s="865"/>
      <c r="BK83" s="865"/>
      <c r="BL83" s="865"/>
      <c r="BM83" s="865"/>
      <c r="BN83" s="865"/>
      <c r="BO83" s="865"/>
      <c r="BP83" s="865"/>
      <c r="BQ83" s="865"/>
      <c r="BR83" s="865"/>
      <c r="BS83" s="865">
        <v>1527651.8762031123</v>
      </c>
      <c r="BT83" s="412">
        <f t="shared" si="3"/>
        <v>868848.25439436187</v>
      </c>
      <c r="BU83" s="413">
        <v>0</v>
      </c>
      <c r="BV83" s="413">
        <v>0</v>
      </c>
      <c r="BW83" s="413">
        <v>0</v>
      </c>
      <c r="BX83" s="413">
        <v>0</v>
      </c>
      <c r="BY83" s="413">
        <v>0</v>
      </c>
      <c r="BZ83" s="413">
        <v>0</v>
      </c>
      <c r="CA83" s="413">
        <v>0</v>
      </c>
      <c r="CB83" s="413">
        <v>0</v>
      </c>
      <c r="CC83" s="413">
        <v>0</v>
      </c>
      <c r="CD83" s="413">
        <v>0.50097729632133636</v>
      </c>
      <c r="CE83" s="413">
        <v>0</v>
      </c>
      <c r="CF83" s="413">
        <v>8.2609362025849176E-2</v>
      </c>
      <c r="CG83" s="413">
        <v>0</v>
      </c>
      <c r="CH83" s="413">
        <v>0</v>
      </c>
      <c r="CI83" s="413">
        <v>0.35886589335316527</v>
      </c>
      <c r="CJ83" s="413">
        <v>5.754744829964923E-2</v>
      </c>
      <c r="CK83" s="413">
        <v>0</v>
      </c>
      <c r="CL83" s="413">
        <v>0</v>
      </c>
      <c r="CM83" s="413">
        <v>0</v>
      </c>
      <c r="CN83" s="413">
        <v>0</v>
      </c>
      <c r="CO83" s="414">
        <f t="shared" si="2"/>
        <v>1</v>
      </c>
    </row>
    <row r="84" spans="1:93" s="415" customFormat="1" ht="25.5" x14ac:dyDescent="0.25">
      <c r="A84" s="881" t="s">
        <v>510</v>
      </c>
      <c r="B84" s="862" t="s">
        <v>2880</v>
      </c>
      <c r="C84" s="861" t="s">
        <v>2491</v>
      </c>
      <c r="D84" s="862"/>
      <c r="E84" s="861" t="s">
        <v>655</v>
      </c>
      <c r="F84" s="862"/>
      <c r="G84" s="861"/>
      <c r="H84" s="861" t="s">
        <v>654</v>
      </c>
      <c r="I84" s="861" t="s">
        <v>647</v>
      </c>
      <c r="J84" s="861" t="s">
        <v>641</v>
      </c>
      <c r="K84" s="861" t="s">
        <v>649</v>
      </c>
      <c r="L84" s="861" t="s">
        <v>40</v>
      </c>
      <c r="M84" s="861" t="s">
        <v>653</v>
      </c>
      <c r="N84" s="861" t="s">
        <v>645</v>
      </c>
      <c r="O84" s="861"/>
      <c r="P84" s="861"/>
      <c r="Q84" s="861" t="s">
        <v>650</v>
      </c>
      <c r="R84" s="861" t="s">
        <v>652</v>
      </c>
      <c r="S84" s="861" t="s">
        <v>649</v>
      </c>
      <c r="T84" s="861"/>
      <c r="U84" s="861"/>
      <c r="V84" s="861" t="s">
        <v>641</v>
      </c>
      <c r="W84" s="861" t="s">
        <v>640</v>
      </c>
      <c r="X84" s="863">
        <v>43282</v>
      </c>
      <c r="Y84" s="863">
        <v>44736</v>
      </c>
      <c r="Z84" s="864">
        <v>2022</v>
      </c>
      <c r="AA84" s="861"/>
      <c r="AB84" s="861"/>
      <c r="AC84" s="861"/>
      <c r="AD84" s="865"/>
      <c r="AE84" s="865"/>
      <c r="AF84" s="865"/>
      <c r="AG84" s="865">
        <v>86399.999999999854</v>
      </c>
      <c r="AH84" s="865"/>
      <c r="AI84" s="865"/>
      <c r="AJ84" s="865"/>
      <c r="AK84" s="865"/>
      <c r="AL84" s="865">
        <v>456144.99999999919</v>
      </c>
      <c r="AM84" s="865"/>
      <c r="AN84" s="865"/>
      <c r="AO84" s="865"/>
      <c r="AP84" s="865"/>
      <c r="AQ84" s="865"/>
      <c r="AR84" s="865"/>
      <c r="AS84" s="865"/>
      <c r="AT84" s="865"/>
      <c r="AU84" s="865"/>
      <c r="AV84" s="865"/>
      <c r="AW84" s="865"/>
      <c r="AX84" s="865"/>
      <c r="AY84" s="865"/>
      <c r="AZ84" s="865"/>
      <c r="BA84" s="865"/>
      <c r="BB84" s="865"/>
      <c r="BC84" s="865">
        <v>87131.749999999854</v>
      </c>
      <c r="BD84" s="865">
        <v>54754.499999999913</v>
      </c>
      <c r="BE84" s="865">
        <v>92398.21874999984</v>
      </c>
      <c r="BF84" s="865">
        <v>2136.2810390624963</v>
      </c>
      <c r="BG84" s="865">
        <v>0</v>
      </c>
      <c r="BH84" s="865">
        <v>235903.98465382482</v>
      </c>
      <c r="BI84" s="865"/>
      <c r="BJ84" s="865"/>
      <c r="BK84" s="865"/>
      <c r="BL84" s="865"/>
      <c r="BM84" s="865"/>
      <c r="BN84" s="865"/>
      <c r="BO84" s="865"/>
      <c r="BP84" s="865"/>
      <c r="BQ84" s="865"/>
      <c r="BR84" s="865"/>
      <c r="BS84" s="865">
        <v>1014869.7344428857</v>
      </c>
      <c r="BT84" s="412">
        <f t="shared" si="3"/>
        <v>542544.99999999907</v>
      </c>
      <c r="BU84" s="413">
        <v>0</v>
      </c>
      <c r="BV84" s="413">
        <v>0</v>
      </c>
      <c r="BW84" s="413">
        <v>0</v>
      </c>
      <c r="BX84" s="413">
        <v>0</v>
      </c>
      <c r="BY84" s="413">
        <v>0</v>
      </c>
      <c r="BZ84" s="413">
        <v>0</v>
      </c>
      <c r="CA84" s="413">
        <v>0</v>
      </c>
      <c r="CB84" s="413">
        <v>0</v>
      </c>
      <c r="CC84" s="413">
        <v>0</v>
      </c>
      <c r="CD84" s="413">
        <v>0.15924946317816957</v>
      </c>
      <c r="CE84" s="413">
        <v>0</v>
      </c>
      <c r="CF84" s="413">
        <v>0</v>
      </c>
      <c r="CG84" s="413">
        <v>0</v>
      </c>
      <c r="CH84" s="413">
        <v>0</v>
      </c>
      <c r="CI84" s="413">
        <v>0.84075053682183043</v>
      </c>
      <c r="CJ84" s="413">
        <v>0</v>
      </c>
      <c r="CK84" s="413">
        <v>0</v>
      </c>
      <c r="CL84" s="413">
        <v>0</v>
      </c>
      <c r="CM84" s="413">
        <v>0</v>
      </c>
      <c r="CN84" s="413">
        <v>0</v>
      </c>
      <c r="CO84" s="414">
        <f t="shared" si="2"/>
        <v>1</v>
      </c>
    </row>
    <row r="85" spans="1:93" s="415" customFormat="1" ht="25.5" x14ac:dyDescent="0.25">
      <c r="A85" s="881" t="s">
        <v>512</v>
      </c>
      <c r="B85" s="862" t="s">
        <v>2881</v>
      </c>
      <c r="C85" s="861" t="s">
        <v>2681</v>
      </c>
      <c r="D85" s="862"/>
      <c r="E85" s="861"/>
      <c r="F85" s="862"/>
      <c r="G85" s="861"/>
      <c r="H85" s="861" t="s">
        <v>654</v>
      </c>
      <c r="I85" s="861" t="s">
        <v>647</v>
      </c>
      <c r="J85" s="861" t="s">
        <v>641</v>
      </c>
      <c r="K85" s="861" t="s">
        <v>649</v>
      </c>
      <c r="L85" s="861" t="s">
        <v>40</v>
      </c>
      <c r="M85" s="861" t="s">
        <v>653</v>
      </c>
      <c r="N85" s="861" t="s">
        <v>645</v>
      </c>
      <c r="O85" s="861"/>
      <c r="P85" s="861" t="s">
        <v>643</v>
      </c>
      <c r="Q85" s="861" t="s">
        <v>656</v>
      </c>
      <c r="R85" s="861" t="s">
        <v>652</v>
      </c>
      <c r="S85" s="861" t="s">
        <v>649</v>
      </c>
      <c r="T85" s="861"/>
      <c r="U85" s="861" t="s">
        <v>689</v>
      </c>
      <c r="V85" s="861" t="s">
        <v>641</v>
      </c>
      <c r="W85" s="861" t="s">
        <v>684</v>
      </c>
      <c r="X85" s="863">
        <v>43160</v>
      </c>
      <c r="Y85" s="863">
        <v>44427</v>
      </c>
      <c r="Z85" s="864">
        <v>2022</v>
      </c>
      <c r="AA85" s="861" t="s">
        <v>663</v>
      </c>
      <c r="AB85" s="861"/>
      <c r="AC85" s="861" t="s">
        <v>663</v>
      </c>
      <c r="AD85" s="865"/>
      <c r="AE85" s="865"/>
      <c r="AF85" s="865"/>
      <c r="AG85" s="865">
        <v>1300078.9100000001</v>
      </c>
      <c r="AH85" s="865"/>
      <c r="AI85" s="865">
        <v>3453678.40798363</v>
      </c>
      <c r="AJ85" s="865">
        <v>106800.00001236008</v>
      </c>
      <c r="AK85" s="865"/>
      <c r="AL85" s="865">
        <v>165999.99999999572</v>
      </c>
      <c r="AM85" s="865"/>
      <c r="AN85" s="865"/>
      <c r="AO85" s="865"/>
      <c r="AP85" s="865"/>
      <c r="AQ85" s="865"/>
      <c r="AR85" s="865"/>
      <c r="AS85" s="865"/>
      <c r="AT85" s="865"/>
      <c r="AU85" s="865"/>
      <c r="AV85" s="865"/>
      <c r="AW85" s="865"/>
      <c r="AX85" s="865"/>
      <c r="AY85" s="865"/>
      <c r="AZ85" s="865"/>
      <c r="BA85" s="865"/>
      <c r="BB85" s="865"/>
      <c r="BC85" s="865">
        <v>690983.59769864765</v>
      </c>
      <c r="BD85" s="865">
        <v>460655.73179909855</v>
      </c>
      <c r="BE85" s="865"/>
      <c r="BF85" s="865">
        <v>16165.040780600888</v>
      </c>
      <c r="BG85" s="865">
        <v>676957.69959987968</v>
      </c>
      <c r="BH85" s="865">
        <v>2026416.3175574387</v>
      </c>
      <c r="BI85" s="865"/>
      <c r="BJ85" s="865"/>
      <c r="BK85" s="865"/>
      <c r="BL85" s="865"/>
      <c r="BM85" s="865"/>
      <c r="BN85" s="865"/>
      <c r="BO85" s="865"/>
      <c r="BP85" s="865"/>
      <c r="BQ85" s="865"/>
      <c r="BR85" s="865"/>
      <c r="BS85" s="865">
        <v>8897735.7054316513</v>
      </c>
      <c r="BT85" s="412">
        <f t="shared" si="3"/>
        <v>5026557.317995986</v>
      </c>
      <c r="BU85" s="413">
        <v>0</v>
      </c>
      <c r="BV85" s="413">
        <v>0</v>
      </c>
      <c r="BW85" s="413">
        <v>0</v>
      </c>
      <c r="BX85" s="413">
        <v>0</v>
      </c>
      <c r="BY85" s="413">
        <v>0</v>
      </c>
      <c r="BZ85" s="413">
        <v>0</v>
      </c>
      <c r="CA85" s="413">
        <v>0</v>
      </c>
      <c r="CB85" s="413">
        <v>0</v>
      </c>
      <c r="CC85" s="413">
        <v>0</v>
      </c>
      <c r="CD85" s="413">
        <v>0.25864201435552758</v>
      </c>
      <c r="CE85" s="413">
        <v>2.1247146556947979E-2</v>
      </c>
      <c r="CF85" s="413">
        <v>0.68708624800095996</v>
      </c>
      <c r="CG85" s="413">
        <v>0</v>
      </c>
      <c r="CH85" s="413">
        <v>0</v>
      </c>
      <c r="CI85" s="413">
        <v>3.3024591086564484E-2</v>
      </c>
      <c r="CJ85" s="413">
        <v>0</v>
      </c>
      <c r="CK85" s="413">
        <v>0</v>
      </c>
      <c r="CL85" s="413">
        <v>0</v>
      </c>
      <c r="CM85" s="413">
        <v>0</v>
      </c>
      <c r="CN85" s="413">
        <v>0</v>
      </c>
      <c r="CO85" s="414">
        <f t="shared" si="2"/>
        <v>1</v>
      </c>
    </row>
    <row r="86" spans="1:93" s="415" customFormat="1" ht="25.5" x14ac:dyDescent="0.25">
      <c r="A86" s="881" t="s">
        <v>514</v>
      </c>
      <c r="B86" s="862" t="s">
        <v>2882</v>
      </c>
      <c r="C86" s="861" t="s">
        <v>2492</v>
      </c>
      <c r="D86" s="862"/>
      <c r="E86" s="861"/>
      <c r="F86" s="862"/>
      <c r="G86" s="861"/>
      <c r="H86" s="861" t="s">
        <v>654</v>
      </c>
      <c r="I86" s="861" t="s">
        <v>647</v>
      </c>
      <c r="J86" s="861" t="s">
        <v>641</v>
      </c>
      <c r="K86" s="861" t="s">
        <v>649</v>
      </c>
      <c r="L86" s="861" t="s">
        <v>40</v>
      </c>
      <c r="M86" s="861" t="s">
        <v>653</v>
      </c>
      <c r="N86" s="861" t="s">
        <v>680</v>
      </c>
      <c r="O86" s="861"/>
      <c r="P86" s="861" t="s">
        <v>643</v>
      </c>
      <c r="Q86" s="861" t="s">
        <v>656</v>
      </c>
      <c r="R86" s="861" t="s">
        <v>652</v>
      </c>
      <c r="S86" s="861" t="s">
        <v>649</v>
      </c>
      <c r="T86" s="861"/>
      <c r="U86" s="861" t="s">
        <v>689</v>
      </c>
      <c r="V86" s="861" t="s">
        <v>641</v>
      </c>
      <c r="W86" s="861" t="s">
        <v>690</v>
      </c>
      <c r="X86" s="863">
        <v>42917</v>
      </c>
      <c r="Y86" s="863">
        <v>44377</v>
      </c>
      <c r="Z86" s="864">
        <v>2022</v>
      </c>
      <c r="AA86" s="861" t="s">
        <v>676</v>
      </c>
      <c r="AB86" s="861"/>
      <c r="AC86" s="861" t="s">
        <v>663</v>
      </c>
      <c r="AD86" s="865"/>
      <c r="AE86" s="865">
        <v>2790000.0000000009</v>
      </c>
      <c r="AF86" s="865"/>
      <c r="AG86" s="865">
        <v>924483.40000000037</v>
      </c>
      <c r="AH86" s="865"/>
      <c r="AI86" s="865">
        <v>129675.00000000009</v>
      </c>
      <c r="AJ86" s="865"/>
      <c r="AK86" s="865"/>
      <c r="AL86" s="865"/>
      <c r="AM86" s="865"/>
      <c r="AN86" s="865"/>
      <c r="AO86" s="865"/>
      <c r="AP86" s="865"/>
      <c r="AQ86" s="865"/>
      <c r="AR86" s="865"/>
      <c r="AS86" s="865"/>
      <c r="AT86" s="865"/>
      <c r="AU86" s="865"/>
      <c r="AV86" s="865"/>
      <c r="AW86" s="865"/>
      <c r="AX86" s="865"/>
      <c r="AY86" s="865"/>
      <c r="AZ86" s="865"/>
      <c r="BA86" s="865"/>
      <c r="BB86" s="865"/>
      <c r="BC86" s="865">
        <v>742024.76000000024</v>
      </c>
      <c r="BD86" s="865">
        <v>156189.84000000003</v>
      </c>
      <c r="BE86" s="865">
        <v>263570.3550000001</v>
      </c>
      <c r="BF86" s="865">
        <v>13766.344226250007</v>
      </c>
      <c r="BG86" s="865">
        <v>0</v>
      </c>
      <c r="BH86" s="865">
        <v>1520181.7540419337</v>
      </c>
      <c r="BI86" s="865"/>
      <c r="BJ86" s="865"/>
      <c r="BK86" s="865"/>
      <c r="BL86" s="865"/>
      <c r="BM86" s="865"/>
      <c r="BN86" s="865"/>
      <c r="BO86" s="865"/>
      <c r="BP86" s="865"/>
      <c r="BQ86" s="865"/>
      <c r="BR86" s="865"/>
      <c r="BS86" s="865">
        <v>6539891.4532681843</v>
      </c>
      <c r="BT86" s="412">
        <f t="shared" si="3"/>
        <v>3844158.4000000013</v>
      </c>
      <c r="BU86" s="413">
        <v>0</v>
      </c>
      <c r="BV86" s="413">
        <v>0</v>
      </c>
      <c r="BW86" s="413">
        <v>0</v>
      </c>
      <c r="BX86" s="413">
        <v>0</v>
      </c>
      <c r="BY86" s="413">
        <v>0</v>
      </c>
      <c r="BZ86" s="413">
        <v>0</v>
      </c>
      <c r="CA86" s="413">
        <v>0</v>
      </c>
      <c r="CB86" s="413">
        <v>0</v>
      </c>
      <c r="CC86" s="413">
        <v>0</v>
      </c>
      <c r="CD86" s="413">
        <v>0.96626699877923861</v>
      </c>
      <c r="CE86" s="413">
        <v>0</v>
      </c>
      <c r="CF86" s="413">
        <v>3.3733001220761359E-2</v>
      </c>
      <c r="CG86" s="413">
        <v>0</v>
      </c>
      <c r="CH86" s="413">
        <v>0</v>
      </c>
      <c r="CI86" s="413">
        <v>0</v>
      </c>
      <c r="CJ86" s="413">
        <v>0</v>
      </c>
      <c r="CK86" s="413">
        <v>0</v>
      </c>
      <c r="CL86" s="413">
        <v>0</v>
      </c>
      <c r="CM86" s="413">
        <v>0</v>
      </c>
      <c r="CN86" s="413">
        <v>0</v>
      </c>
      <c r="CO86" s="414">
        <f t="shared" si="2"/>
        <v>1</v>
      </c>
    </row>
    <row r="87" spans="1:93" s="415" customFormat="1" ht="25.5" x14ac:dyDescent="0.25">
      <c r="A87" s="881" t="s">
        <v>518</v>
      </c>
      <c r="B87" s="862" t="s">
        <v>2883</v>
      </c>
      <c r="C87" s="861" t="s">
        <v>2682</v>
      </c>
      <c r="D87" s="862"/>
      <c r="E87" s="861"/>
      <c r="F87" s="862"/>
      <c r="G87" s="861" t="s">
        <v>681</v>
      </c>
      <c r="H87" s="861" t="s">
        <v>654</v>
      </c>
      <c r="I87" s="861" t="s">
        <v>647</v>
      </c>
      <c r="J87" s="861" t="s">
        <v>641</v>
      </c>
      <c r="K87" s="861" t="s">
        <v>649</v>
      </c>
      <c r="L87" s="861" t="s">
        <v>41</v>
      </c>
      <c r="M87" s="861" t="s">
        <v>653</v>
      </c>
      <c r="N87" s="861" t="s">
        <v>668</v>
      </c>
      <c r="O87" s="861"/>
      <c r="P87" s="861"/>
      <c r="Q87" s="861" t="s">
        <v>656</v>
      </c>
      <c r="R87" s="861" t="s">
        <v>652</v>
      </c>
      <c r="S87" s="861"/>
      <c r="T87" s="861"/>
      <c r="U87" s="861"/>
      <c r="V87" s="861" t="s">
        <v>641</v>
      </c>
      <c r="W87" s="861" t="s">
        <v>2441</v>
      </c>
      <c r="X87" s="863">
        <v>42917</v>
      </c>
      <c r="Y87" s="863">
        <v>44012</v>
      </c>
      <c r="Z87" s="864">
        <v>2020</v>
      </c>
      <c r="AA87" s="861"/>
      <c r="AB87" s="861"/>
      <c r="AC87" s="861"/>
      <c r="AD87" s="865"/>
      <c r="AE87" s="865">
        <v>787000.00000038627</v>
      </c>
      <c r="AF87" s="865"/>
      <c r="AG87" s="865">
        <v>306523.18977849977</v>
      </c>
      <c r="AH87" s="865"/>
      <c r="AI87" s="865">
        <v>189602.99987580485</v>
      </c>
      <c r="AJ87" s="865"/>
      <c r="AK87" s="865"/>
      <c r="AL87" s="865">
        <v>282700.00502264901</v>
      </c>
      <c r="AM87" s="865"/>
      <c r="AN87" s="865"/>
      <c r="AO87" s="865"/>
      <c r="AP87" s="865"/>
      <c r="AQ87" s="865"/>
      <c r="AR87" s="865"/>
      <c r="AS87" s="865"/>
      <c r="AT87" s="865"/>
      <c r="AU87" s="865"/>
      <c r="AV87" s="865"/>
      <c r="AW87" s="865"/>
      <c r="AX87" s="865"/>
      <c r="AY87" s="865"/>
      <c r="AZ87" s="865"/>
      <c r="BA87" s="865"/>
      <c r="BB87" s="865"/>
      <c r="BC87" s="865">
        <v>120643.75420160108</v>
      </c>
      <c r="BD87" s="865">
        <v>80429.169467734057</v>
      </c>
      <c r="BE87" s="865">
        <v>135724.22347680127</v>
      </c>
      <c r="BF87" s="865">
        <v>5149.7141900145616</v>
      </c>
      <c r="BG87" s="865">
        <v>263787.50840320217</v>
      </c>
      <c r="BH87" s="865">
        <v>664946.68724550761</v>
      </c>
      <c r="BI87" s="865"/>
      <c r="BJ87" s="865"/>
      <c r="BK87" s="865"/>
      <c r="BL87" s="865"/>
      <c r="BM87" s="865"/>
      <c r="BN87" s="865"/>
      <c r="BO87" s="865"/>
      <c r="BP87" s="865"/>
      <c r="BQ87" s="865">
        <v>19999.999999999982</v>
      </c>
      <c r="BR87" s="865"/>
      <c r="BS87" s="865">
        <v>2856507.2516621999</v>
      </c>
      <c r="BT87" s="412">
        <f t="shared" si="3"/>
        <v>1565826.1946773399</v>
      </c>
      <c r="BU87" s="413">
        <v>0</v>
      </c>
      <c r="BV87" s="413">
        <v>0</v>
      </c>
      <c r="BW87" s="413">
        <v>0</v>
      </c>
      <c r="BX87" s="413">
        <v>0</v>
      </c>
      <c r="BY87" s="413">
        <v>0</v>
      </c>
      <c r="BZ87" s="413">
        <v>0</v>
      </c>
      <c r="CA87" s="413">
        <v>0</v>
      </c>
      <c r="CB87" s="413">
        <v>0</v>
      </c>
      <c r="CC87" s="413">
        <v>0</v>
      </c>
      <c r="CD87" s="413">
        <v>0.69836818000366996</v>
      </c>
      <c r="CE87" s="413">
        <v>0</v>
      </c>
      <c r="CF87" s="413">
        <v>0.12108815175037685</v>
      </c>
      <c r="CG87" s="413">
        <v>0</v>
      </c>
      <c r="CH87" s="413">
        <v>0</v>
      </c>
      <c r="CI87" s="413">
        <v>0.18054366824595322</v>
      </c>
      <c r="CJ87" s="413">
        <v>0</v>
      </c>
      <c r="CK87" s="413">
        <v>0</v>
      </c>
      <c r="CL87" s="413">
        <v>0</v>
      </c>
      <c r="CM87" s="413">
        <v>0</v>
      </c>
      <c r="CN87" s="413">
        <v>0</v>
      </c>
      <c r="CO87" s="414">
        <f t="shared" ref="CO87:CO149" si="4">SUM(BU87:CN87)</f>
        <v>1</v>
      </c>
    </row>
    <row r="88" spans="1:93" s="415" customFormat="1" ht="25.5" x14ac:dyDescent="0.25">
      <c r="A88" s="881" t="s">
        <v>2772</v>
      </c>
      <c r="B88" s="862" t="e">
        <v>#N/A</v>
      </c>
      <c r="C88" s="861" t="s">
        <v>2785</v>
      </c>
      <c r="D88" s="862"/>
      <c r="E88" s="861"/>
      <c r="F88" s="862"/>
      <c r="G88" s="861" t="s">
        <v>648</v>
      </c>
      <c r="H88" s="861" t="s">
        <v>654</v>
      </c>
      <c r="I88" s="861" t="s">
        <v>647</v>
      </c>
      <c r="J88" s="861" t="s">
        <v>641</v>
      </c>
      <c r="K88" s="861" t="s">
        <v>649</v>
      </c>
      <c r="L88" s="861" t="s">
        <v>54</v>
      </c>
      <c r="M88" s="861" t="s">
        <v>653</v>
      </c>
      <c r="N88" s="861" t="s">
        <v>668</v>
      </c>
      <c r="O88" s="861"/>
      <c r="P88" s="861"/>
      <c r="Q88" s="861" t="s">
        <v>650</v>
      </c>
      <c r="R88" s="861" t="s">
        <v>652</v>
      </c>
      <c r="S88" s="861" t="s">
        <v>649</v>
      </c>
      <c r="T88" s="861"/>
      <c r="U88" s="861"/>
      <c r="V88" s="861" t="s">
        <v>641</v>
      </c>
      <c r="W88" s="861" t="s">
        <v>677</v>
      </c>
      <c r="X88" s="863">
        <v>44013</v>
      </c>
      <c r="Y88" s="863">
        <v>45107</v>
      </c>
      <c r="Z88" s="864">
        <v>2023</v>
      </c>
      <c r="AA88" s="861" t="s">
        <v>663</v>
      </c>
      <c r="AB88" s="861"/>
      <c r="AC88" s="861"/>
      <c r="AD88" s="865"/>
      <c r="AE88" s="865"/>
      <c r="AF88" s="865"/>
      <c r="AG88" s="865">
        <v>320213.41600080015</v>
      </c>
      <c r="AH88" s="865"/>
      <c r="AI88" s="865">
        <v>242249.36921473622</v>
      </c>
      <c r="AJ88" s="865"/>
      <c r="AK88" s="865">
        <v>23099.999997000006</v>
      </c>
      <c r="AL88" s="865">
        <v>124300.0049041482</v>
      </c>
      <c r="AM88" s="865"/>
      <c r="AN88" s="865">
        <v>52774.319941250011</v>
      </c>
      <c r="AO88" s="865"/>
      <c r="AP88" s="865"/>
      <c r="AQ88" s="865"/>
      <c r="AR88" s="865"/>
      <c r="AS88" s="865"/>
      <c r="AT88" s="865"/>
      <c r="AU88" s="865"/>
      <c r="AV88" s="865"/>
      <c r="AW88" s="865"/>
      <c r="AX88" s="865"/>
      <c r="AY88" s="865"/>
      <c r="AZ88" s="865"/>
      <c r="BA88" s="865"/>
      <c r="BB88" s="865"/>
      <c r="BC88" s="865">
        <v>92094.166508690221</v>
      </c>
      <c r="BD88" s="865">
        <v>61396.111005793478</v>
      </c>
      <c r="BE88" s="865">
        <v>103605.9373222765</v>
      </c>
      <c r="BF88" s="865">
        <v>2804.2666434604116</v>
      </c>
      <c r="BG88" s="865">
        <v>0</v>
      </c>
      <c r="BH88" s="865">
        <v>317494.16541133076</v>
      </c>
      <c r="BI88" s="865"/>
      <c r="BJ88" s="865"/>
      <c r="BK88" s="865"/>
      <c r="BL88" s="865"/>
      <c r="BM88" s="865"/>
      <c r="BN88" s="865"/>
      <c r="BO88" s="865"/>
      <c r="BP88" s="865"/>
      <c r="BQ88" s="865"/>
      <c r="BR88" s="865"/>
      <c r="BS88" s="865">
        <v>1340031.7569494862</v>
      </c>
      <c r="BT88" s="412">
        <f t="shared" ref="BT88:BT150" si="5">SUM(AD88:BB88)</f>
        <v>762637.11005793454</v>
      </c>
      <c r="BU88" s="413">
        <v>0</v>
      </c>
      <c r="BV88" s="413">
        <v>0</v>
      </c>
      <c r="BW88" s="413">
        <v>0</v>
      </c>
      <c r="BX88" s="413">
        <v>0</v>
      </c>
      <c r="BY88" s="413">
        <v>0</v>
      </c>
      <c r="BZ88" s="413">
        <v>0</v>
      </c>
      <c r="CA88" s="413">
        <v>0</v>
      </c>
      <c r="CB88" s="413">
        <v>0</v>
      </c>
      <c r="CC88" s="413">
        <v>0</v>
      </c>
      <c r="CD88" s="413">
        <v>0.41987652027118744</v>
      </c>
      <c r="CE88" s="413">
        <v>0</v>
      </c>
      <c r="CF88" s="413">
        <v>0.31764697261628599</v>
      </c>
      <c r="CG88" s="413">
        <v>3.0289635387983141E-2</v>
      </c>
      <c r="CH88" s="413">
        <v>0</v>
      </c>
      <c r="CI88" s="413">
        <v>0.16298709211082793</v>
      </c>
      <c r="CJ88" s="413">
        <v>0</v>
      </c>
      <c r="CK88" s="413">
        <v>6.9199779613715567E-2</v>
      </c>
      <c r="CL88" s="413">
        <v>0</v>
      </c>
      <c r="CM88" s="413">
        <v>0</v>
      </c>
      <c r="CN88" s="413">
        <v>0</v>
      </c>
      <c r="CO88" s="414">
        <f t="shared" si="4"/>
        <v>1</v>
      </c>
    </row>
    <row r="89" spans="1:93" s="415" customFormat="1" ht="25.5" x14ac:dyDescent="0.25">
      <c r="A89" s="881" t="s">
        <v>526</v>
      </c>
      <c r="B89" s="862" t="s">
        <v>2886</v>
      </c>
      <c r="C89" s="861" t="s">
        <v>2683</v>
      </c>
      <c r="D89" s="862"/>
      <c r="E89" s="861" t="s">
        <v>717</v>
      </c>
      <c r="F89" s="862"/>
      <c r="G89" s="861" t="s">
        <v>648</v>
      </c>
      <c r="H89" s="861" t="s">
        <v>654</v>
      </c>
      <c r="I89" s="861" t="s">
        <v>647</v>
      </c>
      <c r="J89" s="861" t="s">
        <v>641</v>
      </c>
      <c r="K89" s="861" t="s">
        <v>649</v>
      </c>
      <c r="L89" s="861" t="s">
        <v>54</v>
      </c>
      <c r="M89" s="861" t="s">
        <v>653</v>
      </c>
      <c r="N89" s="861" t="s">
        <v>680</v>
      </c>
      <c r="O89" s="861"/>
      <c r="P89" s="861" t="s">
        <v>643</v>
      </c>
      <c r="Q89" s="861" t="s">
        <v>642</v>
      </c>
      <c r="R89" s="861" t="s">
        <v>652</v>
      </c>
      <c r="S89" s="861" t="s">
        <v>649</v>
      </c>
      <c r="T89" s="861"/>
      <c r="U89" s="861" t="s">
        <v>689</v>
      </c>
      <c r="V89" s="861" t="s">
        <v>641</v>
      </c>
      <c r="W89" s="861" t="s">
        <v>690</v>
      </c>
      <c r="X89" s="863">
        <v>42795</v>
      </c>
      <c r="Y89" s="863">
        <v>43521</v>
      </c>
      <c r="Z89" s="864">
        <v>2023</v>
      </c>
      <c r="AA89" s="861" t="s">
        <v>663</v>
      </c>
      <c r="AB89" s="861"/>
      <c r="AC89" s="861" t="s">
        <v>663</v>
      </c>
      <c r="AD89" s="865"/>
      <c r="AE89" s="865">
        <v>130004.99999479976</v>
      </c>
      <c r="AF89" s="865">
        <v>1499999.9999999995</v>
      </c>
      <c r="AG89" s="865">
        <v>785152.31969999988</v>
      </c>
      <c r="AH89" s="865"/>
      <c r="AI89" s="865">
        <v>403433.44693406997</v>
      </c>
      <c r="AJ89" s="865"/>
      <c r="AK89" s="865"/>
      <c r="AL89" s="865">
        <v>151800.00495264813</v>
      </c>
      <c r="AM89" s="865"/>
      <c r="AN89" s="865">
        <v>9999.9999999999964</v>
      </c>
      <c r="AO89" s="865">
        <v>19999.999999999993</v>
      </c>
      <c r="AP89" s="865"/>
      <c r="AQ89" s="865"/>
      <c r="AR89" s="865">
        <v>29999.999981699995</v>
      </c>
      <c r="AS89" s="865"/>
      <c r="AT89" s="865"/>
      <c r="AU89" s="865"/>
      <c r="AV89" s="865"/>
      <c r="AW89" s="865"/>
      <c r="AX89" s="865"/>
      <c r="AY89" s="865"/>
      <c r="AZ89" s="865"/>
      <c r="BA89" s="865"/>
      <c r="BB89" s="865"/>
      <c r="BC89" s="865">
        <v>173564.91028222782</v>
      </c>
      <c r="BD89" s="865">
        <v>115709.94018815187</v>
      </c>
      <c r="BE89" s="865">
        <v>195260.52406750631</v>
      </c>
      <c r="BF89" s="865">
        <v>9446.0469018283638</v>
      </c>
      <c r="BG89" s="865">
        <v>0</v>
      </c>
      <c r="BH89" s="865">
        <v>1078779.8012261542</v>
      </c>
      <c r="BI89" s="865"/>
      <c r="BJ89" s="865"/>
      <c r="BK89" s="865"/>
      <c r="BL89" s="865"/>
      <c r="BM89" s="865"/>
      <c r="BN89" s="865"/>
      <c r="BO89" s="865"/>
      <c r="BP89" s="865"/>
      <c r="BQ89" s="865"/>
      <c r="BR89" s="865"/>
      <c r="BS89" s="865">
        <v>4603151.9942290857</v>
      </c>
      <c r="BT89" s="412">
        <f t="shared" si="5"/>
        <v>3030390.7715632175</v>
      </c>
      <c r="BU89" s="413">
        <v>0</v>
      </c>
      <c r="BV89" s="413">
        <v>0</v>
      </c>
      <c r="BW89" s="413">
        <v>9.8997133515637617E-3</v>
      </c>
      <c r="BX89" s="413">
        <v>0</v>
      </c>
      <c r="BY89" s="413">
        <v>0</v>
      </c>
      <c r="BZ89" s="413">
        <v>0</v>
      </c>
      <c r="CA89" s="413">
        <v>0</v>
      </c>
      <c r="CB89" s="413">
        <v>0</v>
      </c>
      <c r="CC89" s="413">
        <v>0</v>
      </c>
      <c r="CD89" s="413">
        <v>0.79697883928314239</v>
      </c>
      <c r="CE89" s="413">
        <v>0</v>
      </c>
      <c r="CF89" s="413">
        <v>0.1331291827838956</v>
      </c>
      <c r="CG89" s="413">
        <v>0</v>
      </c>
      <c r="CH89" s="413">
        <v>0</v>
      </c>
      <c r="CI89" s="413">
        <v>5.0092551223795662E-2</v>
      </c>
      <c r="CJ89" s="413">
        <v>6.5998089050683904E-3</v>
      </c>
      <c r="CK89" s="413">
        <v>3.2999044525341952E-3</v>
      </c>
      <c r="CL89" s="413">
        <v>0</v>
      </c>
      <c r="CM89" s="413">
        <v>0</v>
      </c>
      <c r="CN89" s="413">
        <v>0</v>
      </c>
      <c r="CO89" s="414">
        <f t="shared" si="4"/>
        <v>1</v>
      </c>
    </row>
    <row r="90" spans="1:93" s="415" customFormat="1" ht="25.5" x14ac:dyDescent="0.25">
      <c r="A90" s="881" t="s">
        <v>534</v>
      </c>
      <c r="B90" s="862" t="s">
        <v>2888</v>
      </c>
      <c r="C90" s="861" t="s">
        <v>714</v>
      </c>
      <c r="D90" s="862"/>
      <c r="E90" s="861"/>
      <c r="F90" s="862"/>
      <c r="G90" s="861"/>
      <c r="H90" s="861" t="s">
        <v>654</v>
      </c>
      <c r="I90" s="861" t="s">
        <v>647</v>
      </c>
      <c r="J90" s="861" t="s">
        <v>671</v>
      </c>
      <c r="K90" s="861" t="s">
        <v>649</v>
      </c>
      <c r="L90" s="861" t="s">
        <v>36</v>
      </c>
      <c r="M90" s="861" t="s">
        <v>653</v>
      </c>
      <c r="N90" s="861" t="s">
        <v>680</v>
      </c>
      <c r="O90" s="861"/>
      <c r="P90" s="861" t="s">
        <v>643</v>
      </c>
      <c r="Q90" s="861" t="s">
        <v>650</v>
      </c>
      <c r="R90" s="861" t="s">
        <v>652</v>
      </c>
      <c r="S90" s="861" t="s">
        <v>649</v>
      </c>
      <c r="T90" s="861"/>
      <c r="U90" s="861"/>
      <c r="V90" s="861" t="s">
        <v>36</v>
      </c>
      <c r="W90" s="861" t="s">
        <v>677</v>
      </c>
      <c r="X90" s="863">
        <v>43282</v>
      </c>
      <c r="Y90" s="863">
        <v>43770</v>
      </c>
      <c r="Z90" s="864">
        <v>2020</v>
      </c>
      <c r="AA90" s="861" t="s">
        <v>676</v>
      </c>
      <c r="AB90" s="861"/>
      <c r="AC90" s="861" t="s">
        <v>663</v>
      </c>
      <c r="AD90" s="865"/>
      <c r="AE90" s="865"/>
      <c r="AF90" s="865"/>
      <c r="AG90" s="865"/>
      <c r="AH90" s="865"/>
      <c r="AI90" s="865"/>
      <c r="AJ90" s="865"/>
      <c r="AK90" s="865"/>
      <c r="AL90" s="865"/>
      <c r="AM90" s="865"/>
      <c r="AN90" s="865"/>
      <c r="AO90" s="865"/>
      <c r="AP90" s="865"/>
      <c r="AQ90" s="865"/>
      <c r="AR90" s="865"/>
      <c r="AS90" s="865"/>
      <c r="AT90" s="865"/>
      <c r="AU90" s="865"/>
      <c r="AV90" s="865">
        <v>268000.00000000023</v>
      </c>
      <c r="AW90" s="865"/>
      <c r="AX90" s="865"/>
      <c r="AY90" s="865">
        <v>115000.00000000006</v>
      </c>
      <c r="AZ90" s="865"/>
      <c r="BA90" s="865"/>
      <c r="BB90" s="865"/>
      <c r="BC90" s="865">
        <v>49790.000000000036</v>
      </c>
      <c r="BD90" s="865"/>
      <c r="BE90" s="865"/>
      <c r="BF90" s="865"/>
      <c r="BG90" s="865"/>
      <c r="BH90" s="865">
        <v>78045.165063202643</v>
      </c>
      <c r="BI90" s="865"/>
      <c r="BJ90" s="865"/>
      <c r="BK90" s="865"/>
      <c r="BL90" s="865"/>
      <c r="BM90" s="865"/>
      <c r="BN90" s="865"/>
      <c r="BO90" s="865"/>
      <c r="BP90" s="865"/>
      <c r="BQ90" s="865"/>
      <c r="BR90" s="865"/>
      <c r="BS90" s="865">
        <v>510835.16506320296</v>
      </c>
      <c r="BT90" s="412">
        <f t="shared" si="5"/>
        <v>383000.00000000029</v>
      </c>
      <c r="BU90" s="413">
        <v>0.69973890339425593</v>
      </c>
      <c r="BV90" s="413">
        <v>0</v>
      </c>
      <c r="BW90" s="413">
        <v>0</v>
      </c>
      <c r="BX90" s="413">
        <v>0</v>
      </c>
      <c r="BY90" s="413">
        <v>0</v>
      </c>
      <c r="BZ90" s="413">
        <v>0</v>
      </c>
      <c r="CA90" s="413">
        <v>0</v>
      </c>
      <c r="CB90" s="413">
        <v>0.30026109660574407</v>
      </c>
      <c r="CC90" s="413">
        <v>0</v>
      </c>
      <c r="CD90" s="413">
        <v>0</v>
      </c>
      <c r="CE90" s="413">
        <v>0</v>
      </c>
      <c r="CF90" s="413">
        <v>0</v>
      </c>
      <c r="CG90" s="413">
        <v>0</v>
      </c>
      <c r="CH90" s="413">
        <v>0</v>
      </c>
      <c r="CI90" s="413">
        <v>0</v>
      </c>
      <c r="CJ90" s="413">
        <v>0</v>
      </c>
      <c r="CK90" s="413">
        <v>0</v>
      </c>
      <c r="CL90" s="413">
        <v>0</v>
      </c>
      <c r="CM90" s="413">
        <v>0</v>
      </c>
      <c r="CN90" s="413">
        <v>0</v>
      </c>
      <c r="CO90" s="414">
        <f t="shared" si="4"/>
        <v>1</v>
      </c>
    </row>
    <row r="91" spans="1:93" s="415" customFormat="1" ht="25.5" x14ac:dyDescent="0.25">
      <c r="A91" s="881" t="s">
        <v>536</v>
      </c>
      <c r="B91" s="862" t="s">
        <v>2889</v>
      </c>
      <c r="C91" s="861" t="s">
        <v>713</v>
      </c>
      <c r="D91" s="862"/>
      <c r="E91" s="861" t="s">
        <v>655</v>
      </c>
      <c r="F91" s="862"/>
      <c r="G91" s="861"/>
      <c r="H91" s="861" t="s">
        <v>654</v>
      </c>
      <c r="I91" s="861" t="s">
        <v>647</v>
      </c>
      <c r="J91" s="861" t="s">
        <v>671</v>
      </c>
      <c r="K91" s="861" t="s">
        <v>649</v>
      </c>
      <c r="L91" s="861" t="s">
        <v>36</v>
      </c>
      <c r="M91" s="861" t="s">
        <v>653</v>
      </c>
      <c r="N91" s="861" t="s">
        <v>680</v>
      </c>
      <c r="O91" s="861"/>
      <c r="P91" s="861" t="s">
        <v>643</v>
      </c>
      <c r="Q91" s="861" t="s">
        <v>650</v>
      </c>
      <c r="R91" s="861" t="s">
        <v>652</v>
      </c>
      <c r="S91" s="861" t="s">
        <v>649</v>
      </c>
      <c r="T91" s="861"/>
      <c r="U91" s="861"/>
      <c r="V91" s="861" t="s">
        <v>36</v>
      </c>
      <c r="W91" s="861" t="s">
        <v>677</v>
      </c>
      <c r="X91" s="863">
        <v>43647</v>
      </c>
      <c r="Y91" s="863">
        <v>44095</v>
      </c>
      <c r="Z91" s="864">
        <v>2021</v>
      </c>
      <c r="AA91" s="861" t="s">
        <v>676</v>
      </c>
      <c r="AB91" s="861"/>
      <c r="AC91" s="861" t="s">
        <v>663</v>
      </c>
      <c r="AD91" s="865"/>
      <c r="AE91" s="865"/>
      <c r="AF91" s="865"/>
      <c r="AG91" s="865"/>
      <c r="AH91" s="865"/>
      <c r="AI91" s="865"/>
      <c r="AJ91" s="865"/>
      <c r="AK91" s="865"/>
      <c r="AL91" s="865"/>
      <c r="AM91" s="865"/>
      <c r="AN91" s="865"/>
      <c r="AO91" s="865"/>
      <c r="AP91" s="865"/>
      <c r="AQ91" s="865"/>
      <c r="AR91" s="865"/>
      <c r="AS91" s="865"/>
      <c r="AT91" s="865"/>
      <c r="AU91" s="865"/>
      <c r="AV91" s="865">
        <v>268000.00000000012</v>
      </c>
      <c r="AW91" s="865"/>
      <c r="AX91" s="865"/>
      <c r="AY91" s="865">
        <v>115000.00000000006</v>
      </c>
      <c r="AZ91" s="865"/>
      <c r="BA91" s="865"/>
      <c r="BB91" s="865"/>
      <c r="BC91" s="865">
        <v>49790.000000000029</v>
      </c>
      <c r="BD91" s="865"/>
      <c r="BE91" s="865"/>
      <c r="BF91" s="865"/>
      <c r="BG91" s="865"/>
      <c r="BH91" s="865">
        <v>78045.165063202629</v>
      </c>
      <c r="BI91" s="865"/>
      <c r="BJ91" s="865"/>
      <c r="BK91" s="865"/>
      <c r="BL91" s="865"/>
      <c r="BM91" s="865"/>
      <c r="BN91" s="865"/>
      <c r="BO91" s="865"/>
      <c r="BP91" s="865"/>
      <c r="BQ91" s="865"/>
      <c r="BR91" s="865"/>
      <c r="BS91" s="865">
        <v>510835.16506320285</v>
      </c>
      <c r="BT91" s="412">
        <f t="shared" si="5"/>
        <v>383000.00000000017</v>
      </c>
      <c r="BU91" s="413">
        <v>0.69973890339425582</v>
      </c>
      <c r="BV91" s="413">
        <v>0</v>
      </c>
      <c r="BW91" s="413">
        <v>0</v>
      </c>
      <c r="BX91" s="413">
        <v>0</v>
      </c>
      <c r="BY91" s="413">
        <v>0</v>
      </c>
      <c r="BZ91" s="413">
        <v>0</v>
      </c>
      <c r="CA91" s="413">
        <v>0</v>
      </c>
      <c r="CB91" s="413">
        <v>0.30026109660574413</v>
      </c>
      <c r="CC91" s="413">
        <v>0</v>
      </c>
      <c r="CD91" s="413">
        <v>0</v>
      </c>
      <c r="CE91" s="413">
        <v>0</v>
      </c>
      <c r="CF91" s="413">
        <v>0</v>
      </c>
      <c r="CG91" s="413">
        <v>0</v>
      </c>
      <c r="CH91" s="413">
        <v>0</v>
      </c>
      <c r="CI91" s="413">
        <v>0</v>
      </c>
      <c r="CJ91" s="413">
        <v>0</v>
      </c>
      <c r="CK91" s="413">
        <v>0</v>
      </c>
      <c r="CL91" s="413">
        <v>0</v>
      </c>
      <c r="CM91" s="413">
        <v>0</v>
      </c>
      <c r="CN91" s="413">
        <v>0</v>
      </c>
      <c r="CO91" s="414">
        <f t="shared" si="4"/>
        <v>1</v>
      </c>
    </row>
    <row r="92" spans="1:93" s="415" customFormat="1" ht="25.5" x14ac:dyDescent="0.25">
      <c r="A92" s="881" t="s">
        <v>538</v>
      </c>
      <c r="B92" s="862" t="s">
        <v>2890</v>
      </c>
      <c r="C92" s="861" t="s">
        <v>712</v>
      </c>
      <c r="D92" s="862"/>
      <c r="E92" s="861" t="s">
        <v>655</v>
      </c>
      <c r="F92" s="862"/>
      <c r="G92" s="861"/>
      <c r="H92" s="861" t="s">
        <v>654</v>
      </c>
      <c r="I92" s="861" t="s">
        <v>647</v>
      </c>
      <c r="J92" s="861" t="s">
        <v>671</v>
      </c>
      <c r="K92" s="861" t="s">
        <v>649</v>
      </c>
      <c r="L92" s="861" t="s">
        <v>36</v>
      </c>
      <c r="M92" s="861" t="s">
        <v>653</v>
      </c>
      <c r="N92" s="861" t="s">
        <v>680</v>
      </c>
      <c r="O92" s="861"/>
      <c r="P92" s="861" t="s">
        <v>643</v>
      </c>
      <c r="Q92" s="861" t="s">
        <v>650</v>
      </c>
      <c r="R92" s="861" t="s">
        <v>652</v>
      </c>
      <c r="S92" s="861" t="s">
        <v>649</v>
      </c>
      <c r="T92" s="861"/>
      <c r="U92" s="861"/>
      <c r="V92" s="861" t="s">
        <v>36</v>
      </c>
      <c r="W92" s="861" t="s">
        <v>677</v>
      </c>
      <c r="X92" s="863">
        <v>44013</v>
      </c>
      <c r="Y92" s="863">
        <v>44489</v>
      </c>
      <c r="Z92" s="864">
        <v>2022</v>
      </c>
      <c r="AA92" s="861" t="s">
        <v>676</v>
      </c>
      <c r="AB92" s="861"/>
      <c r="AC92" s="861" t="s">
        <v>663</v>
      </c>
      <c r="AD92" s="865"/>
      <c r="AE92" s="865"/>
      <c r="AF92" s="865"/>
      <c r="AG92" s="865"/>
      <c r="AH92" s="865"/>
      <c r="AI92" s="865"/>
      <c r="AJ92" s="865"/>
      <c r="AK92" s="865"/>
      <c r="AL92" s="865"/>
      <c r="AM92" s="865"/>
      <c r="AN92" s="865"/>
      <c r="AO92" s="865"/>
      <c r="AP92" s="865"/>
      <c r="AQ92" s="865"/>
      <c r="AR92" s="865"/>
      <c r="AS92" s="865"/>
      <c r="AT92" s="865"/>
      <c r="AU92" s="865"/>
      <c r="AV92" s="865">
        <v>268000.00000000041</v>
      </c>
      <c r="AW92" s="865"/>
      <c r="AX92" s="865"/>
      <c r="AY92" s="865">
        <v>115000.00000000015</v>
      </c>
      <c r="AZ92" s="865"/>
      <c r="BA92" s="865"/>
      <c r="BB92" s="865"/>
      <c r="BC92" s="865">
        <v>49790.000000000058</v>
      </c>
      <c r="BD92" s="865"/>
      <c r="BE92" s="865"/>
      <c r="BF92" s="865"/>
      <c r="BG92" s="865"/>
      <c r="BH92" s="865">
        <v>78045.165063202687</v>
      </c>
      <c r="BI92" s="865"/>
      <c r="BJ92" s="865"/>
      <c r="BK92" s="865"/>
      <c r="BL92" s="865"/>
      <c r="BM92" s="865"/>
      <c r="BN92" s="865"/>
      <c r="BO92" s="865"/>
      <c r="BP92" s="865"/>
      <c r="BQ92" s="865"/>
      <c r="BR92" s="865"/>
      <c r="BS92" s="865">
        <v>510835.16506320325</v>
      </c>
      <c r="BT92" s="412">
        <f t="shared" si="5"/>
        <v>383000.00000000058</v>
      </c>
      <c r="BU92" s="413">
        <v>0.69973890339425593</v>
      </c>
      <c r="BV92" s="413">
        <v>0</v>
      </c>
      <c r="BW92" s="413">
        <v>0</v>
      </c>
      <c r="BX92" s="413">
        <v>0</v>
      </c>
      <c r="BY92" s="413">
        <v>0</v>
      </c>
      <c r="BZ92" s="413">
        <v>0</v>
      </c>
      <c r="CA92" s="413">
        <v>0</v>
      </c>
      <c r="CB92" s="413">
        <v>0.30026109660574407</v>
      </c>
      <c r="CC92" s="413">
        <v>0</v>
      </c>
      <c r="CD92" s="413">
        <v>0</v>
      </c>
      <c r="CE92" s="413">
        <v>0</v>
      </c>
      <c r="CF92" s="413">
        <v>0</v>
      </c>
      <c r="CG92" s="413">
        <v>0</v>
      </c>
      <c r="CH92" s="413">
        <v>0</v>
      </c>
      <c r="CI92" s="413">
        <v>0</v>
      </c>
      <c r="CJ92" s="413">
        <v>0</v>
      </c>
      <c r="CK92" s="413">
        <v>0</v>
      </c>
      <c r="CL92" s="413">
        <v>0</v>
      </c>
      <c r="CM92" s="413">
        <v>0</v>
      </c>
      <c r="CN92" s="413">
        <v>0</v>
      </c>
      <c r="CO92" s="414">
        <f t="shared" si="4"/>
        <v>1</v>
      </c>
    </row>
    <row r="93" spans="1:93" s="415" customFormat="1" ht="25.5" x14ac:dyDescent="0.25">
      <c r="A93" s="881" t="s">
        <v>541</v>
      </c>
      <c r="B93" s="862" t="s">
        <v>2892</v>
      </c>
      <c r="C93" s="861" t="s">
        <v>2493</v>
      </c>
      <c r="D93" s="862"/>
      <c r="E93" s="861" t="s">
        <v>655</v>
      </c>
      <c r="F93" s="862"/>
      <c r="G93" s="861"/>
      <c r="H93" s="861" t="s">
        <v>654</v>
      </c>
      <c r="I93" s="861" t="s">
        <v>647</v>
      </c>
      <c r="J93" s="861" t="s">
        <v>641</v>
      </c>
      <c r="K93" s="861" t="s">
        <v>649</v>
      </c>
      <c r="L93" s="861" t="s">
        <v>54</v>
      </c>
      <c r="M93" s="861" t="s">
        <v>653</v>
      </c>
      <c r="N93" s="861" t="s">
        <v>645</v>
      </c>
      <c r="O93" s="861"/>
      <c r="P93" s="861"/>
      <c r="Q93" s="861" t="s">
        <v>650</v>
      </c>
      <c r="R93" s="861" t="s">
        <v>652</v>
      </c>
      <c r="S93" s="861" t="s">
        <v>649</v>
      </c>
      <c r="T93" s="861"/>
      <c r="U93" s="861"/>
      <c r="V93" s="861" t="s">
        <v>685</v>
      </c>
      <c r="W93" s="861" t="s">
        <v>677</v>
      </c>
      <c r="X93" s="863">
        <v>43282</v>
      </c>
      <c r="Y93" s="863">
        <v>44083</v>
      </c>
      <c r="Z93" s="864">
        <v>2021</v>
      </c>
      <c r="AA93" s="861"/>
      <c r="AB93" s="861"/>
      <c r="AC93" s="861"/>
      <c r="AD93" s="865"/>
      <c r="AE93" s="865"/>
      <c r="AF93" s="865"/>
      <c r="AG93" s="865"/>
      <c r="AH93" s="865"/>
      <c r="AI93" s="865"/>
      <c r="AJ93" s="865"/>
      <c r="AK93" s="865"/>
      <c r="AL93" s="865"/>
      <c r="AM93" s="865"/>
      <c r="AN93" s="865"/>
      <c r="AO93" s="865">
        <v>75000</v>
      </c>
      <c r="AP93" s="865"/>
      <c r="AQ93" s="865"/>
      <c r="AR93" s="865">
        <v>450000</v>
      </c>
      <c r="AS93" s="865">
        <v>224999.96250000005</v>
      </c>
      <c r="AT93" s="865"/>
      <c r="AU93" s="865"/>
      <c r="AV93" s="865"/>
      <c r="AW93" s="865"/>
      <c r="AX93" s="865"/>
      <c r="AY93" s="865"/>
      <c r="AZ93" s="865"/>
      <c r="BA93" s="865"/>
      <c r="BB93" s="865"/>
      <c r="BC93" s="865">
        <v>101249.99437499999</v>
      </c>
      <c r="BD93" s="865">
        <v>75000</v>
      </c>
      <c r="BE93" s="865">
        <v>104793.74417812502</v>
      </c>
      <c r="BF93" s="865">
        <v>2422.8701778960944</v>
      </c>
      <c r="BG93" s="865">
        <v>0</v>
      </c>
      <c r="BH93" s="865">
        <v>225785.31370704994</v>
      </c>
      <c r="BI93" s="865"/>
      <c r="BJ93" s="865"/>
      <c r="BK93" s="865"/>
      <c r="BL93" s="865"/>
      <c r="BM93" s="865"/>
      <c r="BN93" s="865"/>
      <c r="BO93" s="865"/>
      <c r="BP93" s="865"/>
      <c r="BQ93" s="865"/>
      <c r="BR93" s="865"/>
      <c r="BS93" s="865">
        <v>1259251.8849380708</v>
      </c>
      <c r="BT93" s="412">
        <f t="shared" si="5"/>
        <v>749999.96250000002</v>
      </c>
      <c r="BU93" s="413">
        <v>0</v>
      </c>
      <c r="BV93" s="413">
        <v>0.29999996499999831</v>
      </c>
      <c r="BW93" s="413">
        <v>0.60000003000000146</v>
      </c>
      <c r="BX93" s="413">
        <v>0</v>
      </c>
      <c r="BY93" s="413">
        <v>0</v>
      </c>
      <c r="BZ93" s="413">
        <v>0</v>
      </c>
      <c r="CA93" s="413">
        <v>0</v>
      </c>
      <c r="CB93" s="413">
        <v>0</v>
      </c>
      <c r="CC93" s="413">
        <v>0</v>
      </c>
      <c r="CD93" s="413">
        <v>0</v>
      </c>
      <c r="CE93" s="413">
        <v>0</v>
      </c>
      <c r="CF93" s="413">
        <v>0</v>
      </c>
      <c r="CG93" s="413">
        <v>0</v>
      </c>
      <c r="CH93" s="413">
        <v>0</v>
      </c>
      <c r="CI93" s="413">
        <v>0</v>
      </c>
      <c r="CJ93" s="413">
        <v>0.10000000500000025</v>
      </c>
      <c r="CK93" s="413">
        <v>0</v>
      </c>
      <c r="CL93" s="413">
        <v>0</v>
      </c>
      <c r="CM93" s="413">
        <v>0</v>
      </c>
      <c r="CN93" s="413">
        <v>0</v>
      </c>
      <c r="CO93" s="414">
        <f t="shared" si="4"/>
        <v>1</v>
      </c>
    </row>
    <row r="94" spans="1:93" s="415" customFormat="1" ht="25.5" x14ac:dyDescent="0.25">
      <c r="A94" s="881" t="s">
        <v>543</v>
      </c>
      <c r="B94" s="862" t="s">
        <v>2893</v>
      </c>
      <c r="C94" s="861" t="s">
        <v>711</v>
      </c>
      <c r="D94" s="862"/>
      <c r="E94" s="861" t="s">
        <v>655</v>
      </c>
      <c r="F94" s="862"/>
      <c r="G94" s="861"/>
      <c r="H94" s="861" t="s">
        <v>654</v>
      </c>
      <c r="I94" s="861" t="s">
        <v>647</v>
      </c>
      <c r="J94" s="861" t="s">
        <v>671</v>
      </c>
      <c r="K94" s="861" t="s">
        <v>649</v>
      </c>
      <c r="L94" s="861" t="s">
        <v>36</v>
      </c>
      <c r="M94" s="861" t="s">
        <v>653</v>
      </c>
      <c r="N94" s="861" t="s">
        <v>680</v>
      </c>
      <c r="O94" s="861"/>
      <c r="P94" s="861" t="s">
        <v>643</v>
      </c>
      <c r="Q94" s="861" t="s">
        <v>650</v>
      </c>
      <c r="R94" s="861" t="s">
        <v>652</v>
      </c>
      <c r="S94" s="861" t="s">
        <v>649</v>
      </c>
      <c r="T94" s="861"/>
      <c r="U94" s="861"/>
      <c r="V94" s="861" t="s">
        <v>36</v>
      </c>
      <c r="W94" s="861" t="s">
        <v>677</v>
      </c>
      <c r="X94" s="863">
        <v>44743</v>
      </c>
      <c r="Y94" s="863">
        <v>45138</v>
      </c>
      <c r="Z94" s="864">
        <v>2024</v>
      </c>
      <c r="AA94" s="861" t="s">
        <v>676</v>
      </c>
      <c r="AB94" s="861"/>
      <c r="AC94" s="861" t="s">
        <v>663</v>
      </c>
      <c r="AD94" s="865"/>
      <c r="AE94" s="865"/>
      <c r="AF94" s="865"/>
      <c r="AG94" s="865"/>
      <c r="AH94" s="865"/>
      <c r="AI94" s="865"/>
      <c r="AJ94" s="865"/>
      <c r="AK94" s="865"/>
      <c r="AL94" s="865"/>
      <c r="AM94" s="865"/>
      <c r="AN94" s="865"/>
      <c r="AO94" s="865"/>
      <c r="AP94" s="865"/>
      <c r="AQ94" s="865"/>
      <c r="AR94" s="865"/>
      <c r="AS94" s="865"/>
      <c r="AT94" s="865"/>
      <c r="AU94" s="865"/>
      <c r="AV94" s="865">
        <v>84000.000000000044</v>
      </c>
      <c r="AW94" s="865"/>
      <c r="AX94" s="865"/>
      <c r="AY94" s="865"/>
      <c r="AZ94" s="865"/>
      <c r="BA94" s="865"/>
      <c r="BB94" s="865"/>
      <c r="BC94" s="865">
        <v>10920.000000000005</v>
      </c>
      <c r="BD94" s="865"/>
      <c r="BE94" s="865"/>
      <c r="BF94" s="865"/>
      <c r="BG94" s="865"/>
      <c r="BH94" s="865">
        <v>17116.955261903444</v>
      </c>
      <c r="BI94" s="865"/>
      <c r="BJ94" s="865"/>
      <c r="BK94" s="865"/>
      <c r="BL94" s="865"/>
      <c r="BM94" s="865"/>
      <c r="BN94" s="865"/>
      <c r="BO94" s="865"/>
      <c r="BP94" s="865"/>
      <c r="BQ94" s="865"/>
      <c r="BR94" s="865"/>
      <c r="BS94" s="865">
        <v>112036.95526190349</v>
      </c>
      <c r="BT94" s="412">
        <f t="shared" si="5"/>
        <v>84000.000000000044</v>
      </c>
      <c r="BU94" s="413">
        <v>1</v>
      </c>
      <c r="BV94" s="413">
        <v>0</v>
      </c>
      <c r="BW94" s="413">
        <v>0</v>
      </c>
      <c r="BX94" s="413">
        <v>0</v>
      </c>
      <c r="BY94" s="413">
        <v>0</v>
      </c>
      <c r="BZ94" s="413">
        <v>0</v>
      </c>
      <c r="CA94" s="413">
        <v>0</v>
      </c>
      <c r="CB94" s="413">
        <v>0</v>
      </c>
      <c r="CC94" s="413">
        <v>0</v>
      </c>
      <c r="CD94" s="413">
        <v>0</v>
      </c>
      <c r="CE94" s="413">
        <v>0</v>
      </c>
      <c r="CF94" s="413">
        <v>0</v>
      </c>
      <c r="CG94" s="413">
        <v>0</v>
      </c>
      <c r="CH94" s="413">
        <v>0</v>
      </c>
      <c r="CI94" s="413">
        <v>0</v>
      </c>
      <c r="CJ94" s="413">
        <v>0</v>
      </c>
      <c r="CK94" s="413">
        <v>0</v>
      </c>
      <c r="CL94" s="413">
        <v>0</v>
      </c>
      <c r="CM94" s="413">
        <v>0</v>
      </c>
      <c r="CN94" s="413">
        <v>0</v>
      </c>
      <c r="CO94" s="414">
        <f t="shared" si="4"/>
        <v>1</v>
      </c>
    </row>
    <row r="95" spans="1:93" s="415" customFormat="1" ht="25.5" x14ac:dyDescent="0.25">
      <c r="A95" s="881" t="s">
        <v>547</v>
      </c>
      <c r="B95" s="862" t="s">
        <v>2894</v>
      </c>
      <c r="C95" s="861" t="s">
        <v>709</v>
      </c>
      <c r="D95" s="862"/>
      <c r="E95" s="861" t="s">
        <v>655</v>
      </c>
      <c r="F95" s="862"/>
      <c r="G95" s="861"/>
      <c r="H95" s="861" t="s">
        <v>654</v>
      </c>
      <c r="I95" s="861" t="s">
        <v>647</v>
      </c>
      <c r="J95" s="861" t="s">
        <v>641</v>
      </c>
      <c r="K95" s="861" t="s">
        <v>649</v>
      </c>
      <c r="L95" s="861" t="s">
        <v>28</v>
      </c>
      <c r="M95" s="861" t="s">
        <v>653</v>
      </c>
      <c r="N95" s="861" t="s">
        <v>645</v>
      </c>
      <c r="O95" s="861"/>
      <c r="P95" s="861"/>
      <c r="Q95" s="861" t="s">
        <v>656</v>
      </c>
      <c r="R95" s="861" t="s">
        <v>652</v>
      </c>
      <c r="S95" s="861" t="s">
        <v>649</v>
      </c>
      <c r="T95" s="861"/>
      <c r="U95" s="861"/>
      <c r="V95" s="861" t="s">
        <v>685</v>
      </c>
      <c r="W95" s="861" t="s">
        <v>666</v>
      </c>
      <c r="X95" s="863">
        <v>43282</v>
      </c>
      <c r="Y95" s="863">
        <v>45103</v>
      </c>
      <c r="Z95" s="864">
        <v>2023</v>
      </c>
      <c r="AA95" s="861"/>
      <c r="AB95" s="861"/>
      <c r="AC95" s="861"/>
      <c r="AD95" s="865"/>
      <c r="AE95" s="865"/>
      <c r="AF95" s="865"/>
      <c r="AG95" s="865"/>
      <c r="AH95" s="865"/>
      <c r="AI95" s="865"/>
      <c r="AJ95" s="865"/>
      <c r="AK95" s="865"/>
      <c r="AL95" s="865"/>
      <c r="AM95" s="865"/>
      <c r="AN95" s="865"/>
      <c r="AO95" s="865"/>
      <c r="AP95" s="865"/>
      <c r="AQ95" s="865"/>
      <c r="AR95" s="865">
        <v>1056032.625</v>
      </c>
      <c r="AS95" s="865">
        <v>29999.9925</v>
      </c>
      <c r="AT95" s="865"/>
      <c r="AU95" s="865"/>
      <c r="AV95" s="865"/>
      <c r="AW95" s="865"/>
      <c r="AX95" s="865"/>
      <c r="AY95" s="865"/>
      <c r="AZ95" s="865"/>
      <c r="BA95" s="865"/>
      <c r="BB95" s="865"/>
      <c r="BC95" s="865"/>
      <c r="BD95" s="865">
        <v>108603.26174999996</v>
      </c>
      <c r="BE95" s="865">
        <v>161275.84369874999</v>
      </c>
      <c r="BF95" s="865">
        <v>3728.7572381090613</v>
      </c>
      <c r="BG95" s="865">
        <v>0</v>
      </c>
      <c r="BH95" s="865">
        <v>347479.87342638092</v>
      </c>
      <c r="BI95" s="865"/>
      <c r="BJ95" s="865"/>
      <c r="BK95" s="865"/>
      <c r="BL95" s="865"/>
      <c r="BM95" s="865"/>
      <c r="BN95" s="865"/>
      <c r="BO95" s="865"/>
      <c r="BP95" s="865"/>
      <c r="BQ95" s="865"/>
      <c r="BR95" s="865"/>
      <c r="BS95" s="865">
        <v>1707120.3536132399</v>
      </c>
      <c r="BT95" s="412">
        <f t="shared" si="5"/>
        <v>1086032.6174999999</v>
      </c>
      <c r="BU95" s="413">
        <v>0</v>
      </c>
      <c r="BV95" s="413">
        <v>2.7623472828153802E-2</v>
      </c>
      <c r="BW95" s="413">
        <v>0.97237652717184631</v>
      </c>
      <c r="BX95" s="413">
        <v>0</v>
      </c>
      <c r="BY95" s="413">
        <v>0</v>
      </c>
      <c r="BZ95" s="413">
        <v>0</v>
      </c>
      <c r="CA95" s="413">
        <v>0</v>
      </c>
      <c r="CB95" s="413">
        <v>0</v>
      </c>
      <c r="CC95" s="413">
        <v>0</v>
      </c>
      <c r="CD95" s="413">
        <v>0</v>
      </c>
      <c r="CE95" s="413">
        <v>0</v>
      </c>
      <c r="CF95" s="413">
        <v>0</v>
      </c>
      <c r="CG95" s="413">
        <v>0</v>
      </c>
      <c r="CH95" s="413">
        <v>0</v>
      </c>
      <c r="CI95" s="413">
        <v>0</v>
      </c>
      <c r="CJ95" s="413">
        <v>0</v>
      </c>
      <c r="CK95" s="413">
        <v>0</v>
      </c>
      <c r="CL95" s="413">
        <v>0</v>
      </c>
      <c r="CM95" s="413">
        <v>0</v>
      </c>
      <c r="CN95" s="413">
        <v>0</v>
      </c>
      <c r="CO95" s="414">
        <f t="shared" si="4"/>
        <v>1</v>
      </c>
    </row>
    <row r="96" spans="1:93" s="415" customFormat="1" ht="25.5" x14ac:dyDescent="0.25">
      <c r="A96" s="881" t="s">
        <v>549</v>
      </c>
      <c r="B96" s="862" t="s">
        <v>2895</v>
      </c>
      <c r="C96" s="861" t="s">
        <v>2786</v>
      </c>
      <c r="D96" s="862"/>
      <c r="E96" s="861" t="s">
        <v>655</v>
      </c>
      <c r="F96" s="862"/>
      <c r="G96" s="861"/>
      <c r="H96" s="861" t="s">
        <v>654</v>
      </c>
      <c r="I96" s="861" t="s">
        <v>647</v>
      </c>
      <c r="J96" s="861" t="s">
        <v>641</v>
      </c>
      <c r="K96" s="861" t="s">
        <v>649</v>
      </c>
      <c r="L96" s="861" t="s">
        <v>40</v>
      </c>
      <c r="M96" s="861" t="s">
        <v>653</v>
      </c>
      <c r="N96" s="861" t="s">
        <v>645</v>
      </c>
      <c r="O96" s="861"/>
      <c r="P96" s="861"/>
      <c r="Q96" s="861" t="s">
        <v>656</v>
      </c>
      <c r="R96" s="861" t="s">
        <v>652</v>
      </c>
      <c r="S96" s="861" t="s">
        <v>649</v>
      </c>
      <c r="T96" s="861"/>
      <c r="U96" s="861"/>
      <c r="V96" s="861" t="s">
        <v>685</v>
      </c>
      <c r="W96" s="861" t="s">
        <v>684</v>
      </c>
      <c r="X96" s="863">
        <v>43282</v>
      </c>
      <c r="Y96" s="863">
        <v>44377</v>
      </c>
      <c r="Z96" s="864">
        <v>2024</v>
      </c>
      <c r="AA96" s="861"/>
      <c r="AB96" s="861"/>
      <c r="AC96" s="861"/>
      <c r="AD96" s="865"/>
      <c r="AE96" s="865"/>
      <c r="AF96" s="865"/>
      <c r="AG96" s="865"/>
      <c r="AH96" s="865"/>
      <c r="AI96" s="865"/>
      <c r="AJ96" s="865"/>
      <c r="AK96" s="865"/>
      <c r="AL96" s="865">
        <v>1785000.0000000007</v>
      </c>
      <c r="AM96" s="865"/>
      <c r="AN96" s="865"/>
      <c r="AO96" s="865"/>
      <c r="AP96" s="865"/>
      <c r="AQ96" s="865"/>
      <c r="AR96" s="865"/>
      <c r="AS96" s="865"/>
      <c r="AT96" s="865"/>
      <c r="AU96" s="865"/>
      <c r="AV96" s="865"/>
      <c r="AW96" s="865"/>
      <c r="AX96" s="865"/>
      <c r="AY96" s="865"/>
      <c r="AZ96" s="865"/>
      <c r="BA96" s="865"/>
      <c r="BB96" s="865"/>
      <c r="BC96" s="865">
        <v>267750.00000000006</v>
      </c>
      <c r="BD96" s="865">
        <v>178500.00000000006</v>
      </c>
      <c r="BE96" s="865">
        <v>301218.75000000006</v>
      </c>
      <c r="BF96" s="865">
        <v>6964.2890625000027</v>
      </c>
      <c r="BG96" s="865">
        <v>0</v>
      </c>
      <c r="BH96" s="865">
        <v>654907.30864616553</v>
      </c>
      <c r="BI96" s="865"/>
      <c r="BJ96" s="865"/>
      <c r="BK96" s="865"/>
      <c r="BL96" s="865"/>
      <c r="BM96" s="865"/>
      <c r="BN96" s="865"/>
      <c r="BO96" s="865"/>
      <c r="BP96" s="865"/>
      <c r="BQ96" s="865"/>
      <c r="BR96" s="865"/>
      <c r="BS96" s="865">
        <v>3194340.3477086662</v>
      </c>
      <c r="BT96" s="412">
        <f t="shared" si="5"/>
        <v>1785000.0000000007</v>
      </c>
      <c r="BU96" s="413">
        <v>0</v>
      </c>
      <c r="BV96" s="413">
        <v>0</v>
      </c>
      <c r="BW96" s="413">
        <v>0</v>
      </c>
      <c r="BX96" s="413">
        <v>0</v>
      </c>
      <c r="BY96" s="413">
        <v>0</v>
      </c>
      <c r="BZ96" s="413">
        <v>0</v>
      </c>
      <c r="CA96" s="413">
        <v>0</v>
      </c>
      <c r="CB96" s="413">
        <v>0</v>
      </c>
      <c r="CC96" s="413">
        <v>0</v>
      </c>
      <c r="CD96" s="413">
        <v>0</v>
      </c>
      <c r="CE96" s="413">
        <v>0</v>
      </c>
      <c r="CF96" s="413">
        <v>0</v>
      </c>
      <c r="CG96" s="413">
        <v>0</v>
      </c>
      <c r="CH96" s="413">
        <v>0</v>
      </c>
      <c r="CI96" s="413">
        <v>1</v>
      </c>
      <c r="CJ96" s="413">
        <v>0</v>
      </c>
      <c r="CK96" s="413">
        <v>0</v>
      </c>
      <c r="CL96" s="413">
        <v>0</v>
      </c>
      <c r="CM96" s="413">
        <v>0</v>
      </c>
      <c r="CN96" s="413">
        <v>0</v>
      </c>
      <c r="CO96" s="414">
        <f t="shared" si="4"/>
        <v>1</v>
      </c>
    </row>
    <row r="97" spans="1:93" s="415" customFormat="1" ht="25.5" x14ac:dyDescent="0.25">
      <c r="A97" s="881" t="s">
        <v>550</v>
      </c>
      <c r="B97" s="862" t="s">
        <v>2896</v>
      </c>
      <c r="C97" s="861" t="s">
        <v>2686</v>
      </c>
      <c r="D97" s="862"/>
      <c r="E97" s="861" t="s">
        <v>2787</v>
      </c>
      <c r="F97" s="862"/>
      <c r="G97" s="861" t="s">
        <v>686</v>
      </c>
      <c r="H97" s="861" t="s">
        <v>654</v>
      </c>
      <c r="I97" s="861" t="s">
        <v>647</v>
      </c>
      <c r="J97" s="861" t="s">
        <v>641</v>
      </c>
      <c r="K97" s="861" t="s">
        <v>649</v>
      </c>
      <c r="L97" s="861" t="s">
        <v>54</v>
      </c>
      <c r="M97" s="861" t="s">
        <v>653</v>
      </c>
      <c r="N97" s="861" t="s">
        <v>680</v>
      </c>
      <c r="O97" s="861"/>
      <c r="P97" s="861" t="s">
        <v>643</v>
      </c>
      <c r="Q97" s="861" t="s">
        <v>642</v>
      </c>
      <c r="R97" s="861" t="s">
        <v>652</v>
      </c>
      <c r="S97" s="861" t="s">
        <v>649</v>
      </c>
      <c r="T97" s="861"/>
      <c r="U97" s="861" t="s">
        <v>689</v>
      </c>
      <c r="V97" s="861" t="s">
        <v>641</v>
      </c>
      <c r="W97" s="861" t="s">
        <v>690</v>
      </c>
      <c r="X97" s="863">
        <v>42917</v>
      </c>
      <c r="Y97" s="863">
        <v>43959</v>
      </c>
      <c r="Z97" s="864">
        <v>2020</v>
      </c>
      <c r="AA97" s="861" t="s">
        <v>649</v>
      </c>
      <c r="AB97" s="861"/>
      <c r="AC97" s="861" t="s">
        <v>663</v>
      </c>
      <c r="AD97" s="865"/>
      <c r="AE97" s="865"/>
      <c r="AF97" s="865"/>
      <c r="AG97" s="865">
        <v>1586227.7616626881</v>
      </c>
      <c r="AH97" s="865"/>
      <c r="AI97" s="865">
        <v>1552173.786830157</v>
      </c>
      <c r="AJ97" s="865"/>
      <c r="AK97" s="865">
        <v>119999.99998924993</v>
      </c>
      <c r="AL97" s="865">
        <v>520400.01500794408</v>
      </c>
      <c r="AM97" s="865"/>
      <c r="AN97" s="865"/>
      <c r="AO97" s="865">
        <v>49999.999999999971</v>
      </c>
      <c r="AP97" s="865"/>
      <c r="AQ97" s="865"/>
      <c r="AR97" s="865"/>
      <c r="AS97" s="865"/>
      <c r="AT97" s="865">
        <v>59999.999999999971</v>
      </c>
      <c r="AU97" s="865"/>
      <c r="AV97" s="865"/>
      <c r="AW97" s="865"/>
      <c r="AX97" s="865"/>
      <c r="AY97" s="865"/>
      <c r="AZ97" s="865"/>
      <c r="BA97" s="865"/>
      <c r="BB97" s="865"/>
      <c r="BC97" s="865">
        <v>464273.47702350584</v>
      </c>
      <c r="BD97" s="865">
        <v>309515.65134900383</v>
      </c>
      <c r="BE97" s="865">
        <v>522307.6616514441</v>
      </c>
      <c r="BF97" s="865">
        <v>13955.970472163483</v>
      </c>
      <c r="BG97" s="865">
        <v>314515.65134900389</v>
      </c>
      <c r="BH97" s="865">
        <v>964700.4169411076</v>
      </c>
      <c r="BI97" s="865"/>
      <c r="BJ97" s="865"/>
      <c r="BK97" s="865"/>
      <c r="BL97" s="865"/>
      <c r="BM97" s="865"/>
      <c r="BN97" s="865"/>
      <c r="BO97" s="865"/>
      <c r="BP97" s="865"/>
      <c r="BQ97" s="865"/>
      <c r="BR97" s="865"/>
      <c r="BS97" s="865">
        <v>6478070.3922762675</v>
      </c>
      <c r="BT97" s="412">
        <f t="shared" si="5"/>
        <v>3888801.5634900387</v>
      </c>
      <c r="BU97" s="413">
        <v>0</v>
      </c>
      <c r="BV97" s="413">
        <v>0</v>
      </c>
      <c r="BW97" s="413">
        <v>0</v>
      </c>
      <c r="BX97" s="413">
        <v>0</v>
      </c>
      <c r="BY97" s="413">
        <v>0</v>
      </c>
      <c r="BZ97" s="413">
        <v>1.5428917886504976E-2</v>
      </c>
      <c r="CA97" s="413">
        <v>0</v>
      </c>
      <c r="CB97" s="413">
        <v>0</v>
      </c>
      <c r="CC97" s="413">
        <v>0</v>
      </c>
      <c r="CD97" s="413">
        <v>0.40789629806647021</v>
      </c>
      <c r="CE97" s="413">
        <v>0</v>
      </c>
      <c r="CF97" s="413">
        <v>0.39913936504313302</v>
      </c>
      <c r="CG97" s="413">
        <v>3.08578357702456E-2</v>
      </c>
      <c r="CH97" s="413">
        <v>0</v>
      </c>
      <c r="CI97" s="413">
        <v>0.13382015166155883</v>
      </c>
      <c r="CJ97" s="413">
        <v>1.2857431572087477E-2</v>
      </c>
      <c r="CK97" s="413">
        <v>0</v>
      </c>
      <c r="CL97" s="413">
        <v>0</v>
      </c>
      <c r="CM97" s="413">
        <v>0</v>
      </c>
      <c r="CN97" s="413">
        <v>0</v>
      </c>
      <c r="CO97" s="414">
        <f t="shared" si="4"/>
        <v>1</v>
      </c>
    </row>
    <row r="98" spans="1:93" s="415" customFormat="1" ht="25.5" x14ac:dyDescent="0.25">
      <c r="A98" s="881" t="s">
        <v>554</v>
      </c>
      <c r="B98" s="862" t="s">
        <v>2897</v>
      </c>
      <c r="C98" s="861" t="s">
        <v>706</v>
      </c>
      <c r="D98" s="862"/>
      <c r="E98" s="861"/>
      <c r="F98" s="862"/>
      <c r="G98" s="861"/>
      <c r="H98" s="861" t="s">
        <v>654</v>
      </c>
      <c r="I98" s="861" t="s">
        <v>647</v>
      </c>
      <c r="J98" s="861" t="s">
        <v>641</v>
      </c>
      <c r="K98" s="861" t="s">
        <v>649</v>
      </c>
      <c r="L98" s="861" t="s">
        <v>54</v>
      </c>
      <c r="M98" s="861" t="s">
        <v>653</v>
      </c>
      <c r="N98" s="861" t="s">
        <v>680</v>
      </c>
      <c r="O98" s="861"/>
      <c r="P98" s="861" t="s">
        <v>643</v>
      </c>
      <c r="Q98" s="861" t="s">
        <v>650</v>
      </c>
      <c r="R98" s="861" t="s">
        <v>652</v>
      </c>
      <c r="S98" s="861" t="s">
        <v>663</v>
      </c>
      <c r="T98" s="861"/>
      <c r="U98" s="861" t="s">
        <v>689</v>
      </c>
      <c r="V98" s="861" t="s">
        <v>641</v>
      </c>
      <c r="W98" s="861" t="s">
        <v>684</v>
      </c>
      <c r="X98" s="863">
        <v>44013</v>
      </c>
      <c r="Y98" s="863">
        <v>45107</v>
      </c>
      <c r="Z98" s="864">
        <v>2023</v>
      </c>
      <c r="AA98" s="861" t="s">
        <v>663</v>
      </c>
      <c r="AB98" s="861"/>
      <c r="AC98" s="861" t="s">
        <v>663</v>
      </c>
      <c r="AD98" s="865"/>
      <c r="AE98" s="865"/>
      <c r="AF98" s="865"/>
      <c r="AG98" s="865">
        <v>89937.000000000015</v>
      </c>
      <c r="AH98" s="865"/>
      <c r="AI98" s="865">
        <v>19500</v>
      </c>
      <c r="AJ98" s="865"/>
      <c r="AK98" s="865"/>
      <c r="AL98" s="865">
        <v>7920.0000000000027</v>
      </c>
      <c r="AM98" s="865"/>
      <c r="AN98" s="865"/>
      <c r="AO98" s="865">
        <v>18136.103532500005</v>
      </c>
      <c r="AP98" s="865"/>
      <c r="AQ98" s="865"/>
      <c r="AR98" s="865"/>
      <c r="AS98" s="865"/>
      <c r="AT98" s="865"/>
      <c r="AU98" s="865"/>
      <c r="AV98" s="865"/>
      <c r="AW98" s="865"/>
      <c r="AX98" s="865"/>
      <c r="AY98" s="865"/>
      <c r="AZ98" s="865"/>
      <c r="BA98" s="865"/>
      <c r="BB98" s="865"/>
      <c r="BC98" s="865">
        <v>292298.2155298749</v>
      </c>
      <c r="BD98" s="865"/>
      <c r="BE98" s="865">
        <v>62206.828073420649</v>
      </c>
      <c r="BF98" s="865">
        <v>1468.4949046234387</v>
      </c>
      <c r="BG98" s="865">
        <v>28264.007763500009</v>
      </c>
      <c r="BH98" s="865">
        <v>222735.54180327395</v>
      </c>
      <c r="BI98" s="865">
        <v>44000</v>
      </c>
      <c r="BJ98" s="865"/>
      <c r="BK98" s="865"/>
      <c r="BL98" s="865"/>
      <c r="BM98" s="865"/>
      <c r="BN98" s="865"/>
      <c r="BO98" s="865"/>
      <c r="BP98" s="865"/>
      <c r="BQ98" s="865"/>
      <c r="BR98" s="865"/>
      <c r="BS98" s="865">
        <v>786466.19160719309</v>
      </c>
      <c r="BT98" s="412">
        <f t="shared" si="5"/>
        <v>135493.10353250001</v>
      </c>
      <c r="BU98" s="413">
        <v>0</v>
      </c>
      <c r="BV98" s="413">
        <v>0</v>
      </c>
      <c r="BW98" s="413">
        <v>0</v>
      </c>
      <c r="BX98" s="413">
        <v>0</v>
      </c>
      <c r="BY98" s="413">
        <v>0</v>
      </c>
      <c r="BZ98" s="413">
        <v>0</v>
      </c>
      <c r="CA98" s="413">
        <v>0</v>
      </c>
      <c r="CB98" s="413">
        <v>0</v>
      </c>
      <c r="CC98" s="413">
        <v>0</v>
      </c>
      <c r="CD98" s="413">
        <v>0.66377548122534002</v>
      </c>
      <c r="CE98" s="413">
        <v>0</v>
      </c>
      <c r="CF98" s="413">
        <v>0.14391876406700388</v>
      </c>
      <c r="CG98" s="413">
        <v>0</v>
      </c>
      <c r="CH98" s="413">
        <v>0</v>
      </c>
      <c r="CI98" s="413">
        <v>5.84531595595216E-2</v>
      </c>
      <c r="CJ98" s="413">
        <v>0.13385259514813455</v>
      </c>
      <c r="CK98" s="413">
        <v>0</v>
      </c>
      <c r="CL98" s="413">
        <v>0</v>
      </c>
      <c r="CM98" s="413">
        <v>0</v>
      </c>
      <c r="CN98" s="413">
        <v>0</v>
      </c>
      <c r="CO98" s="414">
        <f t="shared" si="4"/>
        <v>1</v>
      </c>
    </row>
    <row r="99" spans="1:93" s="415" customFormat="1" ht="25.5" x14ac:dyDescent="0.25">
      <c r="A99" s="881" t="s">
        <v>556</v>
      </c>
      <c r="B99" s="862" t="s">
        <v>2898</v>
      </c>
      <c r="C99" s="861" t="s">
        <v>2494</v>
      </c>
      <c r="D99" s="862"/>
      <c r="E99" s="861"/>
      <c r="F99" s="862"/>
      <c r="G99" s="861"/>
      <c r="H99" s="861" t="s">
        <v>654</v>
      </c>
      <c r="I99" s="861" t="s">
        <v>647</v>
      </c>
      <c r="J99" s="861" t="s">
        <v>641</v>
      </c>
      <c r="K99" s="861" t="s">
        <v>649</v>
      </c>
      <c r="L99" s="861" t="s">
        <v>40</v>
      </c>
      <c r="M99" s="861" t="s">
        <v>653</v>
      </c>
      <c r="N99" s="861" t="s">
        <v>680</v>
      </c>
      <c r="O99" s="861"/>
      <c r="P99" s="861" t="s">
        <v>643</v>
      </c>
      <c r="Q99" s="861" t="s">
        <v>656</v>
      </c>
      <c r="R99" s="861" t="s">
        <v>652</v>
      </c>
      <c r="S99" s="861" t="s">
        <v>649</v>
      </c>
      <c r="T99" s="861"/>
      <c r="U99" s="861" t="s">
        <v>689</v>
      </c>
      <c r="V99" s="861" t="s">
        <v>641</v>
      </c>
      <c r="W99" s="861" t="s">
        <v>688</v>
      </c>
      <c r="X99" s="863">
        <v>43282</v>
      </c>
      <c r="Y99" s="863">
        <v>44736</v>
      </c>
      <c r="Z99" s="864">
        <v>2022</v>
      </c>
      <c r="AA99" s="861" t="s">
        <v>676</v>
      </c>
      <c r="AB99" s="861"/>
      <c r="AC99" s="861" t="s">
        <v>663</v>
      </c>
      <c r="AD99" s="865"/>
      <c r="AE99" s="865"/>
      <c r="AF99" s="865"/>
      <c r="AG99" s="865"/>
      <c r="AH99" s="865"/>
      <c r="AI99" s="865">
        <v>31057.499999999949</v>
      </c>
      <c r="AJ99" s="865">
        <v>384499.99999999924</v>
      </c>
      <c r="AK99" s="865"/>
      <c r="AL99" s="865">
        <v>213811.83999999965</v>
      </c>
      <c r="AM99" s="865"/>
      <c r="AN99" s="865"/>
      <c r="AO99" s="865"/>
      <c r="AP99" s="865"/>
      <c r="AQ99" s="865"/>
      <c r="AR99" s="865"/>
      <c r="AS99" s="865"/>
      <c r="AT99" s="865"/>
      <c r="AU99" s="865"/>
      <c r="AV99" s="865"/>
      <c r="AW99" s="865"/>
      <c r="AX99" s="865"/>
      <c r="AY99" s="865"/>
      <c r="AZ99" s="865"/>
      <c r="BA99" s="865"/>
      <c r="BB99" s="865"/>
      <c r="BC99" s="865">
        <v>169149.65099999966</v>
      </c>
      <c r="BD99" s="865">
        <v>69436.433999999863</v>
      </c>
      <c r="BE99" s="865">
        <v>117173.98237499977</v>
      </c>
      <c r="BF99" s="865">
        <v>2709.1058702812438</v>
      </c>
      <c r="BG99" s="865">
        <v>0</v>
      </c>
      <c r="BH99" s="865">
        <v>176365.53298186735</v>
      </c>
      <c r="BI99" s="865"/>
      <c r="BJ99" s="865"/>
      <c r="BK99" s="865"/>
      <c r="BL99" s="865"/>
      <c r="BM99" s="865"/>
      <c r="BN99" s="865"/>
      <c r="BO99" s="865"/>
      <c r="BP99" s="865"/>
      <c r="BQ99" s="865"/>
      <c r="BR99" s="865"/>
      <c r="BS99" s="865">
        <v>1164204.0462271469</v>
      </c>
      <c r="BT99" s="412">
        <f t="shared" si="5"/>
        <v>629369.3399999988</v>
      </c>
      <c r="BU99" s="413">
        <v>0</v>
      </c>
      <c r="BV99" s="413">
        <v>0</v>
      </c>
      <c r="BW99" s="413">
        <v>0</v>
      </c>
      <c r="BX99" s="413">
        <v>0</v>
      </c>
      <c r="BY99" s="413">
        <v>0</v>
      </c>
      <c r="BZ99" s="413">
        <v>0</v>
      </c>
      <c r="CA99" s="413">
        <v>0</v>
      </c>
      <c r="CB99" s="413">
        <v>0</v>
      </c>
      <c r="CC99" s="413">
        <v>0</v>
      </c>
      <c r="CD99" s="413">
        <v>0</v>
      </c>
      <c r="CE99" s="413">
        <v>0.61092902936771587</v>
      </c>
      <c r="CF99" s="413">
        <v>4.934701776225707E-2</v>
      </c>
      <c r="CG99" s="413">
        <v>0</v>
      </c>
      <c r="CH99" s="413">
        <v>0</v>
      </c>
      <c r="CI99" s="413">
        <v>0.3397239528700271</v>
      </c>
      <c r="CJ99" s="413">
        <v>0</v>
      </c>
      <c r="CK99" s="413">
        <v>0</v>
      </c>
      <c r="CL99" s="413">
        <v>0</v>
      </c>
      <c r="CM99" s="413">
        <v>0</v>
      </c>
      <c r="CN99" s="413">
        <v>0</v>
      </c>
      <c r="CO99" s="414">
        <f t="shared" si="4"/>
        <v>1</v>
      </c>
    </row>
    <row r="100" spans="1:93" s="415" customFormat="1" ht="25.5" x14ac:dyDescent="0.25">
      <c r="A100" s="881" t="s">
        <v>558</v>
      </c>
      <c r="B100" s="862" t="s">
        <v>2357</v>
      </c>
      <c r="C100" s="861" t="s">
        <v>2687</v>
      </c>
      <c r="D100" s="862"/>
      <c r="E100" s="861" t="s">
        <v>655</v>
      </c>
      <c r="F100" s="862"/>
      <c r="G100" s="861"/>
      <c r="H100" s="861" t="s">
        <v>654</v>
      </c>
      <c r="I100" s="861" t="s">
        <v>647</v>
      </c>
      <c r="J100" s="861" t="s">
        <v>641</v>
      </c>
      <c r="K100" s="861" t="s">
        <v>649</v>
      </c>
      <c r="L100" s="861" t="s">
        <v>41</v>
      </c>
      <c r="M100" s="861" t="s">
        <v>653</v>
      </c>
      <c r="N100" s="861" t="s">
        <v>645</v>
      </c>
      <c r="O100" s="861"/>
      <c r="P100" s="861"/>
      <c r="Q100" s="861" t="s">
        <v>642</v>
      </c>
      <c r="R100" s="861" t="s">
        <v>652</v>
      </c>
      <c r="S100" s="861" t="s">
        <v>649</v>
      </c>
      <c r="T100" s="861"/>
      <c r="U100" s="861"/>
      <c r="V100" s="861" t="s">
        <v>641</v>
      </c>
      <c r="W100" s="861" t="s">
        <v>666</v>
      </c>
      <c r="X100" s="863">
        <v>42919</v>
      </c>
      <c r="Y100" s="863">
        <v>45097</v>
      </c>
      <c r="Z100" s="864">
        <v>2023</v>
      </c>
      <c r="AA100" s="861"/>
      <c r="AB100" s="861"/>
      <c r="AC100" s="861"/>
      <c r="AD100" s="865"/>
      <c r="AE100" s="865"/>
      <c r="AF100" s="865"/>
      <c r="AG100" s="866">
        <v>0</v>
      </c>
      <c r="AH100" s="865"/>
      <c r="AI100" s="865"/>
      <c r="AJ100" s="865"/>
      <c r="AK100" s="865"/>
      <c r="AL100" s="865"/>
      <c r="AM100" s="865"/>
      <c r="AN100" s="865"/>
      <c r="AO100" s="866">
        <v>0</v>
      </c>
      <c r="AP100" s="866">
        <v>0</v>
      </c>
      <c r="AQ100" s="866">
        <v>2994494.56300034</v>
      </c>
      <c r="AR100" s="865"/>
      <c r="AS100" s="865"/>
      <c r="AT100" s="865"/>
      <c r="AU100" s="865"/>
      <c r="AV100" s="865"/>
      <c r="AW100" s="865"/>
      <c r="AX100" s="865"/>
      <c r="AY100" s="865"/>
      <c r="AZ100" s="865"/>
      <c r="BA100" s="865"/>
      <c r="BB100" s="865"/>
      <c r="BC100" s="865">
        <v>2862449.1844500508</v>
      </c>
      <c r="BD100" s="865">
        <v>509299.45630003395</v>
      </c>
      <c r="BE100" s="865">
        <v>859442.83250630728</v>
      </c>
      <c r="BF100" s="865">
        <v>19870.636599706009</v>
      </c>
      <c r="BG100" s="865">
        <v>0</v>
      </c>
      <c r="BH100" s="865">
        <v>1293598.545941039</v>
      </c>
      <c r="BI100" s="865"/>
      <c r="BJ100" s="865"/>
      <c r="BK100" s="865"/>
      <c r="BL100" s="865"/>
      <c r="BM100" s="865"/>
      <c r="BN100" s="865"/>
      <c r="BO100" s="865"/>
      <c r="BP100" s="865"/>
      <c r="BQ100" s="865"/>
      <c r="BR100" s="865"/>
      <c r="BS100" s="865">
        <v>8539155.2187974807</v>
      </c>
      <c r="BT100" s="412">
        <f t="shared" si="5"/>
        <v>2994494.56300034</v>
      </c>
      <c r="BU100" s="413">
        <v>0</v>
      </c>
      <c r="BV100" s="413">
        <v>0</v>
      </c>
      <c r="BW100" s="413">
        <v>0</v>
      </c>
      <c r="BX100" s="413">
        <v>0</v>
      </c>
      <c r="BY100" s="413">
        <v>0</v>
      </c>
      <c r="BZ100" s="413">
        <v>0</v>
      </c>
      <c r="CA100" s="413">
        <v>0</v>
      </c>
      <c r="CB100" s="413">
        <v>0</v>
      </c>
      <c r="CC100" s="413">
        <v>0</v>
      </c>
      <c r="CD100" s="413">
        <v>0</v>
      </c>
      <c r="CE100" s="413">
        <v>0</v>
      </c>
      <c r="CF100" s="413">
        <v>0</v>
      </c>
      <c r="CG100" s="413">
        <v>0</v>
      </c>
      <c r="CH100" s="413">
        <v>0</v>
      </c>
      <c r="CI100" s="413">
        <v>0</v>
      </c>
      <c r="CJ100" s="413">
        <v>0</v>
      </c>
      <c r="CK100" s="413">
        <v>0</v>
      </c>
      <c r="CL100" s="413">
        <v>0</v>
      </c>
      <c r="CM100" s="413">
        <v>0</v>
      </c>
      <c r="CN100" s="413">
        <v>1</v>
      </c>
      <c r="CO100" s="414">
        <f t="shared" si="4"/>
        <v>1</v>
      </c>
    </row>
    <row r="101" spans="1:93" s="415" customFormat="1" ht="25.5" x14ac:dyDescent="0.25">
      <c r="A101" s="881" t="s">
        <v>560</v>
      </c>
      <c r="B101" s="862" t="s">
        <v>2899</v>
      </c>
      <c r="C101" s="861" t="s">
        <v>2688</v>
      </c>
      <c r="D101" s="862"/>
      <c r="E101" s="861"/>
      <c r="F101" s="862"/>
      <c r="G101" s="861" t="s">
        <v>705</v>
      </c>
      <c r="H101" s="861" t="s">
        <v>654</v>
      </c>
      <c r="I101" s="861" t="s">
        <v>647</v>
      </c>
      <c r="J101" s="861" t="s">
        <v>641</v>
      </c>
      <c r="K101" s="861" t="s">
        <v>649</v>
      </c>
      <c r="L101" s="861" t="s">
        <v>40</v>
      </c>
      <c r="M101" s="861" t="s">
        <v>653</v>
      </c>
      <c r="N101" s="861" t="s">
        <v>645</v>
      </c>
      <c r="O101" s="861"/>
      <c r="P101" s="861" t="s">
        <v>643</v>
      </c>
      <c r="Q101" s="861" t="s">
        <v>656</v>
      </c>
      <c r="R101" s="861" t="s">
        <v>652</v>
      </c>
      <c r="S101" s="861" t="s">
        <v>649</v>
      </c>
      <c r="T101" s="861"/>
      <c r="U101" s="861" t="s">
        <v>689</v>
      </c>
      <c r="V101" s="861" t="s">
        <v>641</v>
      </c>
      <c r="W101" s="861" t="s">
        <v>718</v>
      </c>
      <c r="X101" s="863">
        <v>43282</v>
      </c>
      <c r="Y101" s="863">
        <v>44736</v>
      </c>
      <c r="Z101" s="864">
        <v>2022</v>
      </c>
      <c r="AA101" s="861" t="s">
        <v>663</v>
      </c>
      <c r="AB101" s="861"/>
      <c r="AC101" s="861" t="s">
        <v>663</v>
      </c>
      <c r="AD101" s="865"/>
      <c r="AE101" s="865">
        <v>1668926.9999999991</v>
      </c>
      <c r="AF101" s="865"/>
      <c r="AG101" s="865">
        <v>299618.34977599978</v>
      </c>
      <c r="AH101" s="865"/>
      <c r="AI101" s="865">
        <v>136899.99999110994</v>
      </c>
      <c r="AJ101" s="865"/>
      <c r="AK101" s="865"/>
      <c r="AL101" s="865">
        <v>29999.999999999982</v>
      </c>
      <c r="AM101" s="865"/>
      <c r="AN101" s="865">
        <v>9999.9999999999945</v>
      </c>
      <c r="AO101" s="865"/>
      <c r="AP101" s="865"/>
      <c r="AQ101" s="865"/>
      <c r="AR101" s="865"/>
      <c r="AS101" s="865"/>
      <c r="AT101" s="865"/>
      <c r="AU101" s="865"/>
      <c r="AV101" s="865"/>
      <c r="AW101" s="865"/>
      <c r="AX101" s="865"/>
      <c r="AY101" s="865"/>
      <c r="AZ101" s="865"/>
      <c r="BA101" s="865"/>
      <c r="BB101" s="865"/>
      <c r="BC101" s="865">
        <v>67117.045465066432</v>
      </c>
      <c r="BD101" s="865">
        <v>44744.696976710955</v>
      </c>
      <c r="BE101" s="865">
        <v>75506.676148199753</v>
      </c>
      <c r="BF101" s="865">
        <v>5933.9878629819859</v>
      </c>
      <c r="BG101" s="865">
        <v>0</v>
      </c>
      <c r="BH101" s="865">
        <v>250226.09144198528</v>
      </c>
      <c r="BI101" s="865"/>
      <c r="BJ101" s="865"/>
      <c r="BK101" s="865"/>
      <c r="BL101" s="865"/>
      <c r="BM101" s="865"/>
      <c r="BN101" s="865"/>
      <c r="BO101" s="865"/>
      <c r="BP101" s="865"/>
      <c r="BQ101" s="865"/>
      <c r="BR101" s="865"/>
      <c r="BS101" s="865">
        <v>2588973.8476620535</v>
      </c>
      <c r="BT101" s="412">
        <f t="shared" si="5"/>
        <v>2145445.3497671089</v>
      </c>
      <c r="BU101" s="413">
        <v>0</v>
      </c>
      <c r="BV101" s="413">
        <v>0</v>
      </c>
      <c r="BW101" s="413">
        <v>0</v>
      </c>
      <c r="BX101" s="413">
        <v>0</v>
      </c>
      <c r="BY101" s="413">
        <v>0</v>
      </c>
      <c r="BZ101" s="413">
        <v>0</v>
      </c>
      <c r="CA101" s="413">
        <v>0</v>
      </c>
      <c r="CB101" s="413">
        <v>0</v>
      </c>
      <c r="CC101" s="413">
        <v>0</v>
      </c>
      <c r="CD101" s="413">
        <v>0.91754625676654367</v>
      </c>
      <c r="CE101" s="413">
        <v>0</v>
      </c>
      <c r="CF101" s="413">
        <v>6.3809595525689169E-2</v>
      </c>
      <c r="CG101" s="413">
        <v>0</v>
      </c>
      <c r="CH101" s="413">
        <v>0</v>
      </c>
      <c r="CI101" s="413">
        <v>1.3983110780825307E-2</v>
      </c>
      <c r="CJ101" s="413">
        <v>0</v>
      </c>
      <c r="CK101" s="413">
        <v>4.6610369269417693E-3</v>
      </c>
      <c r="CL101" s="413">
        <v>0</v>
      </c>
      <c r="CM101" s="413">
        <v>0</v>
      </c>
      <c r="CN101" s="413">
        <v>0</v>
      </c>
      <c r="CO101" s="414">
        <f t="shared" si="4"/>
        <v>0.99999999999999989</v>
      </c>
    </row>
    <row r="102" spans="1:93" s="415" customFormat="1" ht="25.5" x14ac:dyDescent="0.25">
      <c r="A102" s="881" t="s">
        <v>563</v>
      </c>
      <c r="B102" s="862" t="s">
        <v>2900</v>
      </c>
      <c r="C102" s="861" t="s">
        <v>704</v>
      </c>
      <c r="D102" s="862"/>
      <c r="E102" s="861" t="s">
        <v>703</v>
      </c>
      <c r="F102" s="862"/>
      <c r="G102" s="861"/>
      <c r="H102" s="861" t="s">
        <v>654</v>
      </c>
      <c r="I102" s="861" t="s">
        <v>647</v>
      </c>
      <c r="J102" s="861" t="s">
        <v>641</v>
      </c>
      <c r="K102" s="861" t="s">
        <v>649</v>
      </c>
      <c r="L102" s="861" t="s">
        <v>40</v>
      </c>
      <c r="M102" s="861" t="s">
        <v>653</v>
      </c>
      <c r="N102" s="861" t="s">
        <v>645</v>
      </c>
      <c r="O102" s="861"/>
      <c r="P102" s="861"/>
      <c r="Q102" s="861" t="s">
        <v>656</v>
      </c>
      <c r="R102" s="861" t="s">
        <v>652</v>
      </c>
      <c r="S102" s="861" t="s">
        <v>649</v>
      </c>
      <c r="T102" s="861"/>
      <c r="U102" s="861"/>
      <c r="V102" s="861" t="s">
        <v>641</v>
      </c>
      <c r="W102" s="861" t="s">
        <v>677</v>
      </c>
      <c r="X102" s="863">
        <v>43282</v>
      </c>
      <c r="Y102" s="863">
        <v>44736</v>
      </c>
      <c r="Z102" s="864">
        <v>2022</v>
      </c>
      <c r="AA102" s="861"/>
      <c r="AB102" s="861"/>
      <c r="AC102" s="861"/>
      <c r="AD102" s="865"/>
      <c r="AE102" s="865"/>
      <c r="AF102" s="865"/>
      <c r="AG102" s="865"/>
      <c r="AH102" s="865"/>
      <c r="AI102" s="865">
        <v>11000.000000009979</v>
      </c>
      <c r="AJ102" s="865">
        <v>977009.59999999823</v>
      </c>
      <c r="AK102" s="865">
        <v>39449.999998999934</v>
      </c>
      <c r="AL102" s="865"/>
      <c r="AM102" s="865"/>
      <c r="AN102" s="865"/>
      <c r="AO102" s="865"/>
      <c r="AP102" s="865"/>
      <c r="AQ102" s="865"/>
      <c r="AR102" s="865"/>
      <c r="AS102" s="865"/>
      <c r="AT102" s="865"/>
      <c r="AU102" s="865"/>
      <c r="AV102" s="865"/>
      <c r="AW102" s="865"/>
      <c r="AX102" s="865"/>
      <c r="AY102" s="865"/>
      <c r="AZ102" s="865"/>
      <c r="BA102" s="865"/>
      <c r="BB102" s="865"/>
      <c r="BC102" s="865">
        <v>69299.999999999854</v>
      </c>
      <c r="BD102" s="865"/>
      <c r="BE102" s="865"/>
      <c r="BF102" s="865"/>
      <c r="BG102" s="865">
        <v>0</v>
      </c>
      <c r="BH102" s="865">
        <v>195811.9559150819</v>
      </c>
      <c r="BI102" s="865"/>
      <c r="BJ102" s="865"/>
      <c r="BK102" s="865"/>
      <c r="BL102" s="865"/>
      <c r="BM102" s="865"/>
      <c r="BN102" s="865"/>
      <c r="BO102" s="865"/>
      <c r="BP102" s="865"/>
      <c r="BQ102" s="865"/>
      <c r="BR102" s="865"/>
      <c r="BS102" s="865">
        <v>1292571.5559140898</v>
      </c>
      <c r="BT102" s="412">
        <f t="shared" si="5"/>
        <v>1027459.5999990082</v>
      </c>
      <c r="BU102" s="413">
        <v>0</v>
      </c>
      <c r="BV102" s="413">
        <v>0</v>
      </c>
      <c r="BW102" s="413">
        <v>0</v>
      </c>
      <c r="BX102" s="413">
        <v>0</v>
      </c>
      <c r="BY102" s="413">
        <v>0</v>
      </c>
      <c r="BZ102" s="413">
        <v>0</v>
      </c>
      <c r="CA102" s="413">
        <v>0</v>
      </c>
      <c r="CB102" s="413">
        <v>0</v>
      </c>
      <c r="CC102" s="413">
        <v>0</v>
      </c>
      <c r="CD102" s="413">
        <v>0</v>
      </c>
      <c r="CE102" s="413">
        <v>0.9508983126936974</v>
      </c>
      <c r="CF102" s="413">
        <v>1.0706017054121249E-2</v>
      </c>
      <c r="CG102" s="413">
        <v>3.839567025218122E-2</v>
      </c>
      <c r="CH102" s="413">
        <v>0</v>
      </c>
      <c r="CI102" s="413">
        <v>0</v>
      </c>
      <c r="CJ102" s="413">
        <v>0</v>
      </c>
      <c r="CK102" s="413">
        <v>0</v>
      </c>
      <c r="CL102" s="413">
        <v>0</v>
      </c>
      <c r="CM102" s="413">
        <v>0</v>
      </c>
      <c r="CN102" s="413">
        <v>0</v>
      </c>
      <c r="CO102" s="414">
        <f t="shared" si="4"/>
        <v>0.99999999999999989</v>
      </c>
    </row>
    <row r="103" spans="1:93" s="415" customFormat="1" ht="25.5" customHeight="1" x14ac:dyDescent="0.25">
      <c r="A103" s="881" t="s">
        <v>565</v>
      </c>
      <c r="B103" s="862" t="s">
        <v>2354</v>
      </c>
      <c r="C103" s="867" t="s">
        <v>702</v>
      </c>
      <c r="D103" s="868"/>
      <c r="E103" s="861" t="s">
        <v>701</v>
      </c>
      <c r="F103" s="862"/>
      <c r="G103" s="861"/>
      <c r="H103" s="861" t="s">
        <v>654</v>
      </c>
      <c r="I103" s="861" t="s">
        <v>647</v>
      </c>
      <c r="J103" s="867" t="s">
        <v>641</v>
      </c>
      <c r="K103" s="861" t="s">
        <v>649</v>
      </c>
      <c r="L103" s="867" t="s">
        <v>40</v>
      </c>
      <c r="M103" s="861" t="s">
        <v>653</v>
      </c>
      <c r="N103" s="867" t="s">
        <v>680</v>
      </c>
      <c r="O103" s="861"/>
      <c r="P103" s="861" t="s">
        <v>643</v>
      </c>
      <c r="Q103" s="861" t="s">
        <v>642</v>
      </c>
      <c r="R103" s="861" t="s">
        <v>652</v>
      </c>
      <c r="S103" s="861" t="s">
        <v>649</v>
      </c>
      <c r="T103" s="861"/>
      <c r="U103" s="861" t="s">
        <v>689</v>
      </c>
      <c r="V103" s="861" t="s">
        <v>641</v>
      </c>
      <c r="W103" s="861" t="s">
        <v>690</v>
      </c>
      <c r="X103" s="863">
        <v>42917</v>
      </c>
      <c r="Y103" s="863">
        <v>44264</v>
      </c>
      <c r="Z103" s="864">
        <v>2021</v>
      </c>
      <c r="AA103" s="861" t="s">
        <v>663</v>
      </c>
      <c r="AB103" s="861"/>
      <c r="AC103" s="861" t="s">
        <v>663</v>
      </c>
      <c r="AD103" s="865"/>
      <c r="AE103" s="865"/>
      <c r="AF103" s="865"/>
      <c r="AG103" s="865"/>
      <c r="AH103" s="865"/>
      <c r="AI103" s="865">
        <v>583072.71424013493</v>
      </c>
      <c r="AJ103" s="865"/>
      <c r="AK103" s="865">
        <v>1548425.1999370002</v>
      </c>
      <c r="AL103" s="865"/>
      <c r="AM103" s="865"/>
      <c r="AN103" s="865"/>
      <c r="AO103" s="865"/>
      <c r="AP103" s="865"/>
      <c r="AQ103" s="865"/>
      <c r="AR103" s="865"/>
      <c r="AS103" s="865"/>
      <c r="AT103" s="865">
        <v>21250.000000000007</v>
      </c>
      <c r="AU103" s="865"/>
      <c r="AV103" s="865"/>
      <c r="AW103" s="865"/>
      <c r="AX103" s="865"/>
      <c r="AY103" s="865"/>
      <c r="AZ103" s="865"/>
      <c r="BA103" s="865"/>
      <c r="BB103" s="865"/>
      <c r="BC103" s="865">
        <v>304724.68712657038</v>
      </c>
      <c r="BD103" s="865">
        <v>203149.7914177136</v>
      </c>
      <c r="BE103" s="865">
        <v>342815.27301739168</v>
      </c>
      <c r="BF103" s="865">
        <v>7926.0160807817338</v>
      </c>
      <c r="BG103" s="865">
        <v>186909.2614088936</v>
      </c>
      <c r="BH103" s="865">
        <v>852481.61699509318</v>
      </c>
      <c r="BI103" s="865"/>
      <c r="BJ103" s="865"/>
      <c r="BK103" s="865"/>
      <c r="BL103" s="865"/>
      <c r="BM103" s="865"/>
      <c r="BN103" s="865"/>
      <c r="BO103" s="865"/>
      <c r="BP103" s="865"/>
      <c r="BQ103" s="865"/>
      <c r="BR103" s="865"/>
      <c r="BS103" s="865">
        <v>4050754.5602235799</v>
      </c>
      <c r="BT103" s="412">
        <f t="shared" si="5"/>
        <v>2152747.9141771351</v>
      </c>
      <c r="BU103" s="413">
        <v>0</v>
      </c>
      <c r="BV103" s="413">
        <v>0</v>
      </c>
      <c r="BW103" s="413">
        <v>0</v>
      </c>
      <c r="BX103" s="413">
        <v>0</v>
      </c>
      <c r="BY103" s="413">
        <v>0</v>
      </c>
      <c r="BZ103" s="413">
        <v>9.8711046751252304E-3</v>
      </c>
      <c r="CA103" s="413">
        <v>0</v>
      </c>
      <c r="CB103" s="413">
        <v>0</v>
      </c>
      <c r="CC103" s="413">
        <v>0</v>
      </c>
      <c r="CD103" s="413">
        <v>0</v>
      </c>
      <c r="CE103" s="413">
        <v>0</v>
      </c>
      <c r="CF103" s="413">
        <v>0.2708504374340589</v>
      </c>
      <c r="CG103" s="413">
        <v>0.7192784578908159</v>
      </c>
      <c r="CH103" s="413">
        <v>0</v>
      </c>
      <c r="CI103" s="413">
        <v>0</v>
      </c>
      <c r="CJ103" s="413">
        <v>0</v>
      </c>
      <c r="CK103" s="413">
        <v>0</v>
      </c>
      <c r="CL103" s="413">
        <v>0</v>
      </c>
      <c r="CM103" s="413">
        <v>0</v>
      </c>
      <c r="CN103" s="413">
        <v>0</v>
      </c>
      <c r="CO103" s="414">
        <f t="shared" si="4"/>
        <v>1</v>
      </c>
    </row>
    <row r="104" spans="1:93" s="415" customFormat="1" ht="25.5" customHeight="1" x14ac:dyDescent="0.25">
      <c r="A104" s="881" t="s">
        <v>571</v>
      </c>
      <c r="B104" s="862" t="s">
        <v>2901</v>
      </c>
      <c r="C104" s="861" t="s">
        <v>696</v>
      </c>
      <c r="D104" s="862"/>
      <c r="E104" s="861" t="s">
        <v>695</v>
      </c>
      <c r="F104" s="862"/>
      <c r="G104" s="861" t="s">
        <v>686</v>
      </c>
      <c r="H104" s="861" t="s">
        <v>654</v>
      </c>
      <c r="I104" s="861" t="s">
        <v>647</v>
      </c>
      <c r="J104" s="861" t="s">
        <v>641</v>
      </c>
      <c r="K104" s="861" t="s">
        <v>649</v>
      </c>
      <c r="L104" s="861" t="s">
        <v>31</v>
      </c>
      <c r="M104" s="861" t="s">
        <v>653</v>
      </c>
      <c r="N104" s="861" t="s">
        <v>645</v>
      </c>
      <c r="O104" s="861"/>
      <c r="P104" s="861"/>
      <c r="Q104" s="861" t="s">
        <v>656</v>
      </c>
      <c r="R104" s="861" t="s">
        <v>652</v>
      </c>
      <c r="S104" s="861" t="s">
        <v>649</v>
      </c>
      <c r="T104" s="861"/>
      <c r="U104" s="861"/>
      <c r="V104" s="861" t="s">
        <v>641</v>
      </c>
      <c r="W104" s="861" t="s">
        <v>694</v>
      </c>
      <c r="X104" s="863">
        <v>43405</v>
      </c>
      <c r="Y104" s="863">
        <v>44468</v>
      </c>
      <c r="Z104" s="864">
        <v>2022</v>
      </c>
      <c r="AA104" s="861" t="s">
        <v>663</v>
      </c>
      <c r="AB104" s="861"/>
      <c r="AC104" s="861"/>
      <c r="AD104" s="865"/>
      <c r="AE104" s="865">
        <v>984999.99999580032</v>
      </c>
      <c r="AF104" s="865"/>
      <c r="AG104" s="865">
        <v>717930.08084137365</v>
      </c>
      <c r="AH104" s="865"/>
      <c r="AI104" s="865">
        <v>354933.8744812216</v>
      </c>
      <c r="AJ104" s="865"/>
      <c r="AK104" s="865"/>
      <c r="AL104" s="865">
        <v>741350.01491394127</v>
      </c>
      <c r="AM104" s="865"/>
      <c r="AN104" s="865">
        <v>5000.0000000000018</v>
      </c>
      <c r="AO104" s="865">
        <v>278000.00000000012</v>
      </c>
      <c r="AP104" s="865"/>
      <c r="AQ104" s="865"/>
      <c r="AR104" s="865">
        <v>613961.73193000024</v>
      </c>
      <c r="AS104" s="865">
        <v>99082.424250000011</v>
      </c>
      <c r="AT104" s="865"/>
      <c r="AU104" s="865"/>
      <c r="AV104" s="865"/>
      <c r="AW104" s="865"/>
      <c r="AX104" s="865"/>
      <c r="AY104" s="865"/>
      <c r="AZ104" s="865"/>
      <c r="BA104" s="865"/>
      <c r="BB104" s="865"/>
      <c r="BC104" s="865">
        <v>386019.56946185068</v>
      </c>
      <c r="BD104" s="865">
        <v>257346.37964123377</v>
      </c>
      <c r="BE104" s="865">
        <v>434272.01564458199</v>
      </c>
      <c r="BF104" s="865">
        <v>13290.464250690015</v>
      </c>
      <c r="BG104" s="865">
        <v>190041.96402323374</v>
      </c>
      <c r="BH104" s="865">
        <v>899152.15406053117</v>
      </c>
      <c r="BI104" s="865"/>
      <c r="BJ104" s="865"/>
      <c r="BK104" s="865"/>
      <c r="BL104" s="865"/>
      <c r="BM104" s="865"/>
      <c r="BN104" s="865"/>
      <c r="BO104" s="865"/>
      <c r="BP104" s="865"/>
      <c r="BQ104" s="865"/>
      <c r="BR104" s="865"/>
      <c r="BS104" s="865">
        <v>5975380.6734944573</v>
      </c>
      <c r="BT104" s="412">
        <f t="shared" si="5"/>
        <v>3795258.1264123372</v>
      </c>
      <c r="BU104" s="413">
        <v>0</v>
      </c>
      <c r="BV104" s="413">
        <v>2.6106899965632317E-2</v>
      </c>
      <c r="BW104" s="413">
        <v>0.16177074430254343</v>
      </c>
      <c r="BX104" s="413">
        <v>0</v>
      </c>
      <c r="BY104" s="413">
        <v>0</v>
      </c>
      <c r="BZ104" s="413">
        <v>0</v>
      </c>
      <c r="CA104" s="413">
        <v>0</v>
      </c>
      <c r="CB104" s="413">
        <v>0</v>
      </c>
      <c r="CC104" s="413">
        <v>0</v>
      </c>
      <c r="CD104" s="413">
        <v>0.44869940966227667</v>
      </c>
      <c r="CE104" s="413">
        <v>0</v>
      </c>
      <c r="CF104" s="413">
        <v>9.3520351622760664E-2</v>
      </c>
      <c r="CG104" s="413">
        <v>0</v>
      </c>
      <c r="CH104" s="413">
        <v>0</v>
      </c>
      <c r="CI104" s="413">
        <v>0.19533586128296904</v>
      </c>
      <c r="CJ104" s="413">
        <v>7.3249299715693883E-2</v>
      </c>
      <c r="CK104" s="413">
        <v>1.3174334481239906E-3</v>
      </c>
      <c r="CL104" s="413">
        <v>0</v>
      </c>
      <c r="CM104" s="413">
        <v>0</v>
      </c>
      <c r="CN104" s="413">
        <v>0</v>
      </c>
      <c r="CO104" s="414">
        <f t="shared" si="4"/>
        <v>0.99999999999999989</v>
      </c>
    </row>
    <row r="105" spans="1:93" s="415" customFormat="1" ht="25.5" x14ac:dyDescent="0.25">
      <c r="A105" s="881" t="s">
        <v>579</v>
      </c>
      <c r="B105" s="862" t="s">
        <v>2904</v>
      </c>
      <c r="C105" s="861" t="s">
        <v>2689</v>
      </c>
      <c r="D105" s="862"/>
      <c r="E105" s="861" t="s">
        <v>655</v>
      </c>
      <c r="F105" s="862"/>
      <c r="G105" s="861" t="s">
        <v>691</v>
      </c>
      <c r="H105" s="861" t="s">
        <v>654</v>
      </c>
      <c r="I105" s="861" t="s">
        <v>647</v>
      </c>
      <c r="J105" s="861" t="s">
        <v>641</v>
      </c>
      <c r="K105" s="861" t="s">
        <v>649</v>
      </c>
      <c r="L105" s="861" t="s">
        <v>40</v>
      </c>
      <c r="M105" s="861" t="s">
        <v>653</v>
      </c>
      <c r="N105" s="861" t="s">
        <v>645</v>
      </c>
      <c r="O105" s="861"/>
      <c r="P105" s="861" t="s">
        <v>643</v>
      </c>
      <c r="Q105" s="861" t="s">
        <v>656</v>
      </c>
      <c r="R105" s="861" t="s">
        <v>652</v>
      </c>
      <c r="S105" s="861" t="s">
        <v>649</v>
      </c>
      <c r="T105" s="861"/>
      <c r="U105" s="861" t="s">
        <v>689</v>
      </c>
      <c r="V105" s="861" t="s">
        <v>641</v>
      </c>
      <c r="W105" s="861" t="s">
        <v>766</v>
      </c>
      <c r="X105" s="863">
        <v>42917</v>
      </c>
      <c r="Y105" s="863">
        <v>44377</v>
      </c>
      <c r="Z105" s="864">
        <v>2021</v>
      </c>
      <c r="AA105" s="861" t="s">
        <v>663</v>
      </c>
      <c r="AB105" s="861"/>
      <c r="AC105" s="861" t="s">
        <v>663</v>
      </c>
      <c r="AD105" s="865"/>
      <c r="AE105" s="865">
        <v>960000.00000000058</v>
      </c>
      <c r="AF105" s="865"/>
      <c r="AG105" s="865">
        <v>75219.104888500049</v>
      </c>
      <c r="AH105" s="865"/>
      <c r="AI105" s="865">
        <v>200792.99987580412</v>
      </c>
      <c r="AJ105" s="865"/>
      <c r="AK105" s="865"/>
      <c r="AL105" s="865">
        <v>162800.00502264933</v>
      </c>
      <c r="AM105" s="865"/>
      <c r="AN105" s="865"/>
      <c r="AO105" s="865">
        <v>48823.500000000029</v>
      </c>
      <c r="AP105" s="865"/>
      <c r="AQ105" s="865"/>
      <c r="AR105" s="865"/>
      <c r="AS105" s="865"/>
      <c r="AT105" s="865"/>
      <c r="AU105" s="865"/>
      <c r="AV105" s="865"/>
      <c r="AW105" s="865"/>
      <c r="AX105" s="865"/>
      <c r="AY105" s="865"/>
      <c r="AZ105" s="865"/>
      <c r="BA105" s="865"/>
      <c r="BB105" s="865"/>
      <c r="BC105" s="865">
        <v>78168.163468043102</v>
      </c>
      <c r="BD105" s="865">
        <v>52112.108978695411</v>
      </c>
      <c r="BE105" s="865">
        <v>87939.183901548531</v>
      </c>
      <c r="BF105" s="865">
        <v>2078.6014318719135</v>
      </c>
      <c r="BG105" s="865">
        <v>82668.163468043131</v>
      </c>
      <c r="BH105" s="865">
        <v>261012.70040077582</v>
      </c>
      <c r="BI105" s="865"/>
      <c r="BJ105" s="865"/>
      <c r="BK105" s="865"/>
      <c r="BL105" s="865"/>
      <c r="BM105" s="865"/>
      <c r="BN105" s="865"/>
      <c r="BO105" s="865"/>
      <c r="BP105" s="865"/>
      <c r="BQ105" s="865"/>
      <c r="BR105" s="865"/>
      <c r="BS105" s="865">
        <v>2011614.5314359323</v>
      </c>
      <c r="BT105" s="412">
        <f t="shared" si="5"/>
        <v>1447635.6097869542</v>
      </c>
      <c r="BU105" s="413">
        <v>0</v>
      </c>
      <c r="BV105" s="413">
        <v>0</v>
      </c>
      <c r="BW105" s="413">
        <v>0</v>
      </c>
      <c r="BX105" s="413">
        <v>0</v>
      </c>
      <c r="BY105" s="413">
        <v>0</v>
      </c>
      <c r="BZ105" s="413">
        <v>0</v>
      </c>
      <c r="CA105" s="413">
        <v>0</v>
      </c>
      <c r="CB105" s="413">
        <v>0</v>
      </c>
      <c r="CC105" s="413">
        <v>0</v>
      </c>
      <c r="CD105" s="413">
        <v>0.7151102790576227</v>
      </c>
      <c r="CE105" s="413">
        <v>0</v>
      </c>
      <c r="CF105" s="413">
        <v>0.13870410379401654</v>
      </c>
      <c r="CG105" s="413">
        <v>0</v>
      </c>
      <c r="CH105" s="413">
        <v>0</v>
      </c>
      <c r="CI105" s="413">
        <v>0.11245924314241502</v>
      </c>
      <c r="CJ105" s="413">
        <v>3.3726374005945664E-2</v>
      </c>
      <c r="CK105" s="413">
        <v>0</v>
      </c>
      <c r="CL105" s="413">
        <v>0</v>
      </c>
      <c r="CM105" s="413">
        <v>0</v>
      </c>
      <c r="CN105" s="413">
        <v>0</v>
      </c>
      <c r="CO105" s="414">
        <f t="shared" si="4"/>
        <v>1</v>
      </c>
    </row>
    <row r="106" spans="1:93" s="415" customFormat="1" ht="25.5" x14ac:dyDescent="0.25">
      <c r="A106" s="881" t="s">
        <v>581</v>
      </c>
      <c r="B106" s="862" t="s">
        <v>2905</v>
      </c>
      <c r="C106" s="861" t="s">
        <v>2690</v>
      </c>
      <c r="D106" s="862"/>
      <c r="E106" s="861"/>
      <c r="F106" s="862"/>
      <c r="G106" s="861"/>
      <c r="H106" s="861" t="s">
        <v>654</v>
      </c>
      <c r="I106" s="861" t="s">
        <v>647</v>
      </c>
      <c r="J106" s="861" t="s">
        <v>641</v>
      </c>
      <c r="K106" s="861" t="s">
        <v>649</v>
      </c>
      <c r="L106" s="861" t="s">
        <v>40</v>
      </c>
      <c r="M106" s="861" t="s">
        <v>653</v>
      </c>
      <c r="N106" s="861" t="s">
        <v>645</v>
      </c>
      <c r="O106" s="861"/>
      <c r="P106" s="861" t="s">
        <v>643</v>
      </c>
      <c r="Q106" s="861" t="s">
        <v>656</v>
      </c>
      <c r="R106" s="861" t="s">
        <v>652</v>
      </c>
      <c r="S106" s="861" t="s">
        <v>649</v>
      </c>
      <c r="T106" s="861"/>
      <c r="U106" s="861" t="s">
        <v>689</v>
      </c>
      <c r="V106" s="861" t="s">
        <v>641</v>
      </c>
      <c r="W106" s="861" t="s">
        <v>2788</v>
      </c>
      <c r="X106" s="863">
        <v>42828</v>
      </c>
      <c r="Y106" s="863">
        <v>44651</v>
      </c>
      <c r="Z106" s="864">
        <v>2022</v>
      </c>
      <c r="AA106" s="861" t="s">
        <v>676</v>
      </c>
      <c r="AB106" s="861"/>
      <c r="AC106" s="861" t="s">
        <v>663</v>
      </c>
      <c r="AD106" s="865"/>
      <c r="AE106" s="865"/>
      <c r="AF106" s="865"/>
      <c r="AG106" s="865">
        <v>239320.53999999998</v>
      </c>
      <c r="AH106" s="865"/>
      <c r="AI106" s="865">
        <v>3767.9994000000006</v>
      </c>
      <c r="AJ106" s="865"/>
      <c r="AK106" s="865"/>
      <c r="AL106" s="865">
        <v>2367713.9999838709</v>
      </c>
      <c r="AM106" s="865"/>
      <c r="AN106" s="865"/>
      <c r="AO106" s="865">
        <v>0</v>
      </c>
      <c r="AP106" s="865"/>
      <c r="AQ106" s="865"/>
      <c r="AR106" s="865"/>
      <c r="AS106" s="865"/>
      <c r="AT106" s="865"/>
      <c r="AU106" s="865"/>
      <c r="AV106" s="865"/>
      <c r="AW106" s="865"/>
      <c r="AX106" s="865"/>
      <c r="AY106" s="865"/>
      <c r="AZ106" s="865"/>
      <c r="BA106" s="865"/>
      <c r="BB106" s="865"/>
      <c r="BC106" s="865">
        <v>820154.28090758121</v>
      </c>
      <c r="BD106" s="865"/>
      <c r="BE106" s="865">
        <v>491650.1307393458</v>
      </c>
      <c r="BF106" s="865">
        <v>11460.919115334691</v>
      </c>
      <c r="BG106" s="865">
        <v>0</v>
      </c>
      <c r="BH106" s="865">
        <v>740183.90777566843</v>
      </c>
      <c r="BI106" s="865">
        <v>250000</v>
      </c>
      <c r="BJ106" s="865"/>
      <c r="BK106" s="865"/>
      <c r="BL106" s="865"/>
      <c r="BM106" s="865"/>
      <c r="BN106" s="865"/>
      <c r="BO106" s="865"/>
      <c r="BP106" s="865">
        <v>200000</v>
      </c>
      <c r="BQ106" s="865"/>
      <c r="BR106" s="865"/>
      <c r="BS106" s="865">
        <v>5124251.7779218014</v>
      </c>
      <c r="BT106" s="412">
        <f t="shared" si="5"/>
        <v>2610802.539383871</v>
      </c>
      <c r="BU106" s="413">
        <v>0</v>
      </c>
      <c r="BV106" s="413">
        <v>0</v>
      </c>
      <c r="BW106" s="413">
        <v>0</v>
      </c>
      <c r="BX106" s="413">
        <v>0</v>
      </c>
      <c r="BY106" s="413">
        <v>0</v>
      </c>
      <c r="BZ106" s="413">
        <v>0</v>
      </c>
      <c r="CA106" s="413">
        <v>0</v>
      </c>
      <c r="CB106" s="413">
        <v>0</v>
      </c>
      <c r="CC106" s="413">
        <v>0</v>
      </c>
      <c r="CD106" s="413">
        <v>9.1665507593874859E-2</v>
      </c>
      <c r="CE106" s="413">
        <v>0</v>
      </c>
      <c r="CF106" s="413">
        <v>1.443234156225855E-3</v>
      </c>
      <c r="CG106" s="413">
        <v>0</v>
      </c>
      <c r="CH106" s="413">
        <v>0</v>
      </c>
      <c r="CI106" s="413">
        <v>0.90689125824989925</v>
      </c>
      <c r="CJ106" s="413">
        <v>0</v>
      </c>
      <c r="CK106" s="413">
        <v>0</v>
      </c>
      <c r="CL106" s="413">
        <v>0</v>
      </c>
      <c r="CM106" s="413">
        <v>0</v>
      </c>
      <c r="CN106" s="413">
        <v>0</v>
      </c>
      <c r="CO106" s="414">
        <f t="shared" si="4"/>
        <v>1</v>
      </c>
    </row>
    <row r="107" spans="1:93" s="415" customFormat="1" ht="25.5" x14ac:dyDescent="0.25">
      <c r="A107" s="881" t="s">
        <v>585</v>
      </c>
      <c r="B107" s="862" t="s">
        <v>2907</v>
      </c>
      <c r="C107" s="861" t="s">
        <v>2498</v>
      </c>
      <c r="D107" s="862"/>
      <c r="E107" s="861" t="s">
        <v>655</v>
      </c>
      <c r="F107" s="862"/>
      <c r="G107" s="861"/>
      <c r="H107" s="861" t="s">
        <v>654</v>
      </c>
      <c r="I107" s="861" t="s">
        <v>647</v>
      </c>
      <c r="J107" s="861" t="s">
        <v>671</v>
      </c>
      <c r="K107" s="861" t="s">
        <v>649</v>
      </c>
      <c r="L107" s="861" t="s">
        <v>55</v>
      </c>
      <c r="M107" s="861" t="s">
        <v>653</v>
      </c>
      <c r="N107" s="861" t="s">
        <v>645</v>
      </c>
      <c r="O107" s="861"/>
      <c r="P107" s="861"/>
      <c r="Q107" s="861" t="s">
        <v>650</v>
      </c>
      <c r="R107" s="861" t="s">
        <v>652</v>
      </c>
      <c r="S107" s="861" t="s">
        <v>649</v>
      </c>
      <c r="T107" s="861"/>
      <c r="U107" s="861"/>
      <c r="V107" s="861" t="s">
        <v>683</v>
      </c>
      <c r="W107" s="861" t="s">
        <v>677</v>
      </c>
      <c r="X107" s="863">
        <v>45047</v>
      </c>
      <c r="Y107" s="863">
        <v>45419</v>
      </c>
      <c r="Z107" s="864">
        <v>2024</v>
      </c>
      <c r="AA107" s="861"/>
      <c r="AB107" s="861"/>
      <c r="AC107" s="861"/>
      <c r="AD107" s="865"/>
      <c r="AE107" s="865"/>
      <c r="AF107" s="865"/>
      <c r="AG107" s="865"/>
      <c r="AH107" s="865"/>
      <c r="AI107" s="865"/>
      <c r="AJ107" s="865"/>
      <c r="AK107" s="865"/>
      <c r="AL107" s="865"/>
      <c r="AM107" s="865"/>
      <c r="AN107" s="865"/>
      <c r="AO107" s="865"/>
      <c r="AP107" s="865"/>
      <c r="AQ107" s="865"/>
      <c r="AR107" s="865"/>
      <c r="AS107" s="865"/>
      <c r="AT107" s="865"/>
      <c r="AU107" s="865"/>
      <c r="AV107" s="865"/>
      <c r="AW107" s="865">
        <v>61999.999999999985</v>
      </c>
      <c r="AX107" s="865"/>
      <c r="AY107" s="865"/>
      <c r="AZ107" s="865"/>
      <c r="BA107" s="865"/>
      <c r="BB107" s="865"/>
      <c r="BC107" s="865"/>
      <c r="BD107" s="865"/>
      <c r="BE107" s="865"/>
      <c r="BF107" s="865"/>
      <c r="BG107" s="865"/>
      <c r="BH107" s="865">
        <v>248000.00000000003</v>
      </c>
      <c r="BI107" s="865"/>
      <c r="BJ107" s="865"/>
      <c r="BK107" s="865"/>
      <c r="BL107" s="865"/>
      <c r="BM107" s="865"/>
      <c r="BN107" s="865"/>
      <c r="BO107" s="865"/>
      <c r="BP107" s="865"/>
      <c r="BQ107" s="865"/>
      <c r="BR107" s="865"/>
      <c r="BS107" s="865">
        <v>310000</v>
      </c>
      <c r="BT107" s="412">
        <f t="shared" si="5"/>
        <v>61999.999999999985</v>
      </c>
      <c r="BU107" s="413">
        <v>0</v>
      </c>
      <c r="BV107" s="413">
        <v>0</v>
      </c>
      <c r="BW107" s="413">
        <v>0</v>
      </c>
      <c r="BX107" s="413">
        <v>1</v>
      </c>
      <c r="BY107" s="413">
        <v>0</v>
      </c>
      <c r="BZ107" s="413">
        <v>0</v>
      </c>
      <c r="CA107" s="413">
        <v>0</v>
      </c>
      <c r="CB107" s="413">
        <v>0</v>
      </c>
      <c r="CC107" s="413">
        <v>0</v>
      </c>
      <c r="CD107" s="413">
        <v>0</v>
      </c>
      <c r="CE107" s="413">
        <v>0</v>
      </c>
      <c r="CF107" s="413">
        <v>0</v>
      </c>
      <c r="CG107" s="413">
        <v>0</v>
      </c>
      <c r="CH107" s="413">
        <v>0</v>
      </c>
      <c r="CI107" s="413">
        <v>0</v>
      </c>
      <c r="CJ107" s="413">
        <v>0</v>
      </c>
      <c r="CK107" s="413">
        <v>0</v>
      </c>
      <c r="CL107" s="413">
        <v>0</v>
      </c>
      <c r="CM107" s="413">
        <v>0</v>
      </c>
      <c r="CN107" s="413">
        <v>0</v>
      </c>
      <c r="CO107" s="414">
        <f t="shared" si="4"/>
        <v>1</v>
      </c>
    </row>
    <row r="108" spans="1:93" s="415" customFormat="1" ht="25.5" x14ac:dyDescent="0.25">
      <c r="A108" s="881" t="s">
        <v>590</v>
      </c>
      <c r="B108" s="862" t="s">
        <v>2908</v>
      </c>
      <c r="C108" s="861" t="s">
        <v>687</v>
      </c>
      <c r="D108" s="862"/>
      <c r="E108" s="861" t="s">
        <v>655</v>
      </c>
      <c r="F108" s="862"/>
      <c r="G108" s="861"/>
      <c r="H108" s="861" t="s">
        <v>654</v>
      </c>
      <c r="I108" s="861" t="s">
        <v>647</v>
      </c>
      <c r="J108" s="861" t="s">
        <v>641</v>
      </c>
      <c r="K108" s="861" t="s">
        <v>649</v>
      </c>
      <c r="L108" s="861" t="s">
        <v>40</v>
      </c>
      <c r="M108" s="861" t="s">
        <v>653</v>
      </c>
      <c r="N108" s="861" t="s">
        <v>645</v>
      </c>
      <c r="O108" s="861"/>
      <c r="P108" s="861"/>
      <c r="Q108" s="861" t="s">
        <v>650</v>
      </c>
      <c r="R108" s="861" t="s">
        <v>652</v>
      </c>
      <c r="S108" s="861" t="s">
        <v>649</v>
      </c>
      <c r="T108" s="861"/>
      <c r="U108" s="861"/>
      <c r="V108" s="861" t="s">
        <v>685</v>
      </c>
      <c r="W108" s="861"/>
      <c r="X108" s="863">
        <v>44013</v>
      </c>
      <c r="Y108" s="863">
        <v>44420</v>
      </c>
      <c r="Z108" s="864">
        <v>2022</v>
      </c>
      <c r="AA108" s="861"/>
      <c r="AB108" s="861"/>
      <c r="AC108" s="861"/>
      <c r="AD108" s="865"/>
      <c r="AE108" s="865"/>
      <c r="AF108" s="865"/>
      <c r="AG108" s="865"/>
      <c r="AH108" s="865"/>
      <c r="AI108" s="865"/>
      <c r="AJ108" s="865"/>
      <c r="AK108" s="865"/>
      <c r="AL108" s="865"/>
      <c r="AM108" s="865"/>
      <c r="AN108" s="865"/>
      <c r="AO108" s="865"/>
      <c r="AP108" s="865"/>
      <c r="AQ108" s="865"/>
      <c r="AR108" s="865"/>
      <c r="AS108" s="865"/>
      <c r="AT108" s="865"/>
      <c r="AU108" s="865"/>
      <c r="AV108" s="865"/>
      <c r="AW108" s="865">
        <v>200000.00000000003</v>
      </c>
      <c r="AX108" s="865"/>
      <c r="AY108" s="865"/>
      <c r="AZ108" s="865"/>
      <c r="BA108" s="865"/>
      <c r="BB108" s="865"/>
      <c r="BC108" s="865"/>
      <c r="BD108" s="865"/>
      <c r="BE108" s="865"/>
      <c r="BF108" s="865"/>
      <c r="BG108" s="865"/>
      <c r="BH108" s="865">
        <v>800176.22333333327</v>
      </c>
      <c r="BI108" s="865"/>
      <c r="BJ108" s="865"/>
      <c r="BK108" s="865"/>
      <c r="BL108" s="865"/>
      <c r="BM108" s="865"/>
      <c r="BN108" s="865"/>
      <c r="BO108" s="865"/>
      <c r="BP108" s="865"/>
      <c r="BQ108" s="865"/>
      <c r="BR108" s="865"/>
      <c r="BS108" s="865">
        <v>1000176.2233333333</v>
      </c>
      <c r="BT108" s="412">
        <f t="shared" si="5"/>
        <v>200000.00000000003</v>
      </c>
      <c r="BU108" s="413">
        <v>0</v>
      </c>
      <c r="BV108" s="413">
        <v>0</v>
      </c>
      <c r="BW108" s="413">
        <v>0</v>
      </c>
      <c r="BX108" s="413">
        <v>1</v>
      </c>
      <c r="BY108" s="413">
        <v>0</v>
      </c>
      <c r="BZ108" s="413">
        <v>0</v>
      </c>
      <c r="CA108" s="413">
        <v>0</v>
      </c>
      <c r="CB108" s="413">
        <v>0</v>
      </c>
      <c r="CC108" s="413">
        <v>0</v>
      </c>
      <c r="CD108" s="413">
        <v>0</v>
      </c>
      <c r="CE108" s="413">
        <v>0</v>
      </c>
      <c r="CF108" s="413">
        <v>0</v>
      </c>
      <c r="CG108" s="413">
        <v>0</v>
      </c>
      <c r="CH108" s="413">
        <v>0</v>
      </c>
      <c r="CI108" s="413">
        <v>0</v>
      </c>
      <c r="CJ108" s="413">
        <v>0</v>
      </c>
      <c r="CK108" s="413">
        <v>0</v>
      </c>
      <c r="CL108" s="413">
        <v>0</v>
      </c>
      <c r="CM108" s="413">
        <v>0</v>
      </c>
      <c r="CN108" s="413">
        <v>0</v>
      </c>
      <c r="CO108" s="414">
        <f t="shared" si="4"/>
        <v>1</v>
      </c>
    </row>
    <row r="109" spans="1:93" s="415" customFormat="1" ht="25.5" x14ac:dyDescent="0.25">
      <c r="A109" s="881" t="s">
        <v>592</v>
      </c>
      <c r="B109" s="862" t="s">
        <v>2909</v>
      </c>
      <c r="C109" s="861" t="s">
        <v>2691</v>
      </c>
      <c r="D109" s="862"/>
      <c r="E109" s="861" t="s">
        <v>655</v>
      </c>
      <c r="F109" s="862"/>
      <c r="G109" s="861"/>
      <c r="H109" s="861" t="s">
        <v>654</v>
      </c>
      <c r="I109" s="861" t="s">
        <v>647</v>
      </c>
      <c r="J109" s="861" t="s">
        <v>641</v>
      </c>
      <c r="K109" s="861" t="s">
        <v>649</v>
      </c>
      <c r="L109" s="861" t="s">
        <v>40</v>
      </c>
      <c r="M109" s="861" t="s">
        <v>653</v>
      </c>
      <c r="N109" s="861" t="s">
        <v>645</v>
      </c>
      <c r="O109" s="861"/>
      <c r="P109" s="861"/>
      <c r="Q109" s="861" t="s">
        <v>650</v>
      </c>
      <c r="R109" s="861" t="s">
        <v>652</v>
      </c>
      <c r="S109" s="861" t="s">
        <v>649</v>
      </c>
      <c r="T109" s="861"/>
      <c r="U109" s="861"/>
      <c r="V109" s="861" t="s">
        <v>685</v>
      </c>
      <c r="W109" s="861" t="s">
        <v>677</v>
      </c>
      <c r="X109" s="863">
        <v>44378</v>
      </c>
      <c r="Y109" s="863">
        <v>45107</v>
      </c>
      <c r="Z109" s="864">
        <v>2023</v>
      </c>
      <c r="AA109" s="861"/>
      <c r="AB109" s="861"/>
      <c r="AC109" s="861"/>
      <c r="AD109" s="865"/>
      <c r="AE109" s="865"/>
      <c r="AF109" s="865"/>
      <c r="AG109" s="865"/>
      <c r="AH109" s="865"/>
      <c r="AI109" s="865"/>
      <c r="AJ109" s="865"/>
      <c r="AK109" s="865"/>
      <c r="AL109" s="865"/>
      <c r="AM109" s="865"/>
      <c r="AN109" s="865"/>
      <c r="AO109" s="865"/>
      <c r="AP109" s="865"/>
      <c r="AQ109" s="865"/>
      <c r="AR109" s="865"/>
      <c r="AS109" s="865"/>
      <c r="AT109" s="865"/>
      <c r="AU109" s="865"/>
      <c r="AV109" s="865"/>
      <c r="AW109" s="865">
        <v>200000</v>
      </c>
      <c r="AX109" s="865"/>
      <c r="AY109" s="865"/>
      <c r="AZ109" s="865"/>
      <c r="BA109" s="865"/>
      <c r="BB109" s="865"/>
      <c r="BC109" s="865"/>
      <c r="BD109" s="865"/>
      <c r="BE109" s="865"/>
      <c r="BF109" s="865"/>
      <c r="BG109" s="865"/>
      <c r="BH109" s="865">
        <v>849655.24316666718</v>
      </c>
      <c r="BI109" s="865"/>
      <c r="BJ109" s="865"/>
      <c r="BK109" s="865"/>
      <c r="BL109" s="865"/>
      <c r="BM109" s="865"/>
      <c r="BN109" s="865"/>
      <c r="BO109" s="865"/>
      <c r="BP109" s="865"/>
      <c r="BQ109" s="865"/>
      <c r="BR109" s="865"/>
      <c r="BS109" s="865">
        <v>1049655.2431666672</v>
      </c>
      <c r="BT109" s="412">
        <f t="shared" si="5"/>
        <v>200000</v>
      </c>
      <c r="BU109" s="413">
        <v>0</v>
      </c>
      <c r="BV109" s="413">
        <v>0</v>
      </c>
      <c r="BW109" s="413">
        <v>0</v>
      </c>
      <c r="BX109" s="413">
        <v>1</v>
      </c>
      <c r="BY109" s="413">
        <v>0</v>
      </c>
      <c r="BZ109" s="413">
        <v>0</v>
      </c>
      <c r="CA109" s="413">
        <v>0</v>
      </c>
      <c r="CB109" s="413">
        <v>0</v>
      </c>
      <c r="CC109" s="413">
        <v>0</v>
      </c>
      <c r="CD109" s="413">
        <v>0</v>
      </c>
      <c r="CE109" s="413">
        <v>0</v>
      </c>
      <c r="CF109" s="413">
        <v>0</v>
      </c>
      <c r="CG109" s="413">
        <v>0</v>
      </c>
      <c r="CH109" s="413">
        <v>0</v>
      </c>
      <c r="CI109" s="413">
        <v>0</v>
      </c>
      <c r="CJ109" s="413">
        <v>0</v>
      </c>
      <c r="CK109" s="413">
        <v>0</v>
      </c>
      <c r="CL109" s="413">
        <v>0</v>
      </c>
      <c r="CM109" s="413">
        <v>0</v>
      </c>
      <c r="CN109" s="413">
        <v>0</v>
      </c>
      <c r="CO109" s="414">
        <f t="shared" si="4"/>
        <v>1</v>
      </c>
    </row>
    <row r="110" spans="1:93" s="415" customFormat="1" ht="25.5" x14ac:dyDescent="0.25">
      <c r="A110" s="881" t="s">
        <v>594</v>
      </c>
      <c r="B110" s="862" t="s">
        <v>2910</v>
      </c>
      <c r="C110" s="861" t="s">
        <v>2692</v>
      </c>
      <c r="D110" s="862"/>
      <c r="E110" s="861" t="s">
        <v>655</v>
      </c>
      <c r="F110" s="862"/>
      <c r="G110" s="861"/>
      <c r="H110" s="861" t="s">
        <v>654</v>
      </c>
      <c r="I110" s="861" t="s">
        <v>647</v>
      </c>
      <c r="J110" s="861" t="s">
        <v>641</v>
      </c>
      <c r="K110" s="861" t="s">
        <v>649</v>
      </c>
      <c r="L110" s="861" t="s">
        <v>40</v>
      </c>
      <c r="M110" s="861" t="s">
        <v>653</v>
      </c>
      <c r="N110" s="861" t="s">
        <v>645</v>
      </c>
      <c r="O110" s="861"/>
      <c r="P110" s="861"/>
      <c r="Q110" s="861" t="s">
        <v>650</v>
      </c>
      <c r="R110" s="861" t="s">
        <v>652</v>
      </c>
      <c r="S110" s="861" t="s">
        <v>649</v>
      </c>
      <c r="T110" s="861"/>
      <c r="U110" s="861"/>
      <c r="V110" s="861" t="s">
        <v>685</v>
      </c>
      <c r="W110" s="861" t="s">
        <v>677</v>
      </c>
      <c r="X110" s="863">
        <v>44013</v>
      </c>
      <c r="Y110" s="863">
        <v>44377</v>
      </c>
      <c r="Z110" s="864">
        <v>2021</v>
      </c>
      <c r="AA110" s="861"/>
      <c r="AB110" s="861"/>
      <c r="AC110" s="861"/>
      <c r="AD110" s="865"/>
      <c r="AE110" s="865"/>
      <c r="AF110" s="865"/>
      <c r="AG110" s="865"/>
      <c r="AH110" s="865"/>
      <c r="AI110" s="865"/>
      <c r="AJ110" s="865"/>
      <c r="AK110" s="865"/>
      <c r="AL110" s="865"/>
      <c r="AM110" s="865"/>
      <c r="AN110" s="865"/>
      <c r="AO110" s="865"/>
      <c r="AP110" s="865"/>
      <c r="AQ110" s="865"/>
      <c r="AR110" s="865"/>
      <c r="AS110" s="865"/>
      <c r="AT110" s="865"/>
      <c r="AU110" s="865"/>
      <c r="AV110" s="865"/>
      <c r="AW110" s="865">
        <v>80000.000000000029</v>
      </c>
      <c r="AX110" s="865"/>
      <c r="AY110" s="865"/>
      <c r="AZ110" s="865"/>
      <c r="BA110" s="865"/>
      <c r="BB110" s="865"/>
      <c r="BC110" s="865"/>
      <c r="BD110" s="865"/>
      <c r="BE110" s="865"/>
      <c r="BF110" s="865"/>
      <c r="BG110" s="865"/>
      <c r="BH110" s="865">
        <v>319747.83000000025</v>
      </c>
      <c r="BI110" s="865"/>
      <c r="BJ110" s="865"/>
      <c r="BK110" s="865"/>
      <c r="BL110" s="865"/>
      <c r="BM110" s="865"/>
      <c r="BN110" s="865"/>
      <c r="BO110" s="865"/>
      <c r="BP110" s="865"/>
      <c r="BQ110" s="865"/>
      <c r="BR110" s="865"/>
      <c r="BS110" s="865">
        <v>399747.83000000031</v>
      </c>
      <c r="BT110" s="412">
        <f t="shared" si="5"/>
        <v>80000.000000000029</v>
      </c>
      <c r="BU110" s="413">
        <v>0</v>
      </c>
      <c r="BV110" s="413">
        <v>0</v>
      </c>
      <c r="BW110" s="413">
        <v>0</v>
      </c>
      <c r="BX110" s="413">
        <v>1</v>
      </c>
      <c r="BY110" s="413">
        <v>0</v>
      </c>
      <c r="BZ110" s="413">
        <v>0</v>
      </c>
      <c r="CA110" s="413">
        <v>0</v>
      </c>
      <c r="CB110" s="413">
        <v>0</v>
      </c>
      <c r="CC110" s="413">
        <v>0</v>
      </c>
      <c r="CD110" s="413">
        <v>0</v>
      </c>
      <c r="CE110" s="413">
        <v>0</v>
      </c>
      <c r="CF110" s="413">
        <v>0</v>
      </c>
      <c r="CG110" s="413">
        <v>0</v>
      </c>
      <c r="CH110" s="413">
        <v>0</v>
      </c>
      <c r="CI110" s="413">
        <v>0</v>
      </c>
      <c r="CJ110" s="413">
        <v>0</v>
      </c>
      <c r="CK110" s="413">
        <v>0</v>
      </c>
      <c r="CL110" s="413">
        <v>0</v>
      </c>
      <c r="CM110" s="413">
        <v>0</v>
      </c>
      <c r="CN110" s="413">
        <v>0</v>
      </c>
      <c r="CO110" s="414">
        <f t="shared" si="4"/>
        <v>1</v>
      </c>
    </row>
    <row r="111" spans="1:93" s="415" customFormat="1" ht="25.5" x14ac:dyDescent="0.25">
      <c r="A111" s="881" t="s">
        <v>596</v>
      </c>
      <c r="B111" s="862" t="s">
        <v>2355</v>
      </c>
      <c r="C111" s="861" t="s">
        <v>2693</v>
      </c>
      <c r="D111" s="862"/>
      <c r="E111" s="861" t="s">
        <v>655</v>
      </c>
      <c r="F111" s="862"/>
      <c r="G111" s="861" t="s">
        <v>686</v>
      </c>
      <c r="H111" s="861" t="s">
        <v>654</v>
      </c>
      <c r="I111" s="861" t="s">
        <v>647</v>
      </c>
      <c r="J111" s="861" t="s">
        <v>641</v>
      </c>
      <c r="K111" s="861" t="s">
        <v>649</v>
      </c>
      <c r="L111" s="861" t="s">
        <v>40</v>
      </c>
      <c r="M111" s="861" t="s">
        <v>653</v>
      </c>
      <c r="N111" s="861" t="s">
        <v>645</v>
      </c>
      <c r="O111" s="861"/>
      <c r="P111" s="861"/>
      <c r="Q111" s="861" t="s">
        <v>642</v>
      </c>
      <c r="R111" s="861" t="s">
        <v>652</v>
      </c>
      <c r="S111" s="861" t="s">
        <v>649</v>
      </c>
      <c r="T111" s="861"/>
      <c r="U111" s="861"/>
      <c r="V111" s="861" t="s">
        <v>685</v>
      </c>
      <c r="W111" s="861" t="s">
        <v>684</v>
      </c>
      <c r="X111" s="863">
        <v>43647</v>
      </c>
      <c r="Y111" s="863">
        <v>44742</v>
      </c>
      <c r="Z111" s="864">
        <v>2022</v>
      </c>
      <c r="AA111" s="861"/>
      <c r="AB111" s="861"/>
      <c r="AC111" s="861"/>
      <c r="AD111" s="865"/>
      <c r="AE111" s="865"/>
      <c r="AF111" s="865"/>
      <c r="AG111" s="865">
        <v>127532.06977800011</v>
      </c>
      <c r="AH111" s="865"/>
      <c r="AI111" s="865">
        <v>11749.99999961001</v>
      </c>
      <c r="AJ111" s="865"/>
      <c r="AK111" s="865"/>
      <c r="AL111" s="865"/>
      <c r="AM111" s="865"/>
      <c r="AN111" s="865"/>
      <c r="AO111" s="869">
        <v>7362864.6775954599</v>
      </c>
      <c r="AP111" s="870">
        <v>0</v>
      </c>
      <c r="AQ111" s="865"/>
      <c r="AR111" s="865">
        <v>203279.88070000018</v>
      </c>
      <c r="AS111" s="865">
        <v>550020.65100000065</v>
      </c>
      <c r="AT111" s="865"/>
      <c r="AU111" s="865"/>
      <c r="AV111" s="865"/>
      <c r="AW111" s="865"/>
      <c r="AX111" s="865"/>
      <c r="AY111" s="865"/>
      <c r="AZ111" s="865"/>
      <c r="BA111" s="865"/>
      <c r="BB111" s="865"/>
      <c r="BC111" s="865">
        <v>10341.355466641508</v>
      </c>
      <c r="BD111" s="865">
        <v>6894.2369777610047</v>
      </c>
      <c r="BE111" s="865">
        <v>11634.024899971697</v>
      </c>
      <c r="BF111" s="865">
        <v>308.41713958545677</v>
      </c>
      <c r="BG111" s="865">
        <v>0</v>
      </c>
      <c r="BH111" s="865">
        <v>2114725.0304840971</v>
      </c>
      <c r="BI111" s="865"/>
      <c r="BJ111" s="865"/>
      <c r="BK111" s="865"/>
      <c r="BL111" s="865"/>
      <c r="BM111" s="865"/>
      <c r="BN111" s="865"/>
      <c r="BO111" s="865"/>
      <c r="BP111" s="865"/>
      <c r="BQ111" s="865"/>
      <c r="BR111" s="865"/>
      <c r="BS111" s="865">
        <v>10399350.342041133</v>
      </c>
      <c r="BT111" s="412">
        <f t="shared" si="5"/>
        <v>8255447.2790730707</v>
      </c>
      <c r="BU111" s="413">
        <v>0</v>
      </c>
      <c r="BV111" s="413">
        <v>6.6625178794886261E-2</v>
      </c>
      <c r="BW111" s="413">
        <v>2.4623727077186863E-2</v>
      </c>
      <c r="BX111" s="413">
        <v>0</v>
      </c>
      <c r="BY111" s="413">
        <v>0</v>
      </c>
      <c r="BZ111" s="413">
        <v>0</v>
      </c>
      <c r="CA111" s="413">
        <v>0</v>
      </c>
      <c r="CB111" s="413">
        <v>0</v>
      </c>
      <c r="CC111" s="413">
        <v>0</v>
      </c>
      <c r="CD111" s="413">
        <v>1.5448232599254092E-2</v>
      </c>
      <c r="CE111" s="413">
        <v>0</v>
      </c>
      <c r="CF111" s="413">
        <v>1.4233026512561428E-3</v>
      </c>
      <c r="CG111" s="413">
        <v>0</v>
      </c>
      <c r="CH111" s="413">
        <v>0</v>
      </c>
      <c r="CI111" s="413">
        <v>0</v>
      </c>
      <c r="CJ111" s="413">
        <v>0.89187955887741666</v>
      </c>
      <c r="CK111" s="413">
        <v>0</v>
      </c>
      <c r="CL111" s="413">
        <v>0</v>
      </c>
      <c r="CM111" s="413">
        <v>0</v>
      </c>
      <c r="CN111" s="413">
        <v>0</v>
      </c>
      <c r="CO111" s="414">
        <f t="shared" si="4"/>
        <v>1</v>
      </c>
    </row>
    <row r="112" spans="1:93" s="415" customFormat="1" ht="25.5" x14ac:dyDescent="0.25">
      <c r="A112" s="881" t="s">
        <v>601</v>
      </c>
      <c r="B112" s="862" t="s">
        <v>2257</v>
      </c>
      <c r="C112" s="861" t="s">
        <v>2501</v>
      </c>
      <c r="D112" s="862"/>
      <c r="E112" s="861" t="s">
        <v>655</v>
      </c>
      <c r="F112" s="862"/>
      <c r="G112" s="861"/>
      <c r="H112" s="861" t="s">
        <v>654</v>
      </c>
      <c r="I112" s="861" t="s">
        <v>647</v>
      </c>
      <c r="J112" s="861" t="s">
        <v>671</v>
      </c>
      <c r="K112" s="861" t="s">
        <v>649</v>
      </c>
      <c r="L112" s="861" t="s">
        <v>55</v>
      </c>
      <c r="M112" s="861" t="s">
        <v>653</v>
      </c>
      <c r="N112" s="861" t="s">
        <v>645</v>
      </c>
      <c r="O112" s="861"/>
      <c r="P112" s="861"/>
      <c r="Q112" s="861" t="s">
        <v>650</v>
      </c>
      <c r="R112" s="861" t="s">
        <v>652</v>
      </c>
      <c r="S112" s="861" t="s">
        <v>649</v>
      </c>
      <c r="T112" s="861"/>
      <c r="U112" s="861"/>
      <c r="V112" s="861" t="s">
        <v>683</v>
      </c>
      <c r="W112" s="861" t="s">
        <v>677</v>
      </c>
      <c r="X112" s="863">
        <v>43891</v>
      </c>
      <c r="Y112" s="863">
        <v>44470</v>
      </c>
      <c r="Z112" s="864">
        <v>2022</v>
      </c>
      <c r="AA112" s="861"/>
      <c r="AB112" s="861"/>
      <c r="AC112" s="861"/>
      <c r="AD112" s="865"/>
      <c r="AE112" s="865"/>
      <c r="AF112" s="865"/>
      <c r="AG112" s="865"/>
      <c r="AH112" s="865"/>
      <c r="AI112" s="865"/>
      <c r="AJ112" s="865"/>
      <c r="AK112" s="865"/>
      <c r="AL112" s="865"/>
      <c r="AM112" s="865"/>
      <c r="AN112" s="865"/>
      <c r="AO112" s="865"/>
      <c r="AP112" s="865"/>
      <c r="AQ112" s="865"/>
      <c r="AR112" s="865"/>
      <c r="AS112" s="865"/>
      <c r="AT112" s="865"/>
      <c r="AU112" s="865"/>
      <c r="AV112" s="865"/>
      <c r="AW112" s="865">
        <v>0</v>
      </c>
      <c r="AX112" s="865"/>
      <c r="AY112" s="865"/>
      <c r="AZ112" s="865"/>
      <c r="BA112" s="865"/>
      <c r="BB112" s="865"/>
      <c r="BC112" s="865"/>
      <c r="BD112" s="865"/>
      <c r="BE112" s="865"/>
      <c r="BF112" s="865"/>
      <c r="BG112" s="865"/>
      <c r="BH112" s="865">
        <v>674999.99999999965</v>
      </c>
      <c r="BI112" s="865"/>
      <c r="BJ112" s="865"/>
      <c r="BK112" s="865"/>
      <c r="BL112" s="865"/>
      <c r="BM112" s="865"/>
      <c r="BN112" s="865"/>
      <c r="BO112" s="865"/>
      <c r="BP112" s="865"/>
      <c r="BQ112" s="865"/>
      <c r="BR112" s="865"/>
      <c r="BS112" s="865">
        <v>674999.99999999965</v>
      </c>
      <c r="BT112" s="412">
        <f t="shared" si="5"/>
        <v>0</v>
      </c>
      <c r="BU112" s="413">
        <v>0</v>
      </c>
      <c r="BV112" s="413">
        <v>0</v>
      </c>
      <c r="BW112" s="413">
        <v>0</v>
      </c>
      <c r="BX112" s="413">
        <v>1</v>
      </c>
      <c r="BY112" s="413">
        <v>0</v>
      </c>
      <c r="BZ112" s="413">
        <v>0</v>
      </c>
      <c r="CA112" s="413">
        <v>0</v>
      </c>
      <c r="CB112" s="413">
        <v>0</v>
      </c>
      <c r="CC112" s="413">
        <v>0</v>
      </c>
      <c r="CD112" s="413">
        <v>0</v>
      </c>
      <c r="CE112" s="413">
        <v>0</v>
      </c>
      <c r="CF112" s="413">
        <v>0</v>
      </c>
      <c r="CG112" s="413">
        <v>0</v>
      </c>
      <c r="CH112" s="413">
        <v>0</v>
      </c>
      <c r="CI112" s="413">
        <v>0</v>
      </c>
      <c r="CJ112" s="413">
        <v>0</v>
      </c>
      <c r="CK112" s="413">
        <v>0</v>
      </c>
      <c r="CL112" s="413">
        <v>0</v>
      </c>
      <c r="CM112" s="413">
        <v>0</v>
      </c>
      <c r="CN112" s="413">
        <v>0</v>
      </c>
      <c r="CO112" s="414">
        <f t="shared" si="4"/>
        <v>1</v>
      </c>
    </row>
    <row r="113" spans="1:93" s="415" customFormat="1" ht="25.5" x14ac:dyDescent="0.25">
      <c r="A113" s="881" t="s">
        <v>605</v>
      </c>
      <c r="B113" s="862" t="s">
        <v>2913</v>
      </c>
      <c r="C113" s="861" t="s">
        <v>2504</v>
      </c>
      <c r="D113" s="862"/>
      <c r="E113" s="861" t="s">
        <v>655</v>
      </c>
      <c r="F113" s="862"/>
      <c r="G113" s="861"/>
      <c r="H113" s="861" t="s">
        <v>654</v>
      </c>
      <c r="I113" s="861" t="s">
        <v>647</v>
      </c>
      <c r="J113" s="861" t="s">
        <v>671</v>
      </c>
      <c r="K113" s="861" t="s">
        <v>649</v>
      </c>
      <c r="L113" s="861" t="s">
        <v>55</v>
      </c>
      <c r="M113" s="861" t="s">
        <v>653</v>
      </c>
      <c r="N113" s="861" t="s">
        <v>645</v>
      </c>
      <c r="O113" s="861"/>
      <c r="P113" s="861"/>
      <c r="Q113" s="861" t="s">
        <v>650</v>
      </c>
      <c r="R113" s="861" t="s">
        <v>652</v>
      </c>
      <c r="S113" s="861" t="s">
        <v>649</v>
      </c>
      <c r="T113" s="861"/>
      <c r="U113" s="861"/>
      <c r="V113" s="861" t="s">
        <v>683</v>
      </c>
      <c r="W113" s="861" t="s">
        <v>677</v>
      </c>
      <c r="X113" s="863">
        <v>44743</v>
      </c>
      <c r="Y113" s="863">
        <v>45131</v>
      </c>
      <c r="Z113" s="864">
        <v>2024</v>
      </c>
      <c r="AA113" s="861"/>
      <c r="AB113" s="861"/>
      <c r="AC113" s="861"/>
      <c r="AD113" s="865"/>
      <c r="AE113" s="865"/>
      <c r="AF113" s="865"/>
      <c r="AG113" s="865"/>
      <c r="AH113" s="865"/>
      <c r="AI113" s="865"/>
      <c r="AJ113" s="865"/>
      <c r="AK113" s="865"/>
      <c r="AL113" s="865"/>
      <c r="AM113" s="865"/>
      <c r="AN113" s="865"/>
      <c r="AO113" s="865"/>
      <c r="AP113" s="865"/>
      <c r="AQ113" s="865"/>
      <c r="AR113" s="865"/>
      <c r="AS113" s="865"/>
      <c r="AT113" s="865"/>
      <c r="AU113" s="865"/>
      <c r="AV113" s="865"/>
      <c r="AW113" s="865">
        <v>89999.999999999985</v>
      </c>
      <c r="AX113" s="865"/>
      <c r="AY113" s="865"/>
      <c r="AZ113" s="865"/>
      <c r="BA113" s="865"/>
      <c r="BB113" s="865"/>
      <c r="BC113" s="865"/>
      <c r="BD113" s="865"/>
      <c r="BE113" s="865"/>
      <c r="BF113" s="865"/>
      <c r="BG113" s="865"/>
      <c r="BH113" s="865">
        <v>362249.99999999988</v>
      </c>
      <c r="BI113" s="865"/>
      <c r="BJ113" s="865"/>
      <c r="BK113" s="865"/>
      <c r="BL113" s="865"/>
      <c r="BM113" s="865"/>
      <c r="BN113" s="865"/>
      <c r="BO113" s="865"/>
      <c r="BP113" s="865"/>
      <c r="BQ113" s="865"/>
      <c r="BR113" s="865"/>
      <c r="BS113" s="865">
        <v>452249.99999999988</v>
      </c>
      <c r="BT113" s="412">
        <f t="shared" si="5"/>
        <v>89999.999999999985</v>
      </c>
      <c r="BU113" s="413">
        <v>0</v>
      </c>
      <c r="BV113" s="413">
        <v>0</v>
      </c>
      <c r="BW113" s="413">
        <v>0</v>
      </c>
      <c r="BX113" s="413">
        <v>1</v>
      </c>
      <c r="BY113" s="413">
        <v>0</v>
      </c>
      <c r="BZ113" s="413">
        <v>0</v>
      </c>
      <c r="CA113" s="413">
        <v>0</v>
      </c>
      <c r="CB113" s="413">
        <v>0</v>
      </c>
      <c r="CC113" s="413">
        <v>0</v>
      </c>
      <c r="CD113" s="413">
        <v>0</v>
      </c>
      <c r="CE113" s="413">
        <v>0</v>
      </c>
      <c r="CF113" s="413">
        <v>0</v>
      </c>
      <c r="CG113" s="413">
        <v>0</v>
      </c>
      <c r="CH113" s="413">
        <v>0</v>
      </c>
      <c r="CI113" s="413">
        <v>0</v>
      </c>
      <c r="CJ113" s="413">
        <v>0</v>
      </c>
      <c r="CK113" s="413">
        <v>0</v>
      </c>
      <c r="CL113" s="413">
        <v>0</v>
      </c>
      <c r="CM113" s="413">
        <v>0</v>
      </c>
      <c r="CN113" s="413">
        <v>0</v>
      </c>
      <c r="CO113" s="414">
        <f t="shared" si="4"/>
        <v>1</v>
      </c>
    </row>
    <row r="114" spans="1:93" s="415" customFormat="1" ht="25.5" x14ac:dyDescent="0.25">
      <c r="A114" s="881" t="s">
        <v>607</v>
      </c>
      <c r="B114" s="862" t="s">
        <v>2915</v>
      </c>
      <c r="C114" s="861" t="s">
        <v>2506</v>
      </c>
      <c r="D114" s="862"/>
      <c r="E114" s="861" t="s">
        <v>655</v>
      </c>
      <c r="F114" s="862"/>
      <c r="G114" s="861"/>
      <c r="H114" s="861" t="s">
        <v>654</v>
      </c>
      <c r="I114" s="861" t="s">
        <v>647</v>
      </c>
      <c r="J114" s="861" t="s">
        <v>671</v>
      </c>
      <c r="K114" s="861" t="s">
        <v>649</v>
      </c>
      <c r="L114" s="861" t="s">
        <v>55</v>
      </c>
      <c r="M114" s="861" t="s">
        <v>653</v>
      </c>
      <c r="N114" s="861" t="s">
        <v>645</v>
      </c>
      <c r="O114" s="861"/>
      <c r="P114" s="861"/>
      <c r="Q114" s="861" t="s">
        <v>650</v>
      </c>
      <c r="R114" s="861" t="s">
        <v>652</v>
      </c>
      <c r="S114" s="861" t="s">
        <v>649</v>
      </c>
      <c r="T114" s="861"/>
      <c r="U114" s="861"/>
      <c r="V114" s="861" t="s">
        <v>683</v>
      </c>
      <c r="W114" s="861" t="s">
        <v>640</v>
      </c>
      <c r="X114" s="863">
        <v>43282</v>
      </c>
      <c r="Y114" s="863">
        <v>44075</v>
      </c>
      <c r="Z114" s="864">
        <v>2021</v>
      </c>
      <c r="AA114" s="861"/>
      <c r="AB114" s="861"/>
      <c r="AC114" s="861"/>
      <c r="AD114" s="865"/>
      <c r="AE114" s="865"/>
      <c r="AF114" s="865"/>
      <c r="AG114" s="865"/>
      <c r="AH114" s="865"/>
      <c r="AI114" s="865"/>
      <c r="AJ114" s="865"/>
      <c r="AK114" s="865"/>
      <c r="AL114" s="865"/>
      <c r="AM114" s="865"/>
      <c r="AN114" s="865"/>
      <c r="AO114" s="865"/>
      <c r="AP114" s="865"/>
      <c r="AQ114" s="865"/>
      <c r="AR114" s="865"/>
      <c r="AS114" s="865"/>
      <c r="AT114" s="865"/>
      <c r="AU114" s="865"/>
      <c r="AV114" s="865"/>
      <c r="AW114" s="865">
        <v>52000</v>
      </c>
      <c r="AX114" s="865"/>
      <c r="AY114" s="865"/>
      <c r="AZ114" s="865"/>
      <c r="BA114" s="865"/>
      <c r="BB114" s="865"/>
      <c r="BC114" s="865"/>
      <c r="BD114" s="865"/>
      <c r="BE114" s="865"/>
      <c r="BF114" s="865"/>
      <c r="BG114" s="865"/>
      <c r="BH114" s="865">
        <v>208000.00000000009</v>
      </c>
      <c r="BI114" s="865"/>
      <c r="BJ114" s="865"/>
      <c r="BK114" s="865"/>
      <c r="BL114" s="865"/>
      <c r="BM114" s="865"/>
      <c r="BN114" s="865"/>
      <c r="BO114" s="865"/>
      <c r="BP114" s="865"/>
      <c r="BQ114" s="865"/>
      <c r="BR114" s="865"/>
      <c r="BS114" s="865">
        <v>260000.00000000009</v>
      </c>
      <c r="BT114" s="412">
        <f t="shared" si="5"/>
        <v>52000</v>
      </c>
      <c r="BU114" s="413">
        <v>0</v>
      </c>
      <c r="BV114" s="413">
        <v>0</v>
      </c>
      <c r="BW114" s="413">
        <v>0</v>
      </c>
      <c r="BX114" s="413">
        <v>1</v>
      </c>
      <c r="BY114" s="413">
        <v>0</v>
      </c>
      <c r="BZ114" s="413">
        <v>0</v>
      </c>
      <c r="CA114" s="413">
        <v>0</v>
      </c>
      <c r="CB114" s="413">
        <v>0</v>
      </c>
      <c r="CC114" s="413">
        <v>0</v>
      </c>
      <c r="CD114" s="413">
        <v>0</v>
      </c>
      <c r="CE114" s="413">
        <v>0</v>
      </c>
      <c r="CF114" s="413">
        <v>0</v>
      </c>
      <c r="CG114" s="413">
        <v>0</v>
      </c>
      <c r="CH114" s="413">
        <v>0</v>
      </c>
      <c r="CI114" s="413">
        <v>0</v>
      </c>
      <c r="CJ114" s="413">
        <v>0</v>
      </c>
      <c r="CK114" s="413">
        <v>0</v>
      </c>
      <c r="CL114" s="413">
        <v>0</v>
      </c>
      <c r="CM114" s="413">
        <v>0</v>
      </c>
      <c r="CN114" s="413">
        <v>0</v>
      </c>
      <c r="CO114" s="414">
        <f t="shared" si="4"/>
        <v>1</v>
      </c>
    </row>
    <row r="115" spans="1:93" s="415" customFormat="1" ht="25.5" x14ac:dyDescent="0.25">
      <c r="A115" s="881" t="s">
        <v>610</v>
      </c>
      <c r="B115" s="862" t="s">
        <v>2916</v>
      </c>
      <c r="C115" s="861" t="s">
        <v>2507</v>
      </c>
      <c r="D115" s="862"/>
      <c r="E115" s="861" t="s">
        <v>655</v>
      </c>
      <c r="F115" s="862"/>
      <c r="G115" s="861"/>
      <c r="H115" s="861" t="s">
        <v>654</v>
      </c>
      <c r="I115" s="861" t="s">
        <v>647</v>
      </c>
      <c r="J115" s="861" t="s">
        <v>671</v>
      </c>
      <c r="K115" s="861" t="s">
        <v>649</v>
      </c>
      <c r="L115" s="861" t="s">
        <v>55</v>
      </c>
      <c r="M115" s="861" t="s">
        <v>653</v>
      </c>
      <c r="N115" s="861" t="s">
        <v>645</v>
      </c>
      <c r="O115" s="861"/>
      <c r="P115" s="861"/>
      <c r="Q115" s="861" t="s">
        <v>650</v>
      </c>
      <c r="R115" s="861" t="s">
        <v>652</v>
      </c>
      <c r="S115" s="861" t="s">
        <v>649</v>
      </c>
      <c r="T115" s="861"/>
      <c r="U115" s="861"/>
      <c r="V115" s="861" t="s">
        <v>683</v>
      </c>
      <c r="W115" s="861" t="s">
        <v>640</v>
      </c>
      <c r="X115" s="863">
        <v>43678</v>
      </c>
      <c r="Y115" s="863">
        <v>44223</v>
      </c>
      <c r="Z115" s="864">
        <v>2021</v>
      </c>
      <c r="AA115" s="861"/>
      <c r="AB115" s="861"/>
      <c r="AC115" s="861"/>
      <c r="AD115" s="865"/>
      <c r="AE115" s="865"/>
      <c r="AF115" s="865"/>
      <c r="AG115" s="865"/>
      <c r="AH115" s="865"/>
      <c r="AI115" s="865"/>
      <c r="AJ115" s="865"/>
      <c r="AK115" s="865"/>
      <c r="AL115" s="865"/>
      <c r="AM115" s="865"/>
      <c r="AN115" s="865"/>
      <c r="AO115" s="865"/>
      <c r="AP115" s="865"/>
      <c r="AQ115" s="865"/>
      <c r="AR115" s="865"/>
      <c r="AS115" s="865"/>
      <c r="AT115" s="865"/>
      <c r="AU115" s="865"/>
      <c r="AV115" s="865"/>
      <c r="AW115" s="865">
        <v>117800.00000000007</v>
      </c>
      <c r="AX115" s="865"/>
      <c r="AY115" s="865"/>
      <c r="AZ115" s="865"/>
      <c r="BA115" s="865"/>
      <c r="BB115" s="865"/>
      <c r="BC115" s="865"/>
      <c r="BD115" s="865"/>
      <c r="BE115" s="865"/>
      <c r="BF115" s="865"/>
      <c r="BG115" s="865"/>
      <c r="BH115" s="865">
        <v>501874.6436666674</v>
      </c>
      <c r="BI115" s="865"/>
      <c r="BJ115" s="865"/>
      <c r="BK115" s="865"/>
      <c r="BL115" s="865"/>
      <c r="BM115" s="865"/>
      <c r="BN115" s="865"/>
      <c r="BO115" s="865"/>
      <c r="BP115" s="865"/>
      <c r="BQ115" s="865"/>
      <c r="BR115" s="865"/>
      <c r="BS115" s="865">
        <v>619674.6436666674</v>
      </c>
      <c r="BT115" s="412">
        <f t="shared" si="5"/>
        <v>117800.00000000007</v>
      </c>
      <c r="BU115" s="413">
        <v>0</v>
      </c>
      <c r="BV115" s="413">
        <v>0</v>
      </c>
      <c r="BW115" s="413">
        <v>0</v>
      </c>
      <c r="BX115" s="413">
        <v>1</v>
      </c>
      <c r="BY115" s="413">
        <v>0</v>
      </c>
      <c r="BZ115" s="413">
        <v>0</v>
      </c>
      <c r="CA115" s="413">
        <v>0</v>
      </c>
      <c r="CB115" s="413">
        <v>0</v>
      </c>
      <c r="CC115" s="413">
        <v>0</v>
      </c>
      <c r="CD115" s="413">
        <v>0</v>
      </c>
      <c r="CE115" s="413">
        <v>0</v>
      </c>
      <c r="CF115" s="413">
        <v>0</v>
      </c>
      <c r="CG115" s="413">
        <v>0</v>
      </c>
      <c r="CH115" s="413">
        <v>0</v>
      </c>
      <c r="CI115" s="413">
        <v>0</v>
      </c>
      <c r="CJ115" s="413">
        <v>0</v>
      </c>
      <c r="CK115" s="413">
        <v>0</v>
      </c>
      <c r="CL115" s="413">
        <v>0</v>
      </c>
      <c r="CM115" s="413">
        <v>0</v>
      </c>
      <c r="CN115" s="413">
        <v>0</v>
      </c>
      <c r="CO115" s="414">
        <f t="shared" si="4"/>
        <v>1</v>
      </c>
    </row>
    <row r="116" spans="1:93" s="415" customFormat="1" ht="25.5" x14ac:dyDescent="0.25">
      <c r="A116" s="881" t="s">
        <v>611</v>
      </c>
      <c r="B116" s="862" t="s">
        <v>2917</v>
      </c>
      <c r="C116" s="861" t="s">
        <v>2508</v>
      </c>
      <c r="D116" s="862"/>
      <c r="E116" s="861" t="s">
        <v>655</v>
      </c>
      <c r="F116" s="862"/>
      <c r="G116" s="861"/>
      <c r="H116" s="861" t="s">
        <v>654</v>
      </c>
      <c r="I116" s="861" t="s">
        <v>647</v>
      </c>
      <c r="J116" s="861" t="s">
        <v>671</v>
      </c>
      <c r="K116" s="861" t="s">
        <v>649</v>
      </c>
      <c r="L116" s="861" t="s">
        <v>55</v>
      </c>
      <c r="M116" s="861" t="s">
        <v>653</v>
      </c>
      <c r="N116" s="861" t="s">
        <v>645</v>
      </c>
      <c r="O116" s="861"/>
      <c r="P116" s="861"/>
      <c r="Q116" s="861" t="s">
        <v>650</v>
      </c>
      <c r="R116" s="861" t="s">
        <v>652</v>
      </c>
      <c r="S116" s="861" t="s">
        <v>649</v>
      </c>
      <c r="T116" s="861"/>
      <c r="U116" s="861"/>
      <c r="V116" s="861" t="s">
        <v>683</v>
      </c>
      <c r="W116" s="861" t="s">
        <v>640</v>
      </c>
      <c r="X116" s="863">
        <v>43593</v>
      </c>
      <c r="Y116" s="863">
        <v>44622</v>
      </c>
      <c r="Z116" s="864">
        <v>2022</v>
      </c>
      <c r="AA116" s="861"/>
      <c r="AB116" s="861"/>
      <c r="AC116" s="861"/>
      <c r="AD116" s="865"/>
      <c r="AE116" s="865"/>
      <c r="AF116" s="865"/>
      <c r="AG116" s="865"/>
      <c r="AH116" s="865"/>
      <c r="AI116" s="865"/>
      <c r="AJ116" s="865"/>
      <c r="AK116" s="865"/>
      <c r="AL116" s="865"/>
      <c r="AM116" s="865"/>
      <c r="AN116" s="865"/>
      <c r="AO116" s="865"/>
      <c r="AP116" s="865"/>
      <c r="AQ116" s="865"/>
      <c r="AR116" s="865"/>
      <c r="AS116" s="865"/>
      <c r="AT116" s="865"/>
      <c r="AU116" s="865"/>
      <c r="AV116" s="865"/>
      <c r="AW116" s="865">
        <v>151999.9999999998</v>
      </c>
      <c r="AX116" s="865"/>
      <c r="AY116" s="865"/>
      <c r="AZ116" s="865"/>
      <c r="BA116" s="865"/>
      <c r="BB116" s="865"/>
      <c r="BC116" s="865"/>
      <c r="BD116" s="865"/>
      <c r="BE116" s="865"/>
      <c r="BF116" s="865"/>
      <c r="BG116" s="865"/>
      <c r="BH116" s="865">
        <v>648368.37491666619</v>
      </c>
      <c r="BI116" s="865"/>
      <c r="BJ116" s="865"/>
      <c r="BK116" s="865"/>
      <c r="BL116" s="865"/>
      <c r="BM116" s="865"/>
      <c r="BN116" s="865"/>
      <c r="BO116" s="865"/>
      <c r="BP116" s="865"/>
      <c r="BQ116" s="865"/>
      <c r="BR116" s="865"/>
      <c r="BS116" s="865">
        <v>800368.37491666595</v>
      </c>
      <c r="BT116" s="412">
        <f t="shared" si="5"/>
        <v>151999.9999999998</v>
      </c>
      <c r="BU116" s="413">
        <v>0</v>
      </c>
      <c r="BV116" s="413">
        <v>0</v>
      </c>
      <c r="BW116" s="413">
        <v>0</v>
      </c>
      <c r="BX116" s="413">
        <v>1</v>
      </c>
      <c r="BY116" s="413">
        <v>0</v>
      </c>
      <c r="BZ116" s="413">
        <v>0</v>
      </c>
      <c r="CA116" s="413">
        <v>0</v>
      </c>
      <c r="CB116" s="413">
        <v>0</v>
      </c>
      <c r="CC116" s="413">
        <v>0</v>
      </c>
      <c r="CD116" s="413">
        <v>0</v>
      </c>
      <c r="CE116" s="413">
        <v>0</v>
      </c>
      <c r="CF116" s="413">
        <v>0</v>
      </c>
      <c r="CG116" s="413">
        <v>0</v>
      </c>
      <c r="CH116" s="413">
        <v>0</v>
      </c>
      <c r="CI116" s="413">
        <v>0</v>
      </c>
      <c r="CJ116" s="413">
        <v>0</v>
      </c>
      <c r="CK116" s="413">
        <v>0</v>
      </c>
      <c r="CL116" s="413">
        <v>0</v>
      </c>
      <c r="CM116" s="413">
        <v>0</v>
      </c>
      <c r="CN116" s="413">
        <v>0</v>
      </c>
      <c r="CO116" s="414">
        <f t="shared" si="4"/>
        <v>1</v>
      </c>
    </row>
    <row r="117" spans="1:93" s="415" customFormat="1" ht="25.5" x14ac:dyDescent="0.25">
      <c r="A117" s="881" t="s">
        <v>614</v>
      </c>
      <c r="B117" s="862" t="s">
        <v>2919</v>
      </c>
      <c r="C117" s="861" t="s">
        <v>2789</v>
      </c>
      <c r="D117" s="862"/>
      <c r="E117" s="861" t="s">
        <v>655</v>
      </c>
      <c r="F117" s="862"/>
      <c r="G117" s="861"/>
      <c r="H117" s="861" t="s">
        <v>654</v>
      </c>
      <c r="I117" s="861" t="s">
        <v>647</v>
      </c>
      <c r="J117" s="861" t="s">
        <v>671</v>
      </c>
      <c r="K117" s="861" t="s">
        <v>649</v>
      </c>
      <c r="L117" s="861" t="s">
        <v>55</v>
      </c>
      <c r="M117" s="861" t="s">
        <v>653</v>
      </c>
      <c r="N117" s="861" t="s">
        <v>645</v>
      </c>
      <c r="O117" s="861"/>
      <c r="P117" s="861"/>
      <c r="Q117" s="861" t="s">
        <v>642</v>
      </c>
      <c r="R117" s="861" t="s">
        <v>652</v>
      </c>
      <c r="S117" s="861" t="s">
        <v>649</v>
      </c>
      <c r="T117" s="861"/>
      <c r="U117" s="861"/>
      <c r="V117" s="861" t="s">
        <v>683</v>
      </c>
      <c r="W117" s="861" t="s">
        <v>684</v>
      </c>
      <c r="X117" s="863">
        <v>43282</v>
      </c>
      <c r="Y117" s="863">
        <v>44320</v>
      </c>
      <c r="Z117" s="864">
        <v>2021</v>
      </c>
      <c r="AA117" s="861"/>
      <c r="AB117" s="861"/>
      <c r="AC117" s="861"/>
      <c r="AD117" s="865"/>
      <c r="AE117" s="865"/>
      <c r="AF117" s="865"/>
      <c r="AG117" s="865"/>
      <c r="AH117" s="865"/>
      <c r="AI117" s="865"/>
      <c r="AJ117" s="865"/>
      <c r="AK117" s="865"/>
      <c r="AL117" s="865"/>
      <c r="AM117" s="865"/>
      <c r="AN117" s="865"/>
      <c r="AO117" s="865"/>
      <c r="AP117" s="865"/>
      <c r="AQ117" s="865"/>
      <c r="AR117" s="865"/>
      <c r="AS117" s="865"/>
      <c r="AT117" s="865"/>
      <c r="AU117" s="865"/>
      <c r="AV117" s="865"/>
      <c r="AW117" s="865">
        <v>545264.99999999977</v>
      </c>
      <c r="AX117" s="865"/>
      <c r="AY117" s="865"/>
      <c r="AZ117" s="865"/>
      <c r="BA117" s="865"/>
      <c r="BB117" s="865"/>
      <c r="BC117" s="865"/>
      <c r="BD117" s="865"/>
      <c r="BE117" s="865"/>
      <c r="BF117" s="865"/>
      <c r="BG117" s="865"/>
      <c r="BH117" s="865">
        <v>2181557.5613333341</v>
      </c>
      <c r="BI117" s="865"/>
      <c r="BJ117" s="865"/>
      <c r="BK117" s="865"/>
      <c r="BL117" s="865"/>
      <c r="BM117" s="865"/>
      <c r="BN117" s="865"/>
      <c r="BO117" s="865"/>
      <c r="BP117" s="865"/>
      <c r="BQ117" s="865"/>
      <c r="BR117" s="865"/>
      <c r="BS117" s="865">
        <v>2726822.5613333341</v>
      </c>
      <c r="BT117" s="412">
        <f t="shared" si="5"/>
        <v>545264.99999999977</v>
      </c>
      <c r="BU117" s="413">
        <v>0</v>
      </c>
      <c r="BV117" s="413">
        <v>0</v>
      </c>
      <c r="BW117" s="413">
        <v>0</v>
      </c>
      <c r="BX117" s="413">
        <v>1</v>
      </c>
      <c r="BY117" s="413">
        <v>0</v>
      </c>
      <c r="BZ117" s="413">
        <v>0</v>
      </c>
      <c r="CA117" s="413">
        <v>0</v>
      </c>
      <c r="CB117" s="413">
        <v>0</v>
      </c>
      <c r="CC117" s="413">
        <v>0</v>
      </c>
      <c r="CD117" s="413">
        <v>0</v>
      </c>
      <c r="CE117" s="413">
        <v>0</v>
      </c>
      <c r="CF117" s="413">
        <v>0</v>
      </c>
      <c r="CG117" s="413">
        <v>0</v>
      </c>
      <c r="CH117" s="413">
        <v>0</v>
      </c>
      <c r="CI117" s="413">
        <v>0</v>
      </c>
      <c r="CJ117" s="413">
        <v>0</v>
      </c>
      <c r="CK117" s="413">
        <v>0</v>
      </c>
      <c r="CL117" s="413">
        <v>0</v>
      </c>
      <c r="CM117" s="413">
        <v>0</v>
      </c>
      <c r="CN117" s="413">
        <v>0</v>
      </c>
      <c r="CO117" s="414">
        <f t="shared" si="4"/>
        <v>1</v>
      </c>
    </row>
    <row r="118" spans="1:93" s="415" customFormat="1" ht="25.5" x14ac:dyDescent="0.25">
      <c r="A118" s="881" t="s">
        <v>619</v>
      </c>
      <c r="B118" s="862" t="s">
        <v>2259</v>
      </c>
      <c r="C118" s="861" t="s">
        <v>2694</v>
      </c>
      <c r="D118" s="862"/>
      <c r="E118" s="861" t="s">
        <v>655</v>
      </c>
      <c r="F118" s="862"/>
      <c r="G118" s="861"/>
      <c r="H118" s="861" t="s">
        <v>654</v>
      </c>
      <c r="I118" s="861" t="s">
        <v>647</v>
      </c>
      <c r="J118" s="861" t="s">
        <v>671</v>
      </c>
      <c r="K118" s="861" t="s">
        <v>649</v>
      </c>
      <c r="L118" s="861"/>
      <c r="M118" s="861" t="s">
        <v>653</v>
      </c>
      <c r="N118" s="861" t="s">
        <v>645</v>
      </c>
      <c r="O118" s="861"/>
      <c r="P118" s="861"/>
      <c r="Q118" s="861" t="s">
        <v>656</v>
      </c>
      <c r="R118" s="861" t="s">
        <v>652</v>
      </c>
      <c r="S118" s="861" t="s">
        <v>649</v>
      </c>
      <c r="T118" s="861"/>
      <c r="U118" s="861"/>
      <c r="V118" s="861" t="s">
        <v>670</v>
      </c>
      <c r="W118" s="861"/>
      <c r="X118" s="863">
        <v>43586</v>
      </c>
      <c r="Y118" s="863">
        <v>44131</v>
      </c>
      <c r="Z118" s="864">
        <v>2021</v>
      </c>
      <c r="AA118" s="861"/>
      <c r="AB118" s="861"/>
      <c r="AC118" s="861"/>
      <c r="AD118" s="865"/>
      <c r="AE118" s="865"/>
      <c r="AF118" s="865"/>
      <c r="AG118" s="865"/>
      <c r="AH118" s="865"/>
      <c r="AI118" s="865"/>
      <c r="AJ118" s="865"/>
      <c r="AK118" s="865"/>
      <c r="AL118" s="865"/>
      <c r="AM118" s="865"/>
      <c r="AN118" s="865"/>
      <c r="AO118" s="865"/>
      <c r="AP118" s="865"/>
      <c r="AQ118" s="865"/>
      <c r="AR118" s="865"/>
      <c r="AS118" s="865"/>
      <c r="AT118" s="865"/>
      <c r="AU118" s="865"/>
      <c r="AV118" s="865"/>
      <c r="AW118" s="865">
        <v>0</v>
      </c>
      <c r="AX118" s="865"/>
      <c r="AY118" s="865"/>
      <c r="AZ118" s="865"/>
      <c r="BA118" s="865"/>
      <c r="BB118" s="865"/>
      <c r="BC118" s="865"/>
      <c r="BD118" s="865"/>
      <c r="BE118" s="865"/>
      <c r="BF118" s="865"/>
      <c r="BG118" s="865"/>
      <c r="BH118" s="865">
        <v>1510742.8533333335</v>
      </c>
      <c r="BI118" s="865"/>
      <c r="BJ118" s="865"/>
      <c r="BK118" s="865"/>
      <c r="BL118" s="865"/>
      <c r="BM118" s="865"/>
      <c r="BN118" s="865"/>
      <c r="BO118" s="865"/>
      <c r="BP118" s="865"/>
      <c r="BQ118" s="865"/>
      <c r="BR118" s="865"/>
      <c r="BS118" s="865">
        <v>1510742.8533333335</v>
      </c>
      <c r="BT118" s="412">
        <f t="shared" si="5"/>
        <v>0</v>
      </c>
      <c r="BU118" s="413">
        <v>0</v>
      </c>
      <c r="BV118" s="413">
        <v>0</v>
      </c>
      <c r="BW118" s="413">
        <v>0</v>
      </c>
      <c r="BX118" s="413">
        <v>0</v>
      </c>
      <c r="BY118" s="413">
        <v>0</v>
      </c>
      <c r="BZ118" s="413">
        <v>0</v>
      </c>
      <c r="CA118" s="413">
        <v>0</v>
      </c>
      <c r="CB118" s="413">
        <v>0</v>
      </c>
      <c r="CC118" s="413">
        <v>0</v>
      </c>
      <c r="CD118" s="413">
        <v>0</v>
      </c>
      <c r="CE118" s="413">
        <v>0</v>
      </c>
      <c r="CF118" s="413">
        <v>0</v>
      </c>
      <c r="CG118" s="413">
        <v>0</v>
      </c>
      <c r="CH118" s="413">
        <v>0</v>
      </c>
      <c r="CI118" s="413">
        <v>0</v>
      </c>
      <c r="CJ118" s="413">
        <v>0</v>
      </c>
      <c r="CK118" s="413">
        <v>0</v>
      </c>
      <c r="CL118" s="413">
        <v>0</v>
      </c>
      <c r="CM118" s="413">
        <v>0</v>
      </c>
      <c r="CN118" s="413">
        <v>0</v>
      </c>
      <c r="CO118" s="414">
        <f t="shared" si="4"/>
        <v>0</v>
      </c>
    </row>
    <row r="119" spans="1:93" s="415" customFormat="1" ht="25.5" x14ac:dyDescent="0.25">
      <c r="A119" s="881" t="s">
        <v>2395</v>
      </c>
      <c r="B119" s="862" t="s">
        <v>2337</v>
      </c>
      <c r="C119" s="861" t="s">
        <v>2511</v>
      </c>
      <c r="D119" s="862"/>
      <c r="E119" s="861" t="s">
        <v>655</v>
      </c>
      <c r="F119" s="862"/>
      <c r="G119" s="861"/>
      <c r="H119" s="861" t="s">
        <v>654</v>
      </c>
      <c r="I119" s="861" t="s">
        <v>647</v>
      </c>
      <c r="J119" s="861" t="s">
        <v>641</v>
      </c>
      <c r="K119" s="861" t="s">
        <v>649</v>
      </c>
      <c r="L119" s="861" t="s">
        <v>41</v>
      </c>
      <c r="M119" s="861" t="s">
        <v>653</v>
      </c>
      <c r="N119" s="861" t="s">
        <v>645</v>
      </c>
      <c r="O119" s="861"/>
      <c r="P119" s="861"/>
      <c r="Q119" s="861" t="s">
        <v>642</v>
      </c>
      <c r="R119" s="861" t="s">
        <v>652</v>
      </c>
      <c r="S119" s="861" t="s">
        <v>649</v>
      </c>
      <c r="T119" s="861"/>
      <c r="U119" s="861"/>
      <c r="V119" s="861" t="s">
        <v>641</v>
      </c>
      <c r="W119" s="861"/>
      <c r="X119" s="863">
        <v>43101</v>
      </c>
      <c r="Y119" s="863">
        <v>44651</v>
      </c>
      <c r="Z119" s="864">
        <v>2022</v>
      </c>
      <c r="AA119" s="861"/>
      <c r="AB119" s="861"/>
      <c r="AC119" s="861"/>
      <c r="AD119" s="865"/>
      <c r="AE119" s="865"/>
      <c r="AF119" s="865"/>
      <c r="AG119" s="865"/>
      <c r="AH119" s="865"/>
      <c r="AI119" s="866">
        <v>0</v>
      </c>
      <c r="AJ119" s="865"/>
      <c r="AK119" s="865"/>
      <c r="AL119" s="865"/>
      <c r="AM119" s="865"/>
      <c r="AN119" s="865"/>
      <c r="AO119" s="866">
        <v>0</v>
      </c>
      <c r="AP119" s="866">
        <v>0</v>
      </c>
      <c r="AQ119" s="866">
        <v>27344228.40151</v>
      </c>
      <c r="AR119" s="865"/>
      <c r="AS119" s="866">
        <v>0</v>
      </c>
      <c r="AT119" s="865"/>
      <c r="AU119" s="865"/>
      <c r="AV119" s="865"/>
      <c r="AW119" s="865"/>
      <c r="AX119" s="865"/>
      <c r="AY119" s="865"/>
      <c r="AZ119" s="865"/>
      <c r="BA119" s="865"/>
      <c r="BB119" s="865"/>
      <c r="BC119" s="865"/>
      <c r="BD119" s="865"/>
      <c r="BE119" s="865">
        <v>2509105.5857038535</v>
      </c>
      <c r="BF119" s="865">
        <v>58011.450439838169</v>
      </c>
      <c r="BG119" s="865">
        <v>0</v>
      </c>
      <c r="BH119" s="865">
        <v>3762960.4261332601</v>
      </c>
      <c r="BI119" s="865"/>
      <c r="BJ119" s="865"/>
      <c r="BK119" s="865"/>
      <c r="BL119" s="865"/>
      <c r="BM119" s="865"/>
      <c r="BN119" s="865"/>
      <c r="BO119" s="865"/>
      <c r="BP119" s="865"/>
      <c r="BQ119" s="865"/>
      <c r="BR119" s="865"/>
      <c r="BS119" s="865">
        <v>33674305.863786966</v>
      </c>
      <c r="BT119" s="412">
        <f t="shared" si="5"/>
        <v>27344228.40151</v>
      </c>
      <c r="BU119" s="413">
        <v>0</v>
      </c>
      <c r="BV119" s="413">
        <v>0</v>
      </c>
      <c r="BW119" s="413">
        <v>0</v>
      </c>
      <c r="BX119" s="413">
        <v>0</v>
      </c>
      <c r="BY119" s="413">
        <v>0</v>
      </c>
      <c r="BZ119" s="413">
        <v>0</v>
      </c>
      <c r="CA119" s="413">
        <v>0</v>
      </c>
      <c r="CB119" s="413">
        <v>0</v>
      </c>
      <c r="CC119" s="413">
        <v>0</v>
      </c>
      <c r="CD119" s="413">
        <v>0</v>
      </c>
      <c r="CE119" s="413">
        <v>0</v>
      </c>
      <c r="CF119" s="413">
        <v>0</v>
      </c>
      <c r="CG119" s="413">
        <v>0</v>
      </c>
      <c r="CH119" s="413">
        <v>0</v>
      </c>
      <c r="CI119" s="413">
        <v>0</v>
      </c>
      <c r="CJ119" s="413">
        <v>0</v>
      </c>
      <c r="CK119" s="413">
        <v>0</v>
      </c>
      <c r="CL119" s="413">
        <v>0</v>
      </c>
      <c r="CM119" s="413">
        <v>0</v>
      </c>
      <c r="CN119" s="413">
        <v>1</v>
      </c>
      <c r="CO119" s="414">
        <f t="shared" si="4"/>
        <v>1</v>
      </c>
    </row>
    <row r="120" spans="1:93" s="415" customFormat="1" ht="25.5" x14ac:dyDescent="0.25">
      <c r="A120" s="881" t="s">
        <v>2512</v>
      </c>
      <c r="B120" s="862" t="e">
        <v>#N/A</v>
      </c>
      <c r="C120" s="861" t="s">
        <v>665</v>
      </c>
      <c r="D120" s="862"/>
      <c r="E120" s="861" t="s">
        <v>664</v>
      </c>
      <c r="F120" s="862"/>
      <c r="G120" s="861"/>
      <c r="H120" s="861" t="s">
        <v>654</v>
      </c>
      <c r="I120" s="861" t="s">
        <v>647</v>
      </c>
      <c r="J120" s="861" t="s">
        <v>641</v>
      </c>
      <c r="K120" s="861" t="s">
        <v>649</v>
      </c>
      <c r="L120" s="861" t="s">
        <v>41</v>
      </c>
      <c r="M120" s="861" t="s">
        <v>653</v>
      </c>
      <c r="N120" s="861" t="s">
        <v>645</v>
      </c>
      <c r="O120" s="861"/>
      <c r="P120" s="861"/>
      <c r="Q120" s="861" t="s">
        <v>642</v>
      </c>
      <c r="R120" s="861" t="s">
        <v>652</v>
      </c>
      <c r="S120" s="861" t="s">
        <v>663</v>
      </c>
      <c r="T120" s="861"/>
      <c r="U120" s="861"/>
      <c r="V120" s="861"/>
      <c r="W120" s="861"/>
      <c r="X120" s="863">
        <v>43101</v>
      </c>
      <c r="Y120" s="863">
        <v>44285</v>
      </c>
      <c r="Z120" s="864">
        <v>2021</v>
      </c>
      <c r="AA120" s="861"/>
      <c r="AB120" s="861"/>
      <c r="AC120" s="861"/>
      <c r="AD120" s="865"/>
      <c r="AE120" s="865"/>
      <c r="AF120" s="865"/>
      <c r="AG120" s="865"/>
      <c r="AH120" s="865"/>
      <c r="AI120" s="865"/>
      <c r="AJ120" s="865"/>
      <c r="AK120" s="865"/>
      <c r="AL120" s="865"/>
      <c r="AM120" s="865"/>
      <c r="AN120" s="865"/>
      <c r="AO120" s="865">
        <v>1277963.4978549986</v>
      </c>
      <c r="AP120" s="865">
        <v>10984.319999999992</v>
      </c>
      <c r="AQ120" s="865"/>
      <c r="AR120" s="865"/>
      <c r="AS120" s="865"/>
      <c r="AT120" s="865"/>
      <c r="AU120" s="865"/>
      <c r="AV120" s="865"/>
      <c r="AW120" s="865"/>
      <c r="AX120" s="865"/>
      <c r="AY120" s="865"/>
      <c r="AZ120" s="865"/>
      <c r="BA120" s="865"/>
      <c r="BB120" s="865"/>
      <c r="BC120" s="865"/>
      <c r="BD120" s="865"/>
      <c r="BE120" s="865"/>
      <c r="BF120" s="865"/>
      <c r="BG120" s="865">
        <v>0</v>
      </c>
      <c r="BH120" s="865">
        <v>230124.62647866714</v>
      </c>
      <c r="BI120" s="865"/>
      <c r="BJ120" s="865"/>
      <c r="BK120" s="865"/>
      <c r="BL120" s="865"/>
      <c r="BM120" s="865"/>
      <c r="BN120" s="865"/>
      <c r="BO120" s="865"/>
      <c r="BP120" s="865"/>
      <c r="BQ120" s="865"/>
      <c r="BR120" s="865"/>
      <c r="BS120" s="865">
        <v>1519072.4443336655</v>
      </c>
      <c r="BT120" s="412">
        <f t="shared" si="5"/>
        <v>1288947.8178549986</v>
      </c>
      <c r="BU120" s="413">
        <v>0</v>
      </c>
      <c r="BV120" s="413">
        <v>0</v>
      </c>
      <c r="BW120" s="413">
        <v>0</v>
      </c>
      <c r="BX120" s="413">
        <v>0</v>
      </c>
      <c r="BY120" s="413">
        <v>0</v>
      </c>
      <c r="BZ120" s="413">
        <v>0</v>
      </c>
      <c r="CA120" s="413">
        <v>0</v>
      </c>
      <c r="CB120" s="413">
        <v>0</v>
      </c>
      <c r="CC120" s="413">
        <v>0</v>
      </c>
      <c r="CD120" s="413">
        <v>0</v>
      </c>
      <c r="CE120" s="413">
        <v>0</v>
      </c>
      <c r="CF120" s="413">
        <v>0</v>
      </c>
      <c r="CG120" s="413">
        <v>0</v>
      </c>
      <c r="CH120" s="413">
        <v>0</v>
      </c>
      <c r="CI120" s="413">
        <v>0</v>
      </c>
      <c r="CJ120" s="413">
        <v>0.99147807238753882</v>
      </c>
      <c r="CK120" s="413">
        <v>0</v>
      </c>
      <c r="CL120" s="413">
        <v>0</v>
      </c>
      <c r="CM120" s="413">
        <v>8.5219276124610995E-3</v>
      </c>
      <c r="CN120" s="413">
        <v>0</v>
      </c>
      <c r="CO120" s="414">
        <f t="shared" si="4"/>
        <v>0.99999999999999989</v>
      </c>
    </row>
    <row r="121" spans="1:93" s="415" customFormat="1" ht="25.5" x14ac:dyDescent="0.25">
      <c r="A121" s="881" t="s">
        <v>2513</v>
      </c>
      <c r="B121" s="862" t="e">
        <v>#N/A</v>
      </c>
      <c r="C121" s="861" t="s">
        <v>662</v>
      </c>
      <c r="D121" s="862"/>
      <c r="E121" s="861" t="s">
        <v>655</v>
      </c>
      <c r="F121" s="862"/>
      <c r="G121" s="861"/>
      <c r="H121" s="861" t="s">
        <v>654</v>
      </c>
      <c r="I121" s="861" t="s">
        <v>647</v>
      </c>
      <c r="J121" s="861" t="s">
        <v>641</v>
      </c>
      <c r="K121" s="861" t="s">
        <v>649</v>
      </c>
      <c r="L121" s="861" t="s">
        <v>41</v>
      </c>
      <c r="M121" s="861" t="s">
        <v>653</v>
      </c>
      <c r="N121" s="861" t="s">
        <v>645</v>
      </c>
      <c r="O121" s="861"/>
      <c r="P121" s="861"/>
      <c r="Q121" s="861" t="s">
        <v>656</v>
      </c>
      <c r="R121" s="861" t="s">
        <v>652</v>
      </c>
      <c r="S121" s="861" t="s">
        <v>649</v>
      </c>
      <c r="T121" s="861"/>
      <c r="U121" s="861"/>
      <c r="V121" s="861" t="s">
        <v>641</v>
      </c>
      <c r="W121" s="861"/>
      <c r="X121" s="863">
        <v>43101</v>
      </c>
      <c r="Y121" s="863">
        <v>44285</v>
      </c>
      <c r="Z121" s="864">
        <v>2021</v>
      </c>
      <c r="AA121" s="861"/>
      <c r="AB121" s="861"/>
      <c r="AC121" s="861"/>
      <c r="AD121" s="865"/>
      <c r="AE121" s="865"/>
      <c r="AF121" s="865"/>
      <c r="AG121" s="865"/>
      <c r="AH121" s="865"/>
      <c r="AI121" s="865"/>
      <c r="AJ121" s="865"/>
      <c r="AK121" s="865"/>
      <c r="AL121" s="865"/>
      <c r="AM121" s="865"/>
      <c r="AN121" s="865"/>
      <c r="AO121" s="865">
        <v>3288995.9337699967</v>
      </c>
      <c r="AP121" s="865">
        <v>18942.59999999998</v>
      </c>
      <c r="AQ121" s="865"/>
      <c r="AR121" s="865"/>
      <c r="AS121" s="865"/>
      <c r="AT121" s="865"/>
      <c r="AU121" s="865"/>
      <c r="AV121" s="865"/>
      <c r="AW121" s="865"/>
      <c r="AX121" s="865"/>
      <c r="AY121" s="865"/>
      <c r="AZ121" s="865"/>
      <c r="BA121" s="865"/>
      <c r="BB121" s="865"/>
      <c r="BC121" s="865"/>
      <c r="BD121" s="865"/>
      <c r="BE121" s="865"/>
      <c r="BF121" s="865"/>
      <c r="BG121" s="865">
        <v>0</v>
      </c>
      <c r="BH121" s="865">
        <v>590588.78020758356</v>
      </c>
      <c r="BI121" s="865"/>
      <c r="BJ121" s="865"/>
      <c r="BK121" s="865"/>
      <c r="BL121" s="865"/>
      <c r="BM121" s="865"/>
      <c r="BN121" s="865"/>
      <c r="BO121" s="865"/>
      <c r="BP121" s="865"/>
      <c r="BQ121" s="865"/>
      <c r="BR121" s="865"/>
      <c r="BS121" s="865">
        <v>3898527.3139775801</v>
      </c>
      <c r="BT121" s="412">
        <f t="shared" si="5"/>
        <v>3307938.5337699968</v>
      </c>
      <c r="BU121" s="413">
        <v>0</v>
      </c>
      <c r="BV121" s="413">
        <v>0</v>
      </c>
      <c r="BW121" s="413">
        <v>0</v>
      </c>
      <c r="BX121" s="413">
        <v>0</v>
      </c>
      <c r="BY121" s="413">
        <v>0</v>
      </c>
      <c r="BZ121" s="413">
        <v>0</v>
      </c>
      <c r="CA121" s="413">
        <v>0</v>
      </c>
      <c r="CB121" s="413">
        <v>0</v>
      </c>
      <c r="CC121" s="413">
        <v>0</v>
      </c>
      <c r="CD121" s="413">
        <v>0</v>
      </c>
      <c r="CE121" s="413">
        <v>0</v>
      </c>
      <c r="CF121" s="413">
        <v>0</v>
      </c>
      <c r="CG121" s="413">
        <v>0</v>
      </c>
      <c r="CH121" s="413">
        <v>0</v>
      </c>
      <c r="CI121" s="413">
        <v>0</v>
      </c>
      <c r="CJ121" s="413">
        <v>0.99427359371807567</v>
      </c>
      <c r="CK121" s="413">
        <v>0</v>
      </c>
      <c r="CL121" s="413">
        <v>0</v>
      </c>
      <c r="CM121" s="413">
        <v>5.7264062819243041E-3</v>
      </c>
      <c r="CN121" s="413">
        <v>0</v>
      </c>
      <c r="CO121" s="414">
        <f t="shared" si="4"/>
        <v>1</v>
      </c>
    </row>
    <row r="122" spans="1:93" s="415" customFormat="1" ht="25.5" x14ac:dyDescent="0.25">
      <c r="A122" s="881" t="s">
        <v>2514</v>
      </c>
      <c r="B122" s="862" t="e">
        <v>#N/A</v>
      </c>
      <c r="C122" s="861" t="s">
        <v>661</v>
      </c>
      <c r="D122" s="862"/>
      <c r="E122" s="861" t="s">
        <v>655</v>
      </c>
      <c r="F122" s="862"/>
      <c r="G122" s="861"/>
      <c r="H122" s="861" t="s">
        <v>654</v>
      </c>
      <c r="I122" s="861" t="s">
        <v>647</v>
      </c>
      <c r="J122" s="861" t="s">
        <v>641</v>
      </c>
      <c r="K122" s="861" t="s">
        <v>649</v>
      </c>
      <c r="L122" s="861" t="s">
        <v>41</v>
      </c>
      <c r="M122" s="861" t="s">
        <v>653</v>
      </c>
      <c r="N122" s="861" t="s">
        <v>645</v>
      </c>
      <c r="O122" s="861"/>
      <c r="P122" s="861"/>
      <c r="Q122" s="861" t="s">
        <v>656</v>
      </c>
      <c r="R122" s="861" t="s">
        <v>652</v>
      </c>
      <c r="S122" s="861" t="s">
        <v>649</v>
      </c>
      <c r="T122" s="861"/>
      <c r="U122" s="861"/>
      <c r="V122" s="861" t="s">
        <v>641</v>
      </c>
      <c r="W122" s="861"/>
      <c r="X122" s="863">
        <v>43101</v>
      </c>
      <c r="Y122" s="863">
        <v>43920</v>
      </c>
      <c r="Z122" s="864">
        <v>2020</v>
      </c>
      <c r="AA122" s="861"/>
      <c r="AB122" s="861"/>
      <c r="AC122" s="861"/>
      <c r="AD122" s="865"/>
      <c r="AE122" s="865"/>
      <c r="AF122" s="865"/>
      <c r="AG122" s="865"/>
      <c r="AH122" s="865"/>
      <c r="AI122" s="865"/>
      <c r="AJ122" s="865"/>
      <c r="AK122" s="865"/>
      <c r="AL122" s="865"/>
      <c r="AM122" s="865"/>
      <c r="AN122" s="865"/>
      <c r="AO122" s="865">
        <v>1320154.7933549995</v>
      </c>
      <c r="AP122" s="865">
        <v>12154.319999999994</v>
      </c>
      <c r="AQ122" s="865"/>
      <c r="AR122" s="865"/>
      <c r="AS122" s="865"/>
      <c r="AT122" s="865"/>
      <c r="AU122" s="865"/>
      <c r="AV122" s="865"/>
      <c r="AW122" s="865"/>
      <c r="AX122" s="865"/>
      <c r="AY122" s="865"/>
      <c r="AZ122" s="865"/>
      <c r="BA122" s="865"/>
      <c r="BB122" s="865"/>
      <c r="BC122" s="865"/>
      <c r="BD122" s="865"/>
      <c r="BE122" s="865"/>
      <c r="BF122" s="865"/>
      <c r="BG122" s="865">
        <v>0</v>
      </c>
      <c r="BH122" s="865">
        <v>237866.21368052487</v>
      </c>
      <c r="BI122" s="865"/>
      <c r="BJ122" s="865"/>
      <c r="BK122" s="865"/>
      <c r="BL122" s="865"/>
      <c r="BM122" s="865"/>
      <c r="BN122" s="865"/>
      <c r="BO122" s="865"/>
      <c r="BP122" s="865"/>
      <c r="BQ122" s="865"/>
      <c r="BR122" s="865"/>
      <c r="BS122" s="865">
        <v>1570175.3270355244</v>
      </c>
      <c r="BT122" s="412">
        <f t="shared" si="5"/>
        <v>1332309.1133549996</v>
      </c>
      <c r="BU122" s="413">
        <v>0</v>
      </c>
      <c r="BV122" s="413">
        <v>0</v>
      </c>
      <c r="BW122" s="413">
        <v>0</v>
      </c>
      <c r="BX122" s="413">
        <v>0</v>
      </c>
      <c r="BY122" s="413">
        <v>0</v>
      </c>
      <c r="BZ122" s="413">
        <v>0</v>
      </c>
      <c r="CA122" s="413">
        <v>0</v>
      </c>
      <c r="CB122" s="413">
        <v>0</v>
      </c>
      <c r="CC122" s="413">
        <v>0</v>
      </c>
      <c r="CD122" s="413">
        <v>0</v>
      </c>
      <c r="CE122" s="413">
        <v>0</v>
      </c>
      <c r="CF122" s="413">
        <v>0</v>
      </c>
      <c r="CG122" s="413">
        <v>0</v>
      </c>
      <c r="CH122" s="413">
        <v>0</v>
      </c>
      <c r="CI122" s="413">
        <v>0</v>
      </c>
      <c r="CJ122" s="413">
        <v>0.99087725222460332</v>
      </c>
      <c r="CK122" s="413">
        <v>0</v>
      </c>
      <c r="CL122" s="413">
        <v>0</v>
      </c>
      <c r="CM122" s="413">
        <v>9.1227477753966415E-3</v>
      </c>
      <c r="CN122" s="413">
        <v>0</v>
      </c>
      <c r="CO122" s="414">
        <f t="shared" si="4"/>
        <v>1</v>
      </c>
    </row>
    <row r="123" spans="1:93" s="415" customFormat="1" ht="25.5" x14ac:dyDescent="0.25">
      <c r="A123" s="881" t="s">
        <v>2515</v>
      </c>
      <c r="B123" s="862" t="e">
        <v>#N/A</v>
      </c>
      <c r="C123" s="861" t="s">
        <v>660</v>
      </c>
      <c r="D123" s="862"/>
      <c r="E123" s="861" t="s">
        <v>655</v>
      </c>
      <c r="F123" s="862"/>
      <c r="G123" s="861"/>
      <c r="H123" s="861" t="s">
        <v>654</v>
      </c>
      <c r="I123" s="861" t="s">
        <v>647</v>
      </c>
      <c r="J123" s="861" t="s">
        <v>641</v>
      </c>
      <c r="K123" s="861" t="s">
        <v>649</v>
      </c>
      <c r="L123" s="861" t="s">
        <v>41</v>
      </c>
      <c r="M123" s="861" t="s">
        <v>653</v>
      </c>
      <c r="N123" s="861" t="s">
        <v>645</v>
      </c>
      <c r="O123" s="861"/>
      <c r="P123" s="861"/>
      <c r="Q123" s="861" t="s">
        <v>656</v>
      </c>
      <c r="R123" s="861" t="s">
        <v>652</v>
      </c>
      <c r="S123" s="861" t="s">
        <v>649</v>
      </c>
      <c r="T123" s="861"/>
      <c r="U123" s="861"/>
      <c r="V123" s="861" t="s">
        <v>641</v>
      </c>
      <c r="W123" s="861"/>
      <c r="X123" s="863">
        <v>43101</v>
      </c>
      <c r="Y123" s="863">
        <v>44285</v>
      </c>
      <c r="Z123" s="864">
        <v>2021</v>
      </c>
      <c r="AA123" s="861"/>
      <c r="AB123" s="861"/>
      <c r="AC123" s="861"/>
      <c r="AD123" s="865"/>
      <c r="AE123" s="865"/>
      <c r="AF123" s="865"/>
      <c r="AG123" s="865"/>
      <c r="AH123" s="865"/>
      <c r="AI123" s="865"/>
      <c r="AJ123" s="865"/>
      <c r="AK123" s="865"/>
      <c r="AL123" s="865"/>
      <c r="AM123" s="865"/>
      <c r="AN123" s="865"/>
      <c r="AO123" s="865">
        <v>3294297.0137299974</v>
      </c>
      <c r="AP123" s="865">
        <v>21982.319999999982</v>
      </c>
      <c r="AQ123" s="865"/>
      <c r="AR123" s="865"/>
      <c r="AS123" s="865"/>
      <c r="AT123" s="865"/>
      <c r="AU123" s="865"/>
      <c r="AV123" s="865"/>
      <c r="AW123" s="865"/>
      <c r="AX123" s="865"/>
      <c r="AY123" s="865"/>
      <c r="AZ123" s="865"/>
      <c r="BA123" s="865"/>
      <c r="BB123" s="865"/>
      <c r="BC123" s="865"/>
      <c r="BD123" s="865"/>
      <c r="BE123" s="865"/>
      <c r="BF123" s="865"/>
      <c r="BG123" s="865">
        <v>0</v>
      </c>
      <c r="BH123" s="865">
        <v>592077.91999178566</v>
      </c>
      <c r="BI123" s="865"/>
      <c r="BJ123" s="865"/>
      <c r="BK123" s="865"/>
      <c r="BL123" s="865"/>
      <c r="BM123" s="865"/>
      <c r="BN123" s="865"/>
      <c r="BO123" s="865"/>
      <c r="BP123" s="865"/>
      <c r="BQ123" s="865"/>
      <c r="BR123" s="865"/>
      <c r="BS123" s="865">
        <v>3908357.2537217825</v>
      </c>
      <c r="BT123" s="412">
        <f t="shared" si="5"/>
        <v>3316279.3337299973</v>
      </c>
      <c r="BU123" s="413">
        <v>0</v>
      </c>
      <c r="BV123" s="413">
        <v>0</v>
      </c>
      <c r="BW123" s="413">
        <v>0</v>
      </c>
      <c r="BX123" s="413">
        <v>0</v>
      </c>
      <c r="BY123" s="413">
        <v>0</v>
      </c>
      <c r="BZ123" s="413">
        <v>0</v>
      </c>
      <c r="CA123" s="413">
        <v>0</v>
      </c>
      <c r="CB123" s="413">
        <v>0</v>
      </c>
      <c r="CC123" s="413">
        <v>0</v>
      </c>
      <c r="CD123" s="413">
        <v>0</v>
      </c>
      <c r="CE123" s="413">
        <v>0</v>
      </c>
      <c r="CF123" s="413">
        <v>0</v>
      </c>
      <c r="CG123" s="413">
        <v>0</v>
      </c>
      <c r="CH123" s="413">
        <v>0</v>
      </c>
      <c r="CI123" s="413">
        <v>0</v>
      </c>
      <c r="CJ123" s="413">
        <v>0.99337139070993907</v>
      </c>
      <c r="CK123" s="413">
        <v>0</v>
      </c>
      <c r="CL123" s="413">
        <v>0</v>
      </c>
      <c r="CM123" s="413">
        <v>6.6286092900610053E-3</v>
      </c>
      <c r="CN123" s="413">
        <v>0</v>
      </c>
      <c r="CO123" s="414">
        <f t="shared" si="4"/>
        <v>1</v>
      </c>
    </row>
    <row r="124" spans="1:93" s="415" customFormat="1" ht="25.5" x14ac:dyDescent="0.25">
      <c r="A124" s="881" t="s">
        <v>2516</v>
      </c>
      <c r="B124" s="862" t="e">
        <v>#N/A</v>
      </c>
      <c r="C124" s="861" t="s">
        <v>659</v>
      </c>
      <c r="D124" s="862"/>
      <c r="E124" s="861" t="s">
        <v>655</v>
      </c>
      <c r="F124" s="862"/>
      <c r="G124" s="861"/>
      <c r="H124" s="861" t="s">
        <v>654</v>
      </c>
      <c r="I124" s="861" t="s">
        <v>647</v>
      </c>
      <c r="J124" s="861" t="s">
        <v>641</v>
      </c>
      <c r="K124" s="861" t="s">
        <v>649</v>
      </c>
      <c r="L124" s="861" t="s">
        <v>41</v>
      </c>
      <c r="M124" s="861" t="s">
        <v>653</v>
      </c>
      <c r="N124" s="861" t="s">
        <v>645</v>
      </c>
      <c r="O124" s="861"/>
      <c r="P124" s="861"/>
      <c r="Q124" s="861" t="s">
        <v>656</v>
      </c>
      <c r="R124" s="861" t="s">
        <v>652</v>
      </c>
      <c r="S124" s="861" t="s">
        <v>649</v>
      </c>
      <c r="T124" s="861"/>
      <c r="U124" s="861"/>
      <c r="V124" s="861" t="s">
        <v>641</v>
      </c>
      <c r="W124" s="861"/>
      <c r="X124" s="863">
        <v>43101</v>
      </c>
      <c r="Y124" s="863">
        <v>44285</v>
      </c>
      <c r="Z124" s="864">
        <v>2021</v>
      </c>
      <c r="AA124" s="861"/>
      <c r="AB124" s="861"/>
      <c r="AC124" s="861"/>
      <c r="AD124" s="865"/>
      <c r="AE124" s="865"/>
      <c r="AF124" s="865"/>
      <c r="AG124" s="865"/>
      <c r="AH124" s="865"/>
      <c r="AI124" s="865"/>
      <c r="AJ124" s="865"/>
      <c r="AK124" s="865"/>
      <c r="AL124" s="865"/>
      <c r="AM124" s="865"/>
      <c r="AN124" s="865"/>
      <c r="AO124" s="865">
        <v>1301220.0933549984</v>
      </c>
      <c r="AP124" s="865">
        <v>11530.319999999992</v>
      </c>
      <c r="AQ124" s="865"/>
      <c r="AR124" s="865"/>
      <c r="AS124" s="865"/>
      <c r="AT124" s="865"/>
      <c r="AU124" s="865"/>
      <c r="AV124" s="865"/>
      <c r="AW124" s="865"/>
      <c r="AX124" s="865"/>
      <c r="AY124" s="865"/>
      <c r="AZ124" s="865"/>
      <c r="BA124" s="865"/>
      <c r="BB124" s="865"/>
      <c r="BC124" s="865"/>
      <c r="BD124" s="865"/>
      <c r="BE124" s="865"/>
      <c r="BF124" s="865"/>
      <c r="BG124" s="865">
        <v>0</v>
      </c>
      <c r="BH124" s="865">
        <v>234374.26585334388</v>
      </c>
      <c r="BI124" s="865"/>
      <c r="BJ124" s="865"/>
      <c r="BK124" s="865"/>
      <c r="BL124" s="865"/>
      <c r="BM124" s="865"/>
      <c r="BN124" s="865"/>
      <c r="BO124" s="865"/>
      <c r="BP124" s="865"/>
      <c r="BQ124" s="865"/>
      <c r="BR124" s="865"/>
      <c r="BS124" s="865">
        <v>1547124.6792083422</v>
      </c>
      <c r="BT124" s="412">
        <f t="shared" si="5"/>
        <v>1312750.4133549985</v>
      </c>
      <c r="BU124" s="413">
        <v>0</v>
      </c>
      <c r="BV124" s="413">
        <v>0</v>
      </c>
      <c r="BW124" s="413">
        <v>0</v>
      </c>
      <c r="BX124" s="413">
        <v>0</v>
      </c>
      <c r="BY124" s="413">
        <v>0</v>
      </c>
      <c r="BZ124" s="413">
        <v>0</v>
      </c>
      <c r="CA124" s="413">
        <v>0</v>
      </c>
      <c r="CB124" s="413">
        <v>0</v>
      </c>
      <c r="CC124" s="413">
        <v>0</v>
      </c>
      <c r="CD124" s="413">
        <v>0</v>
      </c>
      <c r="CE124" s="413">
        <v>0</v>
      </c>
      <c r="CF124" s="413">
        <v>0</v>
      </c>
      <c r="CG124" s="413">
        <v>0</v>
      </c>
      <c r="CH124" s="413">
        <v>0</v>
      </c>
      <c r="CI124" s="413">
        <v>0</v>
      </c>
      <c r="CJ124" s="413">
        <v>0.99121667006713632</v>
      </c>
      <c r="CK124" s="413">
        <v>0</v>
      </c>
      <c r="CL124" s="413">
        <v>0</v>
      </c>
      <c r="CM124" s="413">
        <v>8.7833299328635775E-3</v>
      </c>
      <c r="CN124" s="413">
        <v>0</v>
      </c>
      <c r="CO124" s="414">
        <f t="shared" si="4"/>
        <v>0.99999999999999989</v>
      </c>
    </row>
    <row r="125" spans="1:93" s="415" customFormat="1" ht="25.5" x14ac:dyDescent="0.25">
      <c r="A125" s="881" t="s">
        <v>2517</v>
      </c>
      <c r="B125" s="862" t="e">
        <v>#N/A</v>
      </c>
      <c r="C125" s="861" t="s">
        <v>658</v>
      </c>
      <c r="D125" s="862"/>
      <c r="E125" s="861" t="s">
        <v>655</v>
      </c>
      <c r="F125" s="862"/>
      <c r="G125" s="861"/>
      <c r="H125" s="861" t="s">
        <v>654</v>
      </c>
      <c r="I125" s="861" t="s">
        <v>647</v>
      </c>
      <c r="J125" s="861" t="s">
        <v>641</v>
      </c>
      <c r="K125" s="861" t="s">
        <v>649</v>
      </c>
      <c r="L125" s="861" t="s">
        <v>41</v>
      </c>
      <c r="M125" s="861" t="s">
        <v>653</v>
      </c>
      <c r="N125" s="861" t="s">
        <v>645</v>
      </c>
      <c r="O125" s="861"/>
      <c r="P125" s="861"/>
      <c r="Q125" s="861" t="s">
        <v>656</v>
      </c>
      <c r="R125" s="861" t="s">
        <v>652</v>
      </c>
      <c r="S125" s="861" t="s">
        <v>649</v>
      </c>
      <c r="T125" s="861"/>
      <c r="U125" s="861"/>
      <c r="V125" s="861" t="s">
        <v>641</v>
      </c>
      <c r="W125" s="861"/>
      <c r="X125" s="863">
        <v>44197</v>
      </c>
      <c r="Y125" s="863">
        <v>45015</v>
      </c>
      <c r="Z125" s="864">
        <v>2023</v>
      </c>
      <c r="AA125" s="861"/>
      <c r="AB125" s="861"/>
      <c r="AC125" s="861"/>
      <c r="AD125" s="865"/>
      <c r="AE125" s="865"/>
      <c r="AF125" s="865"/>
      <c r="AG125" s="865"/>
      <c r="AH125" s="865"/>
      <c r="AI125" s="865"/>
      <c r="AJ125" s="865"/>
      <c r="AK125" s="865"/>
      <c r="AL125" s="865"/>
      <c r="AM125" s="865"/>
      <c r="AN125" s="865"/>
      <c r="AO125" s="865">
        <v>1329863.2433550027</v>
      </c>
      <c r="AP125" s="865">
        <v>11452.320000000025</v>
      </c>
      <c r="AQ125" s="865"/>
      <c r="AR125" s="865"/>
      <c r="AS125" s="865"/>
      <c r="AT125" s="865"/>
      <c r="AU125" s="865"/>
      <c r="AV125" s="865"/>
      <c r="AW125" s="865"/>
      <c r="AX125" s="865"/>
      <c r="AY125" s="865"/>
      <c r="AZ125" s="865"/>
      <c r="BA125" s="865"/>
      <c r="BB125" s="865"/>
      <c r="BC125" s="865"/>
      <c r="BD125" s="865"/>
      <c r="BE125" s="865"/>
      <c r="BF125" s="865"/>
      <c r="BG125" s="865">
        <v>0</v>
      </c>
      <c r="BH125" s="865">
        <v>239474.19649677162</v>
      </c>
      <c r="BI125" s="865"/>
      <c r="BJ125" s="865"/>
      <c r="BK125" s="865"/>
      <c r="BL125" s="865"/>
      <c r="BM125" s="865"/>
      <c r="BN125" s="865"/>
      <c r="BO125" s="865"/>
      <c r="BP125" s="865"/>
      <c r="BQ125" s="865"/>
      <c r="BR125" s="865"/>
      <c r="BS125" s="865">
        <v>1580789.7598517744</v>
      </c>
      <c r="BT125" s="412">
        <f t="shared" si="5"/>
        <v>1341315.5633550028</v>
      </c>
      <c r="BU125" s="413">
        <v>0</v>
      </c>
      <c r="BV125" s="413">
        <v>0</v>
      </c>
      <c r="BW125" s="413">
        <v>0</v>
      </c>
      <c r="BX125" s="413">
        <v>0</v>
      </c>
      <c r="BY125" s="413">
        <v>0</v>
      </c>
      <c r="BZ125" s="413">
        <v>0</v>
      </c>
      <c r="CA125" s="413">
        <v>0</v>
      </c>
      <c r="CB125" s="413">
        <v>0</v>
      </c>
      <c r="CC125" s="413">
        <v>0</v>
      </c>
      <c r="CD125" s="413">
        <v>0</v>
      </c>
      <c r="CE125" s="413">
        <v>0</v>
      </c>
      <c r="CF125" s="413">
        <v>0</v>
      </c>
      <c r="CG125" s="413">
        <v>0</v>
      </c>
      <c r="CH125" s="413">
        <v>0</v>
      </c>
      <c r="CI125" s="413">
        <v>0</v>
      </c>
      <c r="CJ125" s="413">
        <v>0.99146187495852611</v>
      </c>
      <c r="CK125" s="413">
        <v>0</v>
      </c>
      <c r="CL125" s="413">
        <v>0</v>
      </c>
      <c r="CM125" s="413">
        <v>8.538125041473903E-3</v>
      </c>
      <c r="CN125" s="413">
        <v>0</v>
      </c>
      <c r="CO125" s="414">
        <f t="shared" si="4"/>
        <v>1</v>
      </c>
    </row>
    <row r="126" spans="1:93" s="415" customFormat="1" ht="25.5" x14ac:dyDescent="0.25">
      <c r="A126" s="881" t="s">
        <v>2518</v>
      </c>
      <c r="B126" s="862" t="e">
        <v>#N/A</v>
      </c>
      <c r="C126" s="861" t="s">
        <v>657</v>
      </c>
      <c r="D126" s="862"/>
      <c r="E126" s="861" t="s">
        <v>655</v>
      </c>
      <c r="F126" s="862"/>
      <c r="G126" s="861"/>
      <c r="H126" s="861" t="s">
        <v>654</v>
      </c>
      <c r="I126" s="861" t="s">
        <v>647</v>
      </c>
      <c r="J126" s="861" t="s">
        <v>641</v>
      </c>
      <c r="K126" s="861" t="s">
        <v>649</v>
      </c>
      <c r="L126" s="861" t="s">
        <v>41</v>
      </c>
      <c r="M126" s="861" t="s">
        <v>653</v>
      </c>
      <c r="N126" s="861" t="s">
        <v>645</v>
      </c>
      <c r="O126" s="861"/>
      <c r="P126" s="861"/>
      <c r="Q126" s="861" t="s">
        <v>656</v>
      </c>
      <c r="R126" s="861" t="s">
        <v>652</v>
      </c>
      <c r="S126" s="861" t="s">
        <v>649</v>
      </c>
      <c r="T126" s="861"/>
      <c r="U126" s="861"/>
      <c r="V126" s="861" t="s">
        <v>641</v>
      </c>
      <c r="W126" s="861"/>
      <c r="X126" s="863">
        <v>43101</v>
      </c>
      <c r="Y126" s="863">
        <v>43920</v>
      </c>
      <c r="Z126" s="864">
        <v>2020</v>
      </c>
      <c r="AA126" s="861"/>
      <c r="AB126" s="861"/>
      <c r="AC126" s="861"/>
      <c r="AD126" s="865"/>
      <c r="AE126" s="865"/>
      <c r="AF126" s="865"/>
      <c r="AG126" s="865"/>
      <c r="AH126" s="865"/>
      <c r="AI126" s="865"/>
      <c r="AJ126" s="865"/>
      <c r="AK126" s="865"/>
      <c r="AL126" s="865"/>
      <c r="AM126" s="865"/>
      <c r="AN126" s="865"/>
      <c r="AO126" s="865">
        <v>2147001.4298849991</v>
      </c>
      <c r="AP126" s="865">
        <v>13324.319999999992</v>
      </c>
      <c r="AQ126" s="865"/>
      <c r="AR126" s="865"/>
      <c r="AS126" s="865"/>
      <c r="AT126" s="865"/>
      <c r="AU126" s="865"/>
      <c r="AV126" s="865"/>
      <c r="AW126" s="865"/>
      <c r="AX126" s="865"/>
      <c r="AY126" s="865"/>
      <c r="AZ126" s="865"/>
      <c r="BA126" s="865"/>
      <c r="BB126" s="865"/>
      <c r="BC126" s="865"/>
      <c r="BD126" s="865"/>
      <c r="BE126" s="865"/>
      <c r="BF126" s="865"/>
      <c r="BG126" s="865">
        <v>0</v>
      </c>
      <c r="BH126" s="865">
        <v>385697.65926742775</v>
      </c>
      <c r="BI126" s="865"/>
      <c r="BJ126" s="865"/>
      <c r="BK126" s="865"/>
      <c r="BL126" s="865"/>
      <c r="BM126" s="865"/>
      <c r="BN126" s="865"/>
      <c r="BO126" s="865"/>
      <c r="BP126" s="865"/>
      <c r="BQ126" s="865"/>
      <c r="BR126" s="865"/>
      <c r="BS126" s="865">
        <v>2546023.4091524268</v>
      </c>
      <c r="BT126" s="412">
        <f t="shared" si="5"/>
        <v>2160325.7498849989</v>
      </c>
      <c r="BU126" s="413">
        <v>0</v>
      </c>
      <c r="BV126" s="413">
        <v>0</v>
      </c>
      <c r="BW126" s="413">
        <v>0</v>
      </c>
      <c r="BX126" s="413">
        <v>0</v>
      </c>
      <c r="BY126" s="413">
        <v>0</v>
      </c>
      <c r="BZ126" s="413">
        <v>0</v>
      </c>
      <c r="CA126" s="413">
        <v>0</v>
      </c>
      <c r="CB126" s="413">
        <v>0</v>
      </c>
      <c r="CC126" s="413">
        <v>0</v>
      </c>
      <c r="CD126" s="413">
        <v>0</v>
      </c>
      <c r="CE126" s="413">
        <v>0</v>
      </c>
      <c r="CF126" s="413">
        <v>0</v>
      </c>
      <c r="CG126" s="413">
        <v>0</v>
      </c>
      <c r="CH126" s="413">
        <v>0</v>
      </c>
      <c r="CI126" s="413">
        <v>0</v>
      </c>
      <c r="CJ126" s="413">
        <v>0.99383226349049025</v>
      </c>
      <c r="CK126" s="413">
        <v>0</v>
      </c>
      <c r="CL126" s="413">
        <v>0</v>
      </c>
      <c r="CM126" s="413">
        <v>6.1677365095098684E-3</v>
      </c>
      <c r="CN126" s="413">
        <v>0</v>
      </c>
      <c r="CO126" s="414">
        <f t="shared" si="4"/>
        <v>1.0000000000000002</v>
      </c>
    </row>
    <row r="127" spans="1:93" s="415" customFormat="1" ht="25.5" customHeight="1" x14ac:dyDescent="0.25">
      <c r="A127" s="881" t="s">
        <v>2397</v>
      </c>
      <c r="B127" s="862" t="s">
        <v>2345</v>
      </c>
      <c r="C127" s="861" t="s">
        <v>2519</v>
      </c>
      <c r="D127" s="862"/>
      <c r="E127" s="861" t="s">
        <v>655</v>
      </c>
      <c r="F127" s="862"/>
      <c r="G127" s="861"/>
      <c r="H127" s="861" t="s">
        <v>654</v>
      </c>
      <c r="I127" s="861" t="s">
        <v>647</v>
      </c>
      <c r="J127" s="861" t="s">
        <v>641</v>
      </c>
      <c r="K127" s="861" t="s">
        <v>649</v>
      </c>
      <c r="L127" s="861" t="s">
        <v>41</v>
      </c>
      <c r="M127" s="861" t="s">
        <v>653</v>
      </c>
      <c r="N127" s="861" t="s">
        <v>645</v>
      </c>
      <c r="O127" s="861"/>
      <c r="P127" s="861"/>
      <c r="Q127" s="861" t="s">
        <v>642</v>
      </c>
      <c r="R127" s="861" t="s">
        <v>652</v>
      </c>
      <c r="S127" s="861" t="s">
        <v>649</v>
      </c>
      <c r="T127" s="861"/>
      <c r="U127" s="861"/>
      <c r="V127" s="861" t="s">
        <v>641</v>
      </c>
      <c r="W127" s="861" t="s">
        <v>677</v>
      </c>
      <c r="X127" s="863">
        <v>43101</v>
      </c>
      <c r="Y127" s="863">
        <v>45015</v>
      </c>
      <c r="Z127" s="864">
        <v>2023</v>
      </c>
      <c r="AA127" s="861"/>
      <c r="AB127" s="861"/>
      <c r="AC127" s="861"/>
      <c r="AD127" s="865"/>
      <c r="AE127" s="865"/>
      <c r="AF127" s="865"/>
      <c r="AG127" s="865"/>
      <c r="AH127" s="865"/>
      <c r="AI127" s="866">
        <v>0</v>
      </c>
      <c r="AJ127" s="865"/>
      <c r="AK127" s="865"/>
      <c r="AL127" s="865"/>
      <c r="AM127" s="865"/>
      <c r="AN127" s="865"/>
      <c r="AO127" s="866">
        <v>0</v>
      </c>
      <c r="AP127" s="866">
        <v>0</v>
      </c>
      <c r="AQ127" s="866">
        <v>29930532.46751</v>
      </c>
      <c r="AR127" s="865"/>
      <c r="AS127" s="866">
        <v>0</v>
      </c>
      <c r="AT127" s="865"/>
      <c r="AU127" s="865"/>
      <c r="AV127" s="865"/>
      <c r="AW127" s="865"/>
      <c r="AX127" s="865"/>
      <c r="AY127" s="865"/>
      <c r="AZ127" s="865"/>
      <c r="BA127" s="865"/>
      <c r="BB127" s="865"/>
      <c r="BC127" s="865"/>
      <c r="BD127" s="865"/>
      <c r="BE127" s="865">
        <v>2963735.390003853</v>
      </c>
      <c r="BF127" s="865">
        <v>68522.659896663172</v>
      </c>
      <c r="BG127" s="865">
        <v>0</v>
      </c>
      <c r="BH127" s="865">
        <v>3181509.8458240577</v>
      </c>
      <c r="BI127" s="865"/>
      <c r="BJ127" s="865"/>
      <c r="BK127" s="865"/>
      <c r="BL127" s="865"/>
      <c r="BM127" s="865"/>
      <c r="BN127" s="865"/>
      <c r="BO127" s="865"/>
      <c r="BP127" s="865"/>
      <c r="BQ127" s="865"/>
      <c r="BR127" s="865"/>
      <c r="BS127" s="865">
        <v>36144300.36323458</v>
      </c>
      <c r="BT127" s="412">
        <f t="shared" si="5"/>
        <v>29930532.46751</v>
      </c>
      <c r="BU127" s="413">
        <v>0</v>
      </c>
      <c r="BV127" s="413">
        <v>0</v>
      </c>
      <c r="BW127" s="413">
        <v>0</v>
      </c>
      <c r="BX127" s="413">
        <v>0</v>
      </c>
      <c r="BY127" s="413">
        <v>0</v>
      </c>
      <c r="BZ127" s="413">
        <v>0</v>
      </c>
      <c r="CA127" s="413">
        <v>0</v>
      </c>
      <c r="CB127" s="413">
        <v>0</v>
      </c>
      <c r="CC127" s="413">
        <v>0</v>
      </c>
      <c r="CD127" s="413">
        <v>0</v>
      </c>
      <c r="CE127" s="413">
        <v>0</v>
      </c>
      <c r="CF127" s="413">
        <v>0</v>
      </c>
      <c r="CG127" s="413">
        <v>0</v>
      </c>
      <c r="CH127" s="413">
        <v>0</v>
      </c>
      <c r="CI127" s="413">
        <v>0</v>
      </c>
      <c r="CJ127" s="413">
        <v>0</v>
      </c>
      <c r="CK127" s="413">
        <v>0</v>
      </c>
      <c r="CL127" s="413">
        <v>0</v>
      </c>
      <c r="CM127" s="413">
        <v>0</v>
      </c>
      <c r="CN127" s="413">
        <v>1</v>
      </c>
      <c r="CO127" s="414">
        <f t="shared" si="4"/>
        <v>1</v>
      </c>
    </row>
    <row r="128" spans="1:93" s="415" customFormat="1" ht="25.5" customHeight="1" x14ac:dyDescent="0.25">
      <c r="A128" s="881" t="s">
        <v>2520</v>
      </c>
      <c r="B128" s="862" t="e">
        <v>#N/A</v>
      </c>
      <c r="C128" s="861" t="s">
        <v>2521</v>
      </c>
      <c r="D128" s="862"/>
      <c r="E128" s="861" t="s">
        <v>700</v>
      </c>
      <c r="F128" s="862"/>
      <c r="G128" s="861" t="s">
        <v>648</v>
      </c>
      <c r="H128" s="861" t="s">
        <v>654</v>
      </c>
      <c r="I128" s="861" t="s">
        <v>647</v>
      </c>
      <c r="J128" s="861" t="s">
        <v>641</v>
      </c>
      <c r="K128" s="861" t="s">
        <v>649</v>
      </c>
      <c r="L128" s="861" t="s">
        <v>41</v>
      </c>
      <c r="M128" s="861" t="s">
        <v>653</v>
      </c>
      <c r="N128" s="861" t="s">
        <v>699</v>
      </c>
      <c r="O128" s="861"/>
      <c r="P128" s="861"/>
      <c r="Q128" s="861" t="s">
        <v>656</v>
      </c>
      <c r="R128" s="861" t="s">
        <v>652</v>
      </c>
      <c r="S128" s="861" t="s">
        <v>649</v>
      </c>
      <c r="T128" s="861"/>
      <c r="U128" s="861"/>
      <c r="V128" s="861" t="s">
        <v>641</v>
      </c>
      <c r="W128" s="861" t="s">
        <v>2450</v>
      </c>
      <c r="X128" s="863">
        <v>42919</v>
      </c>
      <c r="Y128" s="863">
        <v>43644</v>
      </c>
      <c r="Z128" s="864">
        <v>2019</v>
      </c>
      <c r="AA128" s="861" t="s">
        <v>663</v>
      </c>
      <c r="AB128" s="861" t="s">
        <v>697</v>
      </c>
      <c r="AC128" s="861" t="s">
        <v>663</v>
      </c>
      <c r="AD128" s="865"/>
      <c r="AE128" s="865"/>
      <c r="AF128" s="865"/>
      <c r="AG128" s="865"/>
      <c r="AH128" s="865"/>
      <c r="AI128" s="865"/>
      <c r="AJ128" s="865"/>
      <c r="AK128" s="865"/>
      <c r="AL128" s="865"/>
      <c r="AM128" s="865"/>
      <c r="AN128" s="865"/>
      <c r="AO128" s="865"/>
      <c r="AP128" s="865">
        <v>851198.72000000067</v>
      </c>
      <c r="AQ128" s="865"/>
      <c r="AR128" s="865"/>
      <c r="AS128" s="865"/>
      <c r="AT128" s="865"/>
      <c r="AU128" s="865"/>
      <c r="AV128" s="865"/>
      <c r="AW128" s="865"/>
      <c r="AX128" s="865"/>
      <c r="AY128" s="865"/>
      <c r="AZ128" s="865"/>
      <c r="BA128" s="865"/>
      <c r="BB128" s="865"/>
      <c r="BC128" s="865">
        <v>68350.308000000048</v>
      </c>
      <c r="BD128" s="865">
        <v>45566.872000000047</v>
      </c>
      <c r="BE128" s="865">
        <v>76894.096500000072</v>
      </c>
      <c r="BF128" s="865">
        <v>1777.8199903750012</v>
      </c>
      <c r="BG128" s="865">
        <v>0</v>
      </c>
      <c r="BH128" s="865">
        <v>186354.54288022459</v>
      </c>
      <c r="BI128" s="865"/>
      <c r="BJ128" s="865"/>
      <c r="BK128" s="865"/>
      <c r="BL128" s="865"/>
      <c r="BM128" s="865"/>
      <c r="BN128" s="865"/>
      <c r="BO128" s="865"/>
      <c r="BP128" s="865"/>
      <c r="BQ128" s="865"/>
      <c r="BR128" s="865"/>
      <c r="BS128" s="865">
        <v>1230142.3593706004</v>
      </c>
      <c r="BT128" s="412">
        <f t="shared" si="5"/>
        <v>851198.72000000067</v>
      </c>
      <c r="BU128" s="413">
        <v>0</v>
      </c>
      <c r="BV128" s="413">
        <v>0</v>
      </c>
      <c r="BW128" s="413">
        <v>0</v>
      </c>
      <c r="BX128" s="413">
        <v>0</v>
      </c>
      <c r="BY128" s="413">
        <v>0</v>
      </c>
      <c r="BZ128" s="413">
        <v>0</v>
      </c>
      <c r="CA128" s="413">
        <v>0</v>
      </c>
      <c r="CB128" s="413">
        <v>0</v>
      </c>
      <c r="CC128" s="413">
        <v>0</v>
      </c>
      <c r="CD128" s="413">
        <v>0</v>
      </c>
      <c r="CE128" s="413">
        <v>0</v>
      </c>
      <c r="CF128" s="413">
        <v>0</v>
      </c>
      <c r="CG128" s="413">
        <v>0</v>
      </c>
      <c r="CH128" s="413">
        <v>0</v>
      </c>
      <c r="CI128" s="413">
        <v>0</v>
      </c>
      <c r="CJ128" s="413">
        <v>0</v>
      </c>
      <c r="CK128" s="413">
        <v>0</v>
      </c>
      <c r="CL128" s="413">
        <v>0</v>
      </c>
      <c r="CM128" s="413">
        <v>1</v>
      </c>
      <c r="CN128" s="413">
        <v>0</v>
      </c>
      <c r="CO128" s="414">
        <f t="shared" si="4"/>
        <v>1</v>
      </c>
    </row>
    <row r="129" spans="1:93" s="415" customFormat="1" ht="25.5" customHeight="1" x14ac:dyDescent="0.25">
      <c r="A129" s="881" t="s">
        <v>2522</v>
      </c>
      <c r="B129" s="862" t="e">
        <v>#N/A</v>
      </c>
      <c r="C129" s="861" t="s">
        <v>2523</v>
      </c>
      <c r="D129" s="862"/>
      <c r="E129" s="861" t="s">
        <v>700</v>
      </c>
      <c r="F129" s="862"/>
      <c r="G129" s="861" t="s">
        <v>648</v>
      </c>
      <c r="H129" s="861" t="s">
        <v>654</v>
      </c>
      <c r="I129" s="861" t="s">
        <v>647</v>
      </c>
      <c r="J129" s="861" t="s">
        <v>641</v>
      </c>
      <c r="K129" s="861" t="s">
        <v>649</v>
      </c>
      <c r="L129" s="861" t="s">
        <v>41</v>
      </c>
      <c r="M129" s="861" t="s">
        <v>653</v>
      </c>
      <c r="N129" s="861" t="s">
        <v>699</v>
      </c>
      <c r="O129" s="861"/>
      <c r="P129" s="861"/>
      <c r="Q129" s="861" t="s">
        <v>650</v>
      </c>
      <c r="R129" s="861" t="s">
        <v>652</v>
      </c>
      <c r="S129" s="861" t="s">
        <v>649</v>
      </c>
      <c r="T129" s="861"/>
      <c r="U129" s="861"/>
      <c r="V129" s="861" t="s">
        <v>641</v>
      </c>
      <c r="W129" s="861" t="s">
        <v>2450</v>
      </c>
      <c r="X129" s="863">
        <v>42919</v>
      </c>
      <c r="Y129" s="863">
        <v>43748</v>
      </c>
      <c r="Z129" s="864">
        <v>2020</v>
      </c>
      <c r="AA129" s="861" t="s">
        <v>663</v>
      </c>
      <c r="AB129" s="861" t="s">
        <v>697</v>
      </c>
      <c r="AC129" s="861" t="s">
        <v>663</v>
      </c>
      <c r="AD129" s="865"/>
      <c r="AE129" s="865"/>
      <c r="AF129" s="865"/>
      <c r="AG129" s="865"/>
      <c r="AH129" s="865"/>
      <c r="AI129" s="865"/>
      <c r="AJ129" s="865"/>
      <c r="AK129" s="865"/>
      <c r="AL129" s="865"/>
      <c r="AM129" s="865"/>
      <c r="AN129" s="865"/>
      <c r="AO129" s="865"/>
      <c r="AP129" s="865">
        <v>509023.52</v>
      </c>
      <c r="AQ129" s="865"/>
      <c r="AR129" s="865"/>
      <c r="AS129" s="865"/>
      <c r="AT129" s="865"/>
      <c r="AU129" s="865"/>
      <c r="AV129" s="865"/>
      <c r="AW129" s="865"/>
      <c r="AX129" s="865"/>
      <c r="AY129" s="865"/>
      <c r="AZ129" s="865"/>
      <c r="BA129" s="865"/>
      <c r="BB129" s="865"/>
      <c r="BC129" s="865">
        <v>28895.178000000007</v>
      </c>
      <c r="BD129" s="865">
        <v>19263.452000000005</v>
      </c>
      <c r="BE129" s="865">
        <v>32507.075250000009</v>
      </c>
      <c r="BF129" s="865">
        <v>751.57561943750034</v>
      </c>
      <c r="BG129" s="865">
        <v>0</v>
      </c>
      <c r="BH129" s="865">
        <v>105415.41470930965</v>
      </c>
      <c r="BI129" s="865"/>
      <c r="BJ129" s="865"/>
      <c r="BK129" s="865"/>
      <c r="BL129" s="865"/>
      <c r="BM129" s="865"/>
      <c r="BN129" s="865"/>
      <c r="BO129" s="865"/>
      <c r="BP129" s="865"/>
      <c r="BQ129" s="865"/>
      <c r="BR129" s="865"/>
      <c r="BS129" s="865">
        <v>695856.21557874721</v>
      </c>
      <c r="BT129" s="412">
        <f t="shared" si="5"/>
        <v>509023.52</v>
      </c>
      <c r="BU129" s="413">
        <v>0</v>
      </c>
      <c r="BV129" s="413">
        <v>0</v>
      </c>
      <c r="BW129" s="413">
        <v>0</v>
      </c>
      <c r="BX129" s="413">
        <v>0</v>
      </c>
      <c r="BY129" s="413">
        <v>0</v>
      </c>
      <c r="BZ129" s="413">
        <v>0</v>
      </c>
      <c r="CA129" s="413">
        <v>0</v>
      </c>
      <c r="CB129" s="413">
        <v>0</v>
      </c>
      <c r="CC129" s="413">
        <v>0</v>
      </c>
      <c r="CD129" s="413">
        <v>0</v>
      </c>
      <c r="CE129" s="413">
        <v>0</v>
      </c>
      <c r="CF129" s="413">
        <v>0</v>
      </c>
      <c r="CG129" s="413">
        <v>0</v>
      </c>
      <c r="CH129" s="413">
        <v>0</v>
      </c>
      <c r="CI129" s="413">
        <v>0</v>
      </c>
      <c r="CJ129" s="413">
        <v>0</v>
      </c>
      <c r="CK129" s="413">
        <v>0</v>
      </c>
      <c r="CL129" s="413">
        <v>0</v>
      </c>
      <c r="CM129" s="413">
        <v>1</v>
      </c>
      <c r="CN129" s="413">
        <v>0</v>
      </c>
      <c r="CO129" s="414">
        <f t="shared" si="4"/>
        <v>1</v>
      </c>
    </row>
    <row r="130" spans="1:93" s="415" customFormat="1" ht="25.5" customHeight="1" x14ac:dyDescent="0.25">
      <c r="A130" s="881" t="s">
        <v>2524</v>
      </c>
      <c r="B130" s="862" t="e">
        <v>#N/A</v>
      </c>
      <c r="C130" s="861" t="s">
        <v>2525</v>
      </c>
      <c r="D130" s="862"/>
      <c r="E130" s="861" t="s">
        <v>700</v>
      </c>
      <c r="F130" s="862"/>
      <c r="G130" s="861" t="s">
        <v>648</v>
      </c>
      <c r="H130" s="861" t="s">
        <v>654</v>
      </c>
      <c r="I130" s="861" t="s">
        <v>647</v>
      </c>
      <c r="J130" s="861" t="s">
        <v>641</v>
      </c>
      <c r="K130" s="861" t="s">
        <v>649</v>
      </c>
      <c r="L130" s="861" t="s">
        <v>41</v>
      </c>
      <c r="M130" s="861" t="s">
        <v>653</v>
      </c>
      <c r="N130" s="861" t="s">
        <v>699</v>
      </c>
      <c r="O130" s="861"/>
      <c r="P130" s="861"/>
      <c r="Q130" s="861" t="s">
        <v>650</v>
      </c>
      <c r="R130" s="861" t="s">
        <v>652</v>
      </c>
      <c r="S130" s="861" t="s">
        <v>649</v>
      </c>
      <c r="T130" s="861"/>
      <c r="U130" s="861"/>
      <c r="V130" s="861" t="s">
        <v>641</v>
      </c>
      <c r="W130" s="861" t="s">
        <v>2450</v>
      </c>
      <c r="X130" s="863">
        <v>42919</v>
      </c>
      <c r="Y130" s="863">
        <v>43748</v>
      </c>
      <c r="Z130" s="864">
        <v>2020</v>
      </c>
      <c r="AA130" s="861" t="s">
        <v>663</v>
      </c>
      <c r="AB130" s="861" t="s">
        <v>697</v>
      </c>
      <c r="AC130" s="861" t="s">
        <v>649</v>
      </c>
      <c r="AD130" s="865"/>
      <c r="AE130" s="865"/>
      <c r="AF130" s="865"/>
      <c r="AG130" s="865"/>
      <c r="AH130" s="865"/>
      <c r="AI130" s="865"/>
      <c r="AJ130" s="865"/>
      <c r="AK130" s="865"/>
      <c r="AL130" s="865"/>
      <c r="AM130" s="865"/>
      <c r="AN130" s="865"/>
      <c r="AO130" s="865"/>
      <c r="AP130" s="865">
        <v>509023.51999999996</v>
      </c>
      <c r="AQ130" s="865"/>
      <c r="AR130" s="865"/>
      <c r="AS130" s="865"/>
      <c r="AT130" s="865"/>
      <c r="AU130" s="865"/>
      <c r="AV130" s="865"/>
      <c r="AW130" s="865"/>
      <c r="AX130" s="865"/>
      <c r="AY130" s="865"/>
      <c r="AZ130" s="865"/>
      <c r="BA130" s="865"/>
      <c r="BB130" s="865"/>
      <c r="BC130" s="865">
        <v>28895.178000000007</v>
      </c>
      <c r="BD130" s="865">
        <v>19263.452000000005</v>
      </c>
      <c r="BE130" s="865">
        <v>32507.075250000009</v>
      </c>
      <c r="BF130" s="865">
        <v>751.57561943750022</v>
      </c>
      <c r="BG130" s="865">
        <v>0</v>
      </c>
      <c r="BH130" s="865">
        <v>105415.41470930964</v>
      </c>
      <c r="BI130" s="865"/>
      <c r="BJ130" s="865"/>
      <c r="BK130" s="865"/>
      <c r="BL130" s="865"/>
      <c r="BM130" s="865"/>
      <c r="BN130" s="865"/>
      <c r="BO130" s="865"/>
      <c r="BP130" s="865"/>
      <c r="BQ130" s="865"/>
      <c r="BR130" s="865"/>
      <c r="BS130" s="865">
        <v>695856.21557874698</v>
      </c>
      <c r="BT130" s="412">
        <f t="shared" si="5"/>
        <v>509023.51999999996</v>
      </c>
      <c r="BU130" s="413">
        <v>0</v>
      </c>
      <c r="BV130" s="413">
        <v>0</v>
      </c>
      <c r="BW130" s="413">
        <v>0</v>
      </c>
      <c r="BX130" s="413">
        <v>0</v>
      </c>
      <c r="BY130" s="413">
        <v>0</v>
      </c>
      <c r="BZ130" s="413">
        <v>0</v>
      </c>
      <c r="CA130" s="413">
        <v>0</v>
      </c>
      <c r="CB130" s="413">
        <v>0</v>
      </c>
      <c r="CC130" s="413">
        <v>0</v>
      </c>
      <c r="CD130" s="413">
        <v>0</v>
      </c>
      <c r="CE130" s="413">
        <v>0</v>
      </c>
      <c r="CF130" s="413">
        <v>0</v>
      </c>
      <c r="CG130" s="413">
        <v>0</v>
      </c>
      <c r="CH130" s="413">
        <v>0</v>
      </c>
      <c r="CI130" s="413">
        <v>0</v>
      </c>
      <c r="CJ130" s="413">
        <v>0</v>
      </c>
      <c r="CK130" s="413">
        <v>0</v>
      </c>
      <c r="CL130" s="413">
        <v>0</v>
      </c>
      <c r="CM130" s="413">
        <v>1</v>
      </c>
      <c r="CN130" s="413">
        <v>0</v>
      </c>
      <c r="CO130" s="414">
        <f t="shared" si="4"/>
        <v>1</v>
      </c>
    </row>
    <row r="131" spans="1:93" s="415" customFormat="1" ht="25.5" customHeight="1" x14ac:dyDescent="0.25">
      <c r="A131" s="881" t="s">
        <v>2526</v>
      </c>
      <c r="B131" s="862" t="e">
        <v>#N/A</v>
      </c>
      <c r="C131" s="861" t="s">
        <v>2527</v>
      </c>
      <c r="D131" s="862"/>
      <c r="E131" s="861" t="s">
        <v>700</v>
      </c>
      <c r="F131" s="862"/>
      <c r="G131" s="861" t="s">
        <v>686</v>
      </c>
      <c r="H131" s="861" t="s">
        <v>654</v>
      </c>
      <c r="I131" s="861" t="s">
        <v>647</v>
      </c>
      <c r="J131" s="861" t="s">
        <v>641</v>
      </c>
      <c r="K131" s="861" t="s">
        <v>649</v>
      </c>
      <c r="L131" s="861" t="s">
        <v>41</v>
      </c>
      <c r="M131" s="861" t="s">
        <v>653</v>
      </c>
      <c r="N131" s="861" t="s">
        <v>699</v>
      </c>
      <c r="O131" s="861"/>
      <c r="P131" s="861"/>
      <c r="Q131" s="861" t="s">
        <v>656</v>
      </c>
      <c r="R131" s="861" t="s">
        <v>652</v>
      </c>
      <c r="S131" s="861" t="s">
        <v>649</v>
      </c>
      <c r="T131" s="861"/>
      <c r="U131" s="861"/>
      <c r="V131" s="861" t="s">
        <v>641</v>
      </c>
      <c r="W131" s="861" t="s">
        <v>2450</v>
      </c>
      <c r="X131" s="863">
        <v>42919</v>
      </c>
      <c r="Y131" s="863">
        <v>44844</v>
      </c>
      <c r="Z131" s="864">
        <v>2023</v>
      </c>
      <c r="AA131" s="861" t="s">
        <v>663</v>
      </c>
      <c r="AB131" s="861" t="s">
        <v>697</v>
      </c>
      <c r="AC131" s="861" t="s">
        <v>663</v>
      </c>
      <c r="AD131" s="865"/>
      <c r="AE131" s="865"/>
      <c r="AF131" s="865"/>
      <c r="AG131" s="865"/>
      <c r="AH131" s="865"/>
      <c r="AI131" s="865"/>
      <c r="AJ131" s="865"/>
      <c r="AK131" s="865"/>
      <c r="AL131" s="865"/>
      <c r="AM131" s="865"/>
      <c r="AN131" s="865"/>
      <c r="AO131" s="865"/>
      <c r="AP131" s="865">
        <v>1730121.2799999998</v>
      </c>
      <c r="AQ131" s="865"/>
      <c r="AR131" s="865"/>
      <c r="AS131" s="865"/>
      <c r="AT131" s="865"/>
      <c r="AU131" s="865"/>
      <c r="AV131" s="865"/>
      <c r="AW131" s="865"/>
      <c r="AX131" s="865"/>
      <c r="AY131" s="865"/>
      <c r="AZ131" s="865"/>
      <c r="BA131" s="865"/>
      <c r="BB131" s="865"/>
      <c r="BC131" s="865">
        <v>117642.19199999998</v>
      </c>
      <c r="BD131" s="865">
        <v>78428.127999999997</v>
      </c>
      <c r="BE131" s="865">
        <v>132347.46599999999</v>
      </c>
      <c r="BF131" s="865">
        <v>3059.9224315000006</v>
      </c>
      <c r="BG131" s="865">
        <v>0</v>
      </c>
      <c r="BH131" s="865">
        <v>368071.29861246847</v>
      </c>
      <c r="BI131" s="865"/>
      <c r="BJ131" s="865"/>
      <c r="BK131" s="865"/>
      <c r="BL131" s="865"/>
      <c r="BM131" s="865"/>
      <c r="BN131" s="865"/>
      <c r="BO131" s="865"/>
      <c r="BP131" s="865"/>
      <c r="BQ131" s="865"/>
      <c r="BR131" s="865"/>
      <c r="BS131" s="865">
        <v>2429670.2870439687</v>
      </c>
      <c r="BT131" s="412">
        <f t="shared" si="5"/>
        <v>1730121.2799999998</v>
      </c>
      <c r="BU131" s="413">
        <v>0</v>
      </c>
      <c r="BV131" s="413">
        <v>0</v>
      </c>
      <c r="BW131" s="413">
        <v>0</v>
      </c>
      <c r="BX131" s="413">
        <v>0</v>
      </c>
      <c r="BY131" s="413">
        <v>0</v>
      </c>
      <c r="BZ131" s="413">
        <v>0</v>
      </c>
      <c r="CA131" s="413">
        <v>0</v>
      </c>
      <c r="CB131" s="413">
        <v>0</v>
      </c>
      <c r="CC131" s="413">
        <v>0</v>
      </c>
      <c r="CD131" s="413">
        <v>0</v>
      </c>
      <c r="CE131" s="413">
        <v>0</v>
      </c>
      <c r="CF131" s="413">
        <v>0</v>
      </c>
      <c r="CG131" s="413">
        <v>0</v>
      </c>
      <c r="CH131" s="413">
        <v>0</v>
      </c>
      <c r="CI131" s="413">
        <v>0</v>
      </c>
      <c r="CJ131" s="413">
        <v>0</v>
      </c>
      <c r="CK131" s="413">
        <v>0</v>
      </c>
      <c r="CL131" s="413">
        <v>0</v>
      </c>
      <c r="CM131" s="413">
        <v>1</v>
      </c>
      <c r="CN131" s="413">
        <v>0</v>
      </c>
      <c r="CO131" s="414">
        <f t="shared" si="4"/>
        <v>1</v>
      </c>
    </row>
    <row r="132" spans="1:93" s="415" customFormat="1" ht="25.5" customHeight="1" x14ac:dyDescent="0.25">
      <c r="A132" s="881" t="s">
        <v>2528</v>
      </c>
      <c r="B132" s="862" t="e">
        <v>#N/A</v>
      </c>
      <c r="C132" s="861" t="s">
        <v>2529</v>
      </c>
      <c r="D132" s="862"/>
      <c r="E132" s="861" t="s">
        <v>700</v>
      </c>
      <c r="F132" s="862"/>
      <c r="G132" s="861" t="s">
        <v>2444</v>
      </c>
      <c r="H132" s="861" t="s">
        <v>654</v>
      </c>
      <c r="I132" s="861" t="s">
        <v>647</v>
      </c>
      <c r="J132" s="861" t="s">
        <v>641</v>
      </c>
      <c r="K132" s="861" t="s">
        <v>649</v>
      </c>
      <c r="L132" s="861" t="s">
        <v>41</v>
      </c>
      <c r="M132" s="861" t="s">
        <v>653</v>
      </c>
      <c r="N132" s="861" t="s">
        <v>699</v>
      </c>
      <c r="O132" s="861"/>
      <c r="P132" s="861"/>
      <c r="Q132" s="861" t="s">
        <v>656</v>
      </c>
      <c r="R132" s="861" t="s">
        <v>652</v>
      </c>
      <c r="S132" s="861" t="s">
        <v>649</v>
      </c>
      <c r="T132" s="861"/>
      <c r="U132" s="861"/>
      <c r="V132" s="861" t="s">
        <v>641</v>
      </c>
      <c r="W132" s="861" t="s">
        <v>2450</v>
      </c>
      <c r="X132" s="863">
        <v>42919</v>
      </c>
      <c r="Y132" s="863">
        <v>44844</v>
      </c>
      <c r="Z132" s="864">
        <v>2023</v>
      </c>
      <c r="AA132" s="861" t="s">
        <v>663</v>
      </c>
      <c r="AB132" s="861" t="s">
        <v>697</v>
      </c>
      <c r="AC132" s="861" t="s">
        <v>663</v>
      </c>
      <c r="AD132" s="865"/>
      <c r="AE132" s="865"/>
      <c r="AF132" s="865"/>
      <c r="AG132" s="865"/>
      <c r="AH132" s="865"/>
      <c r="AI132" s="865"/>
      <c r="AJ132" s="865"/>
      <c r="AK132" s="865"/>
      <c r="AL132" s="865"/>
      <c r="AM132" s="865"/>
      <c r="AN132" s="865"/>
      <c r="AO132" s="865"/>
      <c r="AP132" s="865">
        <v>1010041.9999999998</v>
      </c>
      <c r="AQ132" s="865"/>
      <c r="AR132" s="865"/>
      <c r="AS132" s="865"/>
      <c r="AT132" s="865"/>
      <c r="AU132" s="865"/>
      <c r="AV132" s="865"/>
      <c r="AW132" s="865"/>
      <c r="AX132" s="865"/>
      <c r="AY132" s="865"/>
      <c r="AZ132" s="865"/>
      <c r="BA132" s="865"/>
      <c r="BB132" s="865"/>
      <c r="BC132" s="865">
        <v>75463.05</v>
      </c>
      <c r="BD132" s="865">
        <v>50308.7</v>
      </c>
      <c r="BE132" s="865">
        <v>84895.931249999994</v>
      </c>
      <c r="BF132" s="865">
        <v>1962.8253734375</v>
      </c>
      <c r="BG132" s="865">
        <v>0</v>
      </c>
      <c r="BH132" s="865">
        <v>218292.04409585093</v>
      </c>
      <c r="BI132" s="865"/>
      <c r="BJ132" s="865"/>
      <c r="BK132" s="865"/>
      <c r="BL132" s="865"/>
      <c r="BM132" s="865"/>
      <c r="BN132" s="865"/>
      <c r="BO132" s="865"/>
      <c r="BP132" s="865"/>
      <c r="BQ132" s="865"/>
      <c r="BR132" s="865"/>
      <c r="BS132" s="865">
        <v>1440964.5507192882</v>
      </c>
      <c r="BT132" s="412">
        <f t="shared" si="5"/>
        <v>1010041.9999999998</v>
      </c>
      <c r="BU132" s="413">
        <v>0</v>
      </c>
      <c r="BV132" s="413">
        <v>0</v>
      </c>
      <c r="BW132" s="413">
        <v>0</v>
      </c>
      <c r="BX132" s="413">
        <v>0</v>
      </c>
      <c r="BY132" s="413">
        <v>0</v>
      </c>
      <c r="BZ132" s="413">
        <v>0</v>
      </c>
      <c r="CA132" s="413">
        <v>0</v>
      </c>
      <c r="CB132" s="413">
        <v>0</v>
      </c>
      <c r="CC132" s="413">
        <v>0</v>
      </c>
      <c r="CD132" s="413">
        <v>0</v>
      </c>
      <c r="CE132" s="413">
        <v>0</v>
      </c>
      <c r="CF132" s="413">
        <v>0</v>
      </c>
      <c r="CG132" s="413">
        <v>0</v>
      </c>
      <c r="CH132" s="413">
        <v>0</v>
      </c>
      <c r="CI132" s="413">
        <v>0</v>
      </c>
      <c r="CJ132" s="413">
        <v>0</v>
      </c>
      <c r="CK132" s="413">
        <v>0</v>
      </c>
      <c r="CL132" s="413">
        <v>0</v>
      </c>
      <c r="CM132" s="413">
        <v>1</v>
      </c>
      <c r="CN132" s="413">
        <v>0</v>
      </c>
      <c r="CO132" s="414">
        <f t="shared" si="4"/>
        <v>1</v>
      </c>
    </row>
    <row r="133" spans="1:93" s="415" customFormat="1" ht="25.5" customHeight="1" x14ac:dyDescent="0.25">
      <c r="A133" s="881" t="s">
        <v>2530</v>
      </c>
      <c r="B133" s="862" t="e">
        <v>#N/A</v>
      </c>
      <c r="C133" s="861" t="s">
        <v>2531</v>
      </c>
      <c r="D133" s="862"/>
      <c r="E133" s="861" t="s">
        <v>700</v>
      </c>
      <c r="F133" s="862"/>
      <c r="G133" s="861" t="s">
        <v>804</v>
      </c>
      <c r="H133" s="861" t="s">
        <v>654</v>
      </c>
      <c r="I133" s="861" t="s">
        <v>647</v>
      </c>
      <c r="J133" s="861" t="s">
        <v>641</v>
      </c>
      <c r="K133" s="861" t="s">
        <v>649</v>
      </c>
      <c r="L133" s="861" t="s">
        <v>41</v>
      </c>
      <c r="M133" s="861" t="s">
        <v>653</v>
      </c>
      <c r="N133" s="861" t="s">
        <v>699</v>
      </c>
      <c r="O133" s="861"/>
      <c r="P133" s="861"/>
      <c r="Q133" s="861" t="s">
        <v>642</v>
      </c>
      <c r="R133" s="861" t="s">
        <v>652</v>
      </c>
      <c r="S133" s="861" t="s">
        <v>649</v>
      </c>
      <c r="T133" s="861"/>
      <c r="U133" s="861"/>
      <c r="V133" s="861" t="s">
        <v>641</v>
      </c>
      <c r="W133" s="861" t="s">
        <v>2450</v>
      </c>
      <c r="X133" s="863">
        <v>42919</v>
      </c>
      <c r="Y133" s="863">
        <v>44844</v>
      </c>
      <c r="Z133" s="864">
        <v>2023</v>
      </c>
      <c r="AA133" s="861" t="s">
        <v>663</v>
      </c>
      <c r="AB133" s="861" t="s">
        <v>697</v>
      </c>
      <c r="AC133" s="861" t="s">
        <v>663</v>
      </c>
      <c r="AD133" s="865"/>
      <c r="AE133" s="865"/>
      <c r="AF133" s="865"/>
      <c r="AG133" s="865"/>
      <c r="AH133" s="865"/>
      <c r="AI133" s="865"/>
      <c r="AJ133" s="865"/>
      <c r="AK133" s="865"/>
      <c r="AL133" s="865"/>
      <c r="AM133" s="865"/>
      <c r="AN133" s="865"/>
      <c r="AO133" s="865"/>
      <c r="AP133" s="865">
        <v>7649820.9200000009</v>
      </c>
      <c r="AQ133" s="865"/>
      <c r="AR133" s="865"/>
      <c r="AS133" s="865"/>
      <c r="AT133" s="865"/>
      <c r="AU133" s="865"/>
      <c r="AV133" s="865"/>
      <c r="AW133" s="865"/>
      <c r="AX133" s="865"/>
      <c r="AY133" s="865"/>
      <c r="AZ133" s="865"/>
      <c r="BA133" s="865"/>
      <c r="BB133" s="865"/>
      <c r="BC133" s="865">
        <v>500664.88800000004</v>
      </c>
      <c r="BD133" s="865">
        <v>333776.59199999995</v>
      </c>
      <c r="BE133" s="865">
        <v>563247.99899999995</v>
      </c>
      <c r="BF133" s="865">
        <v>13022.50234725</v>
      </c>
      <c r="BG133" s="865">
        <v>0</v>
      </c>
      <c r="BH133" s="865">
        <v>1617638.6047109698</v>
      </c>
      <c r="BI133" s="865"/>
      <c r="BJ133" s="865"/>
      <c r="BK133" s="865"/>
      <c r="BL133" s="865"/>
      <c r="BM133" s="865"/>
      <c r="BN133" s="865"/>
      <c r="BO133" s="865"/>
      <c r="BP133" s="865"/>
      <c r="BQ133" s="865"/>
      <c r="BR133" s="865"/>
      <c r="BS133" s="865">
        <v>10678171.50605822</v>
      </c>
      <c r="BT133" s="412">
        <f t="shared" si="5"/>
        <v>7649820.9200000009</v>
      </c>
      <c r="BU133" s="413">
        <v>0</v>
      </c>
      <c r="BV133" s="413">
        <v>0</v>
      </c>
      <c r="BW133" s="413">
        <v>0</v>
      </c>
      <c r="BX133" s="413">
        <v>0</v>
      </c>
      <c r="BY133" s="413">
        <v>0</v>
      </c>
      <c r="BZ133" s="413">
        <v>0</v>
      </c>
      <c r="CA133" s="413">
        <v>0</v>
      </c>
      <c r="CB133" s="413">
        <v>0</v>
      </c>
      <c r="CC133" s="413">
        <v>0</v>
      </c>
      <c r="CD133" s="413">
        <v>0</v>
      </c>
      <c r="CE133" s="413">
        <v>0</v>
      </c>
      <c r="CF133" s="413">
        <v>0</v>
      </c>
      <c r="CG133" s="413">
        <v>0</v>
      </c>
      <c r="CH133" s="413">
        <v>0</v>
      </c>
      <c r="CI133" s="413">
        <v>0</v>
      </c>
      <c r="CJ133" s="413">
        <v>0</v>
      </c>
      <c r="CK133" s="413">
        <v>0</v>
      </c>
      <c r="CL133" s="413">
        <v>0</v>
      </c>
      <c r="CM133" s="413">
        <v>1</v>
      </c>
      <c r="CN133" s="413">
        <v>0</v>
      </c>
      <c r="CO133" s="414">
        <f t="shared" si="4"/>
        <v>1</v>
      </c>
    </row>
    <row r="134" spans="1:93" s="415" customFormat="1" ht="25.5" customHeight="1" x14ac:dyDescent="0.25">
      <c r="A134" s="881" t="s">
        <v>2532</v>
      </c>
      <c r="B134" s="862" t="e">
        <v>#N/A</v>
      </c>
      <c r="C134" s="861" t="s">
        <v>2533</v>
      </c>
      <c r="D134" s="862"/>
      <c r="E134" s="861" t="s">
        <v>700</v>
      </c>
      <c r="F134" s="862"/>
      <c r="G134" s="861" t="s">
        <v>691</v>
      </c>
      <c r="H134" s="861" t="s">
        <v>654</v>
      </c>
      <c r="I134" s="861" t="s">
        <v>647</v>
      </c>
      <c r="J134" s="861" t="s">
        <v>641</v>
      </c>
      <c r="K134" s="861" t="s">
        <v>649</v>
      </c>
      <c r="L134" s="861" t="s">
        <v>41</v>
      </c>
      <c r="M134" s="861" t="s">
        <v>653</v>
      </c>
      <c r="N134" s="861" t="s">
        <v>699</v>
      </c>
      <c r="O134" s="861"/>
      <c r="P134" s="861"/>
      <c r="Q134" s="861" t="s">
        <v>642</v>
      </c>
      <c r="R134" s="861" t="s">
        <v>652</v>
      </c>
      <c r="S134" s="861" t="s">
        <v>649</v>
      </c>
      <c r="T134" s="861"/>
      <c r="U134" s="861"/>
      <c r="V134" s="861" t="s">
        <v>641</v>
      </c>
      <c r="W134" s="861" t="s">
        <v>2450</v>
      </c>
      <c r="X134" s="863">
        <v>42919</v>
      </c>
      <c r="Y134" s="863">
        <v>44477</v>
      </c>
      <c r="Z134" s="864">
        <v>2022</v>
      </c>
      <c r="AA134" s="861" t="s">
        <v>663</v>
      </c>
      <c r="AB134" s="861" t="s">
        <v>697</v>
      </c>
      <c r="AC134" s="861" t="s">
        <v>663</v>
      </c>
      <c r="AD134" s="865"/>
      <c r="AE134" s="865"/>
      <c r="AF134" s="865"/>
      <c r="AG134" s="865"/>
      <c r="AH134" s="865"/>
      <c r="AI134" s="865"/>
      <c r="AJ134" s="865"/>
      <c r="AK134" s="865"/>
      <c r="AL134" s="865"/>
      <c r="AM134" s="865"/>
      <c r="AN134" s="865"/>
      <c r="AO134" s="865"/>
      <c r="AP134" s="865">
        <v>6351868.3600000003</v>
      </c>
      <c r="AQ134" s="865"/>
      <c r="AR134" s="865"/>
      <c r="AS134" s="865"/>
      <c r="AT134" s="865"/>
      <c r="AU134" s="865"/>
      <c r="AV134" s="865"/>
      <c r="AW134" s="865"/>
      <c r="AX134" s="865"/>
      <c r="AY134" s="865"/>
      <c r="AZ134" s="865"/>
      <c r="BA134" s="865"/>
      <c r="BB134" s="865"/>
      <c r="BC134" s="865">
        <v>423934.25399999996</v>
      </c>
      <c r="BD134" s="865">
        <v>282622.83600000007</v>
      </c>
      <c r="BE134" s="865">
        <v>476926.03575000004</v>
      </c>
      <c r="BF134" s="865">
        <v>11026.706585812504</v>
      </c>
      <c r="BG134" s="865">
        <v>0</v>
      </c>
      <c r="BH134" s="865">
        <v>1347306.2591998579</v>
      </c>
      <c r="BI134" s="865"/>
      <c r="BJ134" s="865"/>
      <c r="BK134" s="865"/>
      <c r="BL134" s="865"/>
      <c r="BM134" s="865"/>
      <c r="BN134" s="865"/>
      <c r="BO134" s="865"/>
      <c r="BP134" s="865"/>
      <c r="BQ134" s="865"/>
      <c r="BR134" s="865"/>
      <c r="BS134" s="865">
        <v>8893684.4515356719</v>
      </c>
      <c r="BT134" s="412">
        <f t="shared" si="5"/>
        <v>6351868.3600000003</v>
      </c>
      <c r="BU134" s="413">
        <v>0</v>
      </c>
      <c r="BV134" s="413">
        <v>0</v>
      </c>
      <c r="BW134" s="413">
        <v>0</v>
      </c>
      <c r="BX134" s="413">
        <v>0</v>
      </c>
      <c r="BY134" s="413">
        <v>0</v>
      </c>
      <c r="BZ134" s="413">
        <v>0</v>
      </c>
      <c r="CA134" s="413">
        <v>0</v>
      </c>
      <c r="CB134" s="413">
        <v>0</v>
      </c>
      <c r="CC134" s="413">
        <v>0</v>
      </c>
      <c r="CD134" s="413">
        <v>0</v>
      </c>
      <c r="CE134" s="413">
        <v>0</v>
      </c>
      <c r="CF134" s="413">
        <v>0</v>
      </c>
      <c r="CG134" s="413">
        <v>0</v>
      </c>
      <c r="CH134" s="413">
        <v>0</v>
      </c>
      <c r="CI134" s="413">
        <v>0</v>
      </c>
      <c r="CJ134" s="413">
        <v>0</v>
      </c>
      <c r="CK134" s="413">
        <v>0</v>
      </c>
      <c r="CL134" s="413">
        <v>0</v>
      </c>
      <c r="CM134" s="413">
        <v>1</v>
      </c>
      <c r="CN134" s="413">
        <v>0</v>
      </c>
      <c r="CO134" s="414">
        <f t="shared" si="4"/>
        <v>1</v>
      </c>
    </row>
    <row r="135" spans="1:93" s="415" customFormat="1" ht="25.5" customHeight="1" x14ac:dyDescent="0.25">
      <c r="A135" s="881" t="s">
        <v>2534</v>
      </c>
      <c r="B135" s="862" t="e">
        <v>#N/A</v>
      </c>
      <c r="C135" s="861" t="s">
        <v>2535</v>
      </c>
      <c r="D135" s="862"/>
      <c r="E135" s="861" t="s">
        <v>700</v>
      </c>
      <c r="F135" s="862"/>
      <c r="G135" s="861" t="s">
        <v>691</v>
      </c>
      <c r="H135" s="861" t="s">
        <v>654</v>
      </c>
      <c r="I135" s="861" t="s">
        <v>647</v>
      </c>
      <c r="J135" s="861" t="s">
        <v>641</v>
      </c>
      <c r="K135" s="861" t="s">
        <v>649</v>
      </c>
      <c r="L135" s="861" t="s">
        <v>41</v>
      </c>
      <c r="M135" s="861" t="s">
        <v>653</v>
      </c>
      <c r="N135" s="861" t="s">
        <v>699</v>
      </c>
      <c r="O135" s="861"/>
      <c r="P135" s="861"/>
      <c r="Q135" s="861" t="s">
        <v>656</v>
      </c>
      <c r="R135" s="861" t="s">
        <v>652</v>
      </c>
      <c r="S135" s="861" t="s">
        <v>649</v>
      </c>
      <c r="T135" s="861"/>
      <c r="U135" s="861"/>
      <c r="V135" s="861" t="s">
        <v>641</v>
      </c>
      <c r="W135" s="861" t="s">
        <v>2450</v>
      </c>
      <c r="X135" s="863">
        <v>42919</v>
      </c>
      <c r="Y135" s="863">
        <v>44477</v>
      </c>
      <c r="Z135" s="864">
        <v>2022</v>
      </c>
      <c r="AA135" s="861" t="s">
        <v>663</v>
      </c>
      <c r="AB135" s="861" t="s">
        <v>697</v>
      </c>
      <c r="AC135" s="861" t="s">
        <v>663</v>
      </c>
      <c r="AD135" s="865"/>
      <c r="AE135" s="865"/>
      <c r="AF135" s="865"/>
      <c r="AG135" s="865"/>
      <c r="AH135" s="865"/>
      <c r="AI135" s="865"/>
      <c r="AJ135" s="865"/>
      <c r="AK135" s="865"/>
      <c r="AL135" s="865"/>
      <c r="AM135" s="865"/>
      <c r="AN135" s="865"/>
      <c r="AO135" s="865"/>
      <c r="AP135" s="865">
        <v>1229836.7599999998</v>
      </c>
      <c r="AQ135" s="865"/>
      <c r="AR135" s="865"/>
      <c r="AS135" s="865"/>
      <c r="AT135" s="865"/>
      <c r="AU135" s="865"/>
      <c r="AV135" s="865"/>
      <c r="AW135" s="865"/>
      <c r="AX135" s="865"/>
      <c r="AY135" s="865"/>
      <c r="AZ135" s="865"/>
      <c r="BA135" s="865"/>
      <c r="BB135" s="865"/>
      <c r="BC135" s="865">
        <v>87716.51400000001</v>
      </c>
      <c r="BD135" s="865">
        <v>58477.676000000007</v>
      </c>
      <c r="BE135" s="865">
        <v>98681.07825000002</v>
      </c>
      <c r="BF135" s="865">
        <v>2281.5430776875</v>
      </c>
      <c r="BG135" s="865">
        <v>0</v>
      </c>
      <c r="BH135" s="865">
        <v>263697.71468235896</v>
      </c>
      <c r="BI135" s="865"/>
      <c r="BJ135" s="865"/>
      <c r="BK135" s="865"/>
      <c r="BL135" s="865"/>
      <c r="BM135" s="865"/>
      <c r="BN135" s="865"/>
      <c r="BO135" s="865"/>
      <c r="BP135" s="865"/>
      <c r="BQ135" s="865"/>
      <c r="BR135" s="865"/>
      <c r="BS135" s="865">
        <v>1740691.2860100465</v>
      </c>
      <c r="BT135" s="412">
        <f t="shared" si="5"/>
        <v>1229836.7599999998</v>
      </c>
      <c r="BU135" s="413">
        <v>0</v>
      </c>
      <c r="BV135" s="413">
        <v>0</v>
      </c>
      <c r="BW135" s="413">
        <v>0</v>
      </c>
      <c r="BX135" s="413">
        <v>0</v>
      </c>
      <c r="BY135" s="413">
        <v>0</v>
      </c>
      <c r="BZ135" s="413">
        <v>0</v>
      </c>
      <c r="CA135" s="413">
        <v>0</v>
      </c>
      <c r="CB135" s="413">
        <v>0</v>
      </c>
      <c r="CC135" s="413">
        <v>0</v>
      </c>
      <c r="CD135" s="413">
        <v>0</v>
      </c>
      <c r="CE135" s="413">
        <v>0</v>
      </c>
      <c r="CF135" s="413">
        <v>0</v>
      </c>
      <c r="CG135" s="413">
        <v>0</v>
      </c>
      <c r="CH135" s="413">
        <v>0</v>
      </c>
      <c r="CI135" s="413">
        <v>0</v>
      </c>
      <c r="CJ135" s="413">
        <v>0</v>
      </c>
      <c r="CK135" s="413">
        <v>0</v>
      </c>
      <c r="CL135" s="413">
        <v>0</v>
      </c>
      <c r="CM135" s="413">
        <v>1</v>
      </c>
      <c r="CN135" s="413">
        <v>0</v>
      </c>
      <c r="CO135" s="414">
        <f t="shared" si="4"/>
        <v>1</v>
      </c>
    </row>
    <row r="136" spans="1:93" s="415" customFormat="1" ht="25.5" customHeight="1" x14ac:dyDescent="0.25">
      <c r="A136" s="881" t="s">
        <v>2536</v>
      </c>
      <c r="B136" s="862" t="e">
        <v>#N/A</v>
      </c>
      <c r="C136" s="861" t="s">
        <v>2537</v>
      </c>
      <c r="D136" s="862"/>
      <c r="E136" s="861" t="s">
        <v>700</v>
      </c>
      <c r="F136" s="862"/>
      <c r="G136" s="861" t="s">
        <v>691</v>
      </c>
      <c r="H136" s="861" t="s">
        <v>654</v>
      </c>
      <c r="I136" s="861" t="s">
        <v>647</v>
      </c>
      <c r="J136" s="861" t="s">
        <v>641</v>
      </c>
      <c r="K136" s="861" t="s">
        <v>649</v>
      </c>
      <c r="L136" s="861" t="s">
        <v>41</v>
      </c>
      <c r="M136" s="861" t="s">
        <v>653</v>
      </c>
      <c r="N136" s="861" t="s">
        <v>699</v>
      </c>
      <c r="O136" s="861"/>
      <c r="P136" s="861"/>
      <c r="Q136" s="861" t="s">
        <v>642</v>
      </c>
      <c r="R136" s="861" t="s">
        <v>652</v>
      </c>
      <c r="S136" s="861" t="s">
        <v>649</v>
      </c>
      <c r="T136" s="861"/>
      <c r="U136" s="861"/>
      <c r="V136" s="861" t="s">
        <v>641</v>
      </c>
      <c r="W136" s="861" t="s">
        <v>2450</v>
      </c>
      <c r="X136" s="863">
        <v>42919</v>
      </c>
      <c r="Y136" s="863">
        <v>44477</v>
      </c>
      <c r="Z136" s="864">
        <v>2022</v>
      </c>
      <c r="AA136" s="861" t="s">
        <v>663</v>
      </c>
      <c r="AB136" s="861" t="s">
        <v>697</v>
      </c>
      <c r="AC136" s="861" t="s">
        <v>663</v>
      </c>
      <c r="AD136" s="865"/>
      <c r="AE136" s="865"/>
      <c r="AF136" s="865"/>
      <c r="AG136" s="865"/>
      <c r="AH136" s="865"/>
      <c r="AI136" s="865"/>
      <c r="AJ136" s="865"/>
      <c r="AK136" s="865"/>
      <c r="AL136" s="865"/>
      <c r="AM136" s="865"/>
      <c r="AN136" s="865"/>
      <c r="AO136" s="865"/>
      <c r="AP136" s="865">
        <v>3747418.24</v>
      </c>
      <c r="AQ136" s="865"/>
      <c r="AR136" s="865"/>
      <c r="AS136" s="865"/>
      <c r="AT136" s="865"/>
      <c r="AU136" s="865"/>
      <c r="AV136" s="865"/>
      <c r="AW136" s="865"/>
      <c r="AX136" s="865"/>
      <c r="AY136" s="865"/>
      <c r="AZ136" s="865"/>
      <c r="BA136" s="865"/>
      <c r="BB136" s="865"/>
      <c r="BC136" s="865">
        <v>259045.23600000003</v>
      </c>
      <c r="BD136" s="865">
        <v>172696.82400000005</v>
      </c>
      <c r="BE136" s="865">
        <v>291425.89050000004</v>
      </c>
      <c r="BF136" s="865">
        <v>6737.8745238750016</v>
      </c>
      <c r="BG136" s="865">
        <v>0</v>
      </c>
      <c r="BH136" s="865">
        <v>799367.13792045531</v>
      </c>
      <c r="BI136" s="865"/>
      <c r="BJ136" s="865"/>
      <c r="BK136" s="865"/>
      <c r="BL136" s="865"/>
      <c r="BM136" s="865"/>
      <c r="BN136" s="865"/>
      <c r="BO136" s="865"/>
      <c r="BP136" s="865"/>
      <c r="BQ136" s="865"/>
      <c r="BR136" s="865"/>
      <c r="BS136" s="865">
        <v>5276691.2029443309</v>
      </c>
      <c r="BT136" s="412">
        <f t="shared" si="5"/>
        <v>3747418.24</v>
      </c>
      <c r="BU136" s="413">
        <v>0</v>
      </c>
      <c r="BV136" s="413">
        <v>0</v>
      </c>
      <c r="BW136" s="413">
        <v>0</v>
      </c>
      <c r="BX136" s="413">
        <v>0</v>
      </c>
      <c r="BY136" s="413">
        <v>0</v>
      </c>
      <c r="BZ136" s="413">
        <v>0</v>
      </c>
      <c r="CA136" s="413">
        <v>0</v>
      </c>
      <c r="CB136" s="413">
        <v>0</v>
      </c>
      <c r="CC136" s="413">
        <v>0</v>
      </c>
      <c r="CD136" s="413">
        <v>0</v>
      </c>
      <c r="CE136" s="413">
        <v>0</v>
      </c>
      <c r="CF136" s="413">
        <v>0</v>
      </c>
      <c r="CG136" s="413">
        <v>0</v>
      </c>
      <c r="CH136" s="413">
        <v>0</v>
      </c>
      <c r="CI136" s="413">
        <v>0</v>
      </c>
      <c r="CJ136" s="413">
        <v>0</v>
      </c>
      <c r="CK136" s="413">
        <v>0</v>
      </c>
      <c r="CL136" s="413">
        <v>0</v>
      </c>
      <c r="CM136" s="413">
        <v>1</v>
      </c>
      <c r="CN136" s="413">
        <v>0</v>
      </c>
      <c r="CO136" s="414">
        <f t="shared" si="4"/>
        <v>1</v>
      </c>
    </row>
    <row r="137" spans="1:93" s="415" customFormat="1" ht="25.5" customHeight="1" x14ac:dyDescent="0.25">
      <c r="A137" s="881" t="s">
        <v>2399</v>
      </c>
      <c r="B137" s="862" t="s">
        <v>2920</v>
      </c>
      <c r="C137" s="861" t="s">
        <v>2538</v>
      </c>
      <c r="D137" s="862"/>
      <c r="E137" s="861" t="s">
        <v>700</v>
      </c>
      <c r="F137" s="862"/>
      <c r="G137" s="861" t="s">
        <v>705</v>
      </c>
      <c r="H137" s="861" t="s">
        <v>654</v>
      </c>
      <c r="I137" s="861" t="s">
        <v>647</v>
      </c>
      <c r="J137" s="861" t="s">
        <v>641</v>
      </c>
      <c r="K137" s="861" t="s">
        <v>649</v>
      </c>
      <c r="L137" s="861" t="s">
        <v>41</v>
      </c>
      <c r="M137" s="861" t="s">
        <v>653</v>
      </c>
      <c r="N137" s="861" t="s">
        <v>699</v>
      </c>
      <c r="O137" s="861"/>
      <c r="P137" s="861"/>
      <c r="Q137" s="861" t="s">
        <v>656</v>
      </c>
      <c r="R137" s="861" t="s">
        <v>652</v>
      </c>
      <c r="S137" s="861" t="s">
        <v>649</v>
      </c>
      <c r="T137" s="861"/>
      <c r="U137" s="861"/>
      <c r="V137" s="861" t="s">
        <v>641</v>
      </c>
      <c r="W137" s="861" t="s">
        <v>2449</v>
      </c>
      <c r="X137" s="863">
        <v>42919</v>
      </c>
      <c r="Y137" s="863">
        <v>43644</v>
      </c>
      <c r="Z137" s="864">
        <v>2019</v>
      </c>
      <c r="AA137" s="861" t="s">
        <v>663</v>
      </c>
      <c r="AB137" s="861" t="s">
        <v>697</v>
      </c>
      <c r="AC137" s="861" t="s">
        <v>663</v>
      </c>
      <c r="AD137" s="865"/>
      <c r="AE137" s="865"/>
      <c r="AF137" s="865"/>
      <c r="AG137" s="865"/>
      <c r="AH137" s="865"/>
      <c r="AI137" s="865"/>
      <c r="AJ137" s="865"/>
      <c r="AK137" s="865"/>
      <c r="AL137" s="865"/>
      <c r="AM137" s="865"/>
      <c r="AN137" s="865"/>
      <c r="AO137" s="865"/>
      <c r="AP137" s="865">
        <v>565388.0400000005</v>
      </c>
      <c r="AQ137" s="865"/>
      <c r="AR137" s="865"/>
      <c r="AS137" s="865"/>
      <c r="AT137" s="865"/>
      <c r="AU137" s="865"/>
      <c r="AV137" s="865"/>
      <c r="AW137" s="865"/>
      <c r="AX137" s="865"/>
      <c r="AY137" s="865"/>
      <c r="AZ137" s="865"/>
      <c r="BA137" s="865"/>
      <c r="BB137" s="865"/>
      <c r="BC137" s="865">
        <v>43666.206000000042</v>
      </c>
      <c r="BD137" s="865">
        <v>29110.804000000026</v>
      </c>
      <c r="BE137" s="865">
        <v>49124.48175000005</v>
      </c>
      <c r="BF137" s="865">
        <v>1135.7762123125015</v>
      </c>
      <c r="BG137" s="865">
        <v>0</v>
      </c>
      <c r="BH137" s="865">
        <v>122909.25564149617</v>
      </c>
      <c r="BI137" s="865"/>
      <c r="BJ137" s="865"/>
      <c r="BK137" s="865"/>
      <c r="BL137" s="865"/>
      <c r="BM137" s="865"/>
      <c r="BN137" s="865"/>
      <c r="BO137" s="865"/>
      <c r="BP137" s="865"/>
      <c r="BQ137" s="865"/>
      <c r="BR137" s="865"/>
      <c r="BS137" s="865">
        <v>811334.56360380934</v>
      </c>
      <c r="BT137" s="412">
        <f t="shared" si="5"/>
        <v>565388.0400000005</v>
      </c>
      <c r="BU137" s="413">
        <v>0</v>
      </c>
      <c r="BV137" s="413">
        <v>0</v>
      </c>
      <c r="BW137" s="413">
        <v>0</v>
      </c>
      <c r="BX137" s="413">
        <v>0</v>
      </c>
      <c r="BY137" s="413">
        <v>0</v>
      </c>
      <c r="BZ137" s="413">
        <v>0</v>
      </c>
      <c r="CA137" s="413">
        <v>0</v>
      </c>
      <c r="CB137" s="413">
        <v>0</v>
      </c>
      <c r="CC137" s="413">
        <v>0</v>
      </c>
      <c r="CD137" s="413">
        <v>0</v>
      </c>
      <c r="CE137" s="413">
        <v>0</v>
      </c>
      <c r="CF137" s="413">
        <v>0</v>
      </c>
      <c r="CG137" s="413">
        <v>0</v>
      </c>
      <c r="CH137" s="413">
        <v>0</v>
      </c>
      <c r="CI137" s="413">
        <v>0</v>
      </c>
      <c r="CJ137" s="413">
        <v>0</v>
      </c>
      <c r="CK137" s="413">
        <v>0</v>
      </c>
      <c r="CL137" s="413">
        <v>0</v>
      </c>
      <c r="CM137" s="413">
        <v>1</v>
      </c>
      <c r="CN137" s="413">
        <v>0</v>
      </c>
      <c r="CO137" s="414">
        <f t="shared" si="4"/>
        <v>1</v>
      </c>
    </row>
    <row r="138" spans="1:93" s="415" customFormat="1" ht="25.5" customHeight="1" x14ac:dyDescent="0.25">
      <c r="A138" s="881" t="s">
        <v>2539</v>
      </c>
      <c r="B138" s="862" t="e">
        <v>#N/A</v>
      </c>
      <c r="C138" s="861" t="s">
        <v>2540</v>
      </c>
      <c r="D138" s="862"/>
      <c r="E138" s="861" t="s">
        <v>700</v>
      </c>
      <c r="F138" s="862"/>
      <c r="G138" s="861" t="s">
        <v>648</v>
      </c>
      <c r="H138" s="861" t="s">
        <v>654</v>
      </c>
      <c r="I138" s="861" t="s">
        <v>647</v>
      </c>
      <c r="J138" s="861" t="s">
        <v>641</v>
      </c>
      <c r="K138" s="861" t="s">
        <v>649</v>
      </c>
      <c r="L138" s="861" t="s">
        <v>41</v>
      </c>
      <c r="M138" s="861" t="s">
        <v>653</v>
      </c>
      <c r="N138" s="861" t="s">
        <v>699</v>
      </c>
      <c r="O138" s="861"/>
      <c r="P138" s="861"/>
      <c r="Q138" s="861" t="s">
        <v>656</v>
      </c>
      <c r="R138" s="861" t="s">
        <v>652</v>
      </c>
      <c r="S138" s="861" t="s">
        <v>649</v>
      </c>
      <c r="T138" s="861"/>
      <c r="U138" s="861"/>
      <c r="V138" s="861" t="s">
        <v>641</v>
      </c>
      <c r="W138" s="861" t="s">
        <v>2450</v>
      </c>
      <c r="X138" s="863">
        <v>42919</v>
      </c>
      <c r="Y138" s="863">
        <v>44113</v>
      </c>
      <c r="Z138" s="864">
        <v>2021</v>
      </c>
      <c r="AA138" s="861" t="s">
        <v>663</v>
      </c>
      <c r="AB138" s="861" t="s">
        <v>697</v>
      </c>
      <c r="AC138" s="861" t="s">
        <v>663</v>
      </c>
      <c r="AD138" s="865"/>
      <c r="AE138" s="865"/>
      <c r="AF138" s="865"/>
      <c r="AG138" s="865"/>
      <c r="AH138" s="865"/>
      <c r="AI138" s="865"/>
      <c r="AJ138" s="865"/>
      <c r="AK138" s="865"/>
      <c r="AL138" s="865"/>
      <c r="AM138" s="865"/>
      <c r="AN138" s="865"/>
      <c r="AO138" s="865"/>
      <c r="AP138" s="865">
        <v>875299.92000000039</v>
      </c>
      <c r="AQ138" s="865"/>
      <c r="AR138" s="865"/>
      <c r="AS138" s="865"/>
      <c r="AT138" s="865"/>
      <c r="AU138" s="865"/>
      <c r="AV138" s="865"/>
      <c r="AW138" s="865"/>
      <c r="AX138" s="865"/>
      <c r="AY138" s="865"/>
      <c r="AZ138" s="865"/>
      <c r="BA138" s="865"/>
      <c r="BB138" s="865"/>
      <c r="BC138" s="865">
        <v>70122.738000000041</v>
      </c>
      <c r="BD138" s="865">
        <v>46748.492000000027</v>
      </c>
      <c r="BE138" s="865">
        <v>78888.080250000043</v>
      </c>
      <c r="BF138" s="865">
        <v>1823.9216331875011</v>
      </c>
      <c r="BG138" s="865">
        <v>0</v>
      </c>
      <c r="BH138" s="865">
        <v>191549.13113026318</v>
      </c>
      <c r="BI138" s="865"/>
      <c r="BJ138" s="865"/>
      <c r="BK138" s="865"/>
      <c r="BL138" s="865"/>
      <c r="BM138" s="865"/>
      <c r="BN138" s="865"/>
      <c r="BO138" s="865"/>
      <c r="BP138" s="865"/>
      <c r="BQ138" s="865"/>
      <c r="BR138" s="865"/>
      <c r="BS138" s="865">
        <v>1264432.2830134514</v>
      </c>
      <c r="BT138" s="412">
        <f t="shared" si="5"/>
        <v>875299.92000000039</v>
      </c>
      <c r="BU138" s="413">
        <v>0</v>
      </c>
      <c r="BV138" s="413">
        <v>0</v>
      </c>
      <c r="BW138" s="413">
        <v>0</v>
      </c>
      <c r="BX138" s="413">
        <v>0</v>
      </c>
      <c r="BY138" s="413">
        <v>0</v>
      </c>
      <c r="BZ138" s="413">
        <v>0</v>
      </c>
      <c r="CA138" s="413">
        <v>0</v>
      </c>
      <c r="CB138" s="413">
        <v>0</v>
      </c>
      <c r="CC138" s="413">
        <v>0</v>
      </c>
      <c r="CD138" s="413">
        <v>0</v>
      </c>
      <c r="CE138" s="413">
        <v>0</v>
      </c>
      <c r="CF138" s="413">
        <v>0</v>
      </c>
      <c r="CG138" s="413">
        <v>0</v>
      </c>
      <c r="CH138" s="413">
        <v>0</v>
      </c>
      <c r="CI138" s="413">
        <v>0</v>
      </c>
      <c r="CJ138" s="413">
        <v>0</v>
      </c>
      <c r="CK138" s="413">
        <v>0</v>
      </c>
      <c r="CL138" s="413">
        <v>0</v>
      </c>
      <c r="CM138" s="413">
        <v>1</v>
      </c>
      <c r="CN138" s="413">
        <v>0</v>
      </c>
      <c r="CO138" s="414">
        <f t="shared" si="4"/>
        <v>1</v>
      </c>
    </row>
    <row r="139" spans="1:93" s="415" customFormat="1" ht="25.5" customHeight="1" x14ac:dyDescent="0.25">
      <c r="A139" s="881" t="s">
        <v>2541</v>
      </c>
      <c r="B139" s="862" t="e">
        <v>#N/A</v>
      </c>
      <c r="C139" s="861" t="s">
        <v>2542</v>
      </c>
      <c r="D139" s="862"/>
      <c r="E139" s="861" t="s">
        <v>700</v>
      </c>
      <c r="F139" s="862"/>
      <c r="G139" s="861" t="s">
        <v>648</v>
      </c>
      <c r="H139" s="861" t="s">
        <v>654</v>
      </c>
      <c r="I139" s="861" t="s">
        <v>647</v>
      </c>
      <c r="J139" s="861" t="s">
        <v>641</v>
      </c>
      <c r="K139" s="861" t="s">
        <v>649</v>
      </c>
      <c r="L139" s="861" t="s">
        <v>41</v>
      </c>
      <c r="M139" s="861" t="s">
        <v>653</v>
      </c>
      <c r="N139" s="861" t="s">
        <v>699</v>
      </c>
      <c r="O139" s="861"/>
      <c r="P139" s="861"/>
      <c r="Q139" s="861" t="s">
        <v>656</v>
      </c>
      <c r="R139" s="861" t="s">
        <v>652</v>
      </c>
      <c r="S139" s="861" t="s">
        <v>649</v>
      </c>
      <c r="T139" s="861"/>
      <c r="U139" s="861"/>
      <c r="V139" s="861" t="s">
        <v>641</v>
      </c>
      <c r="W139" s="861" t="s">
        <v>2450</v>
      </c>
      <c r="X139" s="863">
        <v>42919</v>
      </c>
      <c r="Y139" s="863">
        <v>43644</v>
      </c>
      <c r="Z139" s="864">
        <v>2019</v>
      </c>
      <c r="AA139" s="861" t="s">
        <v>663</v>
      </c>
      <c r="AB139" s="861" t="s">
        <v>697</v>
      </c>
      <c r="AC139" s="861" t="s">
        <v>663</v>
      </c>
      <c r="AD139" s="865"/>
      <c r="AE139" s="865"/>
      <c r="AF139" s="865"/>
      <c r="AG139" s="865"/>
      <c r="AH139" s="865"/>
      <c r="AI139" s="865"/>
      <c r="AJ139" s="865"/>
      <c r="AK139" s="865"/>
      <c r="AL139" s="865"/>
      <c r="AM139" s="865"/>
      <c r="AN139" s="865"/>
      <c r="AO139" s="865"/>
      <c r="AP139" s="865">
        <v>2062521.1400000015</v>
      </c>
      <c r="AQ139" s="865"/>
      <c r="AR139" s="865"/>
      <c r="AS139" s="865"/>
      <c r="AT139" s="865"/>
      <c r="AU139" s="865"/>
      <c r="AV139" s="865"/>
      <c r="AW139" s="865"/>
      <c r="AX139" s="865"/>
      <c r="AY139" s="865"/>
      <c r="AZ139" s="865"/>
      <c r="BA139" s="865"/>
      <c r="BB139" s="865"/>
      <c r="BC139" s="865">
        <v>145166.42100000009</v>
      </c>
      <c r="BD139" s="865">
        <v>96777.614000000089</v>
      </c>
      <c r="BE139" s="865">
        <v>163312.2236250001</v>
      </c>
      <c r="BF139" s="865">
        <v>3775.8390962187532</v>
      </c>
      <c r="BG139" s="865">
        <v>0</v>
      </c>
      <c r="BH139" s="865">
        <v>441263.22087983863</v>
      </c>
      <c r="BI139" s="865"/>
      <c r="BJ139" s="865"/>
      <c r="BK139" s="865"/>
      <c r="BL139" s="865"/>
      <c r="BM139" s="865"/>
      <c r="BN139" s="865"/>
      <c r="BO139" s="865"/>
      <c r="BP139" s="865"/>
      <c r="BQ139" s="865"/>
      <c r="BR139" s="865"/>
      <c r="BS139" s="865">
        <v>2912816.4586010589</v>
      </c>
      <c r="BT139" s="412">
        <f t="shared" si="5"/>
        <v>2062521.1400000015</v>
      </c>
      <c r="BU139" s="413">
        <v>0</v>
      </c>
      <c r="BV139" s="413">
        <v>0</v>
      </c>
      <c r="BW139" s="413">
        <v>0</v>
      </c>
      <c r="BX139" s="413">
        <v>0</v>
      </c>
      <c r="BY139" s="413">
        <v>0</v>
      </c>
      <c r="BZ139" s="413">
        <v>0</v>
      </c>
      <c r="CA139" s="413">
        <v>0</v>
      </c>
      <c r="CB139" s="413">
        <v>0</v>
      </c>
      <c r="CC139" s="413">
        <v>0</v>
      </c>
      <c r="CD139" s="413">
        <v>0</v>
      </c>
      <c r="CE139" s="413">
        <v>0</v>
      </c>
      <c r="CF139" s="413">
        <v>0</v>
      </c>
      <c r="CG139" s="413">
        <v>0</v>
      </c>
      <c r="CH139" s="413">
        <v>0</v>
      </c>
      <c r="CI139" s="413">
        <v>0</v>
      </c>
      <c r="CJ139" s="413">
        <v>0</v>
      </c>
      <c r="CK139" s="413">
        <v>0</v>
      </c>
      <c r="CL139" s="413">
        <v>0</v>
      </c>
      <c r="CM139" s="413">
        <v>1</v>
      </c>
      <c r="CN139" s="413">
        <v>0</v>
      </c>
      <c r="CO139" s="414">
        <f t="shared" si="4"/>
        <v>1</v>
      </c>
    </row>
    <row r="140" spans="1:93" s="415" customFormat="1" ht="25.5" customHeight="1" x14ac:dyDescent="0.25">
      <c r="A140" s="881" t="s">
        <v>2543</v>
      </c>
      <c r="B140" s="862" t="e">
        <v>#N/A</v>
      </c>
      <c r="C140" s="861" t="s">
        <v>2544</v>
      </c>
      <c r="D140" s="862"/>
      <c r="E140" s="861" t="s">
        <v>700</v>
      </c>
      <c r="F140" s="862"/>
      <c r="G140" s="861" t="s">
        <v>648</v>
      </c>
      <c r="H140" s="861" t="s">
        <v>654</v>
      </c>
      <c r="I140" s="861" t="s">
        <v>647</v>
      </c>
      <c r="J140" s="861" t="s">
        <v>641</v>
      </c>
      <c r="K140" s="861" t="s">
        <v>649</v>
      </c>
      <c r="L140" s="861" t="s">
        <v>41</v>
      </c>
      <c r="M140" s="861" t="s">
        <v>653</v>
      </c>
      <c r="N140" s="861" t="s">
        <v>699</v>
      </c>
      <c r="O140" s="861"/>
      <c r="P140" s="861"/>
      <c r="Q140" s="861" t="s">
        <v>642</v>
      </c>
      <c r="R140" s="861" t="s">
        <v>652</v>
      </c>
      <c r="S140" s="861" t="s">
        <v>649</v>
      </c>
      <c r="T140" s="861"/>
      <c r="U140" s="861"/>
      <c r="V140" s="861" t="s">
        <v>641</v>
      </c>
      <c r="W140" s="861" t="s">
        <v>2449</v>
      </c>
      <c r="X140" s="863">
        <v>42919</v>
      </c>
      <c r="Y140" s="863">
        <v>44012</v>
      </c>
      <c r="Z140" s="864">
        <v>2020</v>
      </c>
      <c r="AA140" s="861" t="s">
        <v>663</v>
      </c>
      <c r="AB140" s="861" t="s">
        <v>697</v>
      </c>
      <c r="AC140" s="861" t="s">
        <v>663</v>
      </c>
      <c r="AD140" s="865"/>
      <c r="AE140" s="865"/>
      <c r="AF140" s="865"/>
      <c r="AG140" s="865"/>
      <c r="AH140" s="865"/>
      <c r="AI140" s="865"/>
      <c r="AJ140" s="865"/>
      <c r="AK140" s="865"/>
      <c r="AL140" s="865"/>
      <c r="AM140" s="865"/>
      <c r="AN140" s="865"/>
      <c r="AO140" s="865"/>
      <c r="AP140" s="865">
        <v>4243851.2799999993</v>
      </c>
      <c r="AQ140" s="865"/>
      <c r="AR140" s="865"/>
      <c r="AS140" s="865"/>
      <c r="AT140" s="865"/>
      <c r="AU140" s="865"/>
      <c r="AV140" s="865"/>
      <c r="AW140" s="865"/>
      <c r="AX140" s="865"/>
      <c r="AY140" s="865"/>
      <c r="AZ140" s="865"/>
      <c r="BA140" s="865"/>
      <c r="BB140" s="865"/>
      <c r="BC140" s="865">
        <v>288899.44199999992</v>
      </c>
      <c r="BD140" s="865">
        <v>192599.62799999997</v>
      </c>
      <c r="BE140" s="865">
        <v>325011.87225000001</v>
      </c>
      <c r="BF140" s="865">
        <v>7514.3948611875003</v>
      </c>
      <c r="BG140" s="865">
        <v>0</v>
      </c>
      <c r="BH140" s="865">
        <v>903017.13627543836</v>
      </c>
      <c r="BI140" s="865"/>
      <c r="BJ140" s="865"/>
      <c r="BK140" s="865"/>
      <c r="BL140" s="865"/>
      <c r="BM140" s="865"/>
      <c r="BN140" s="865"/>
      <c r="BO140" s="865"/>
      <c r="BP140" s="865"/>
      <c r="BQ140" s="865"/>
      <c r="BR140" s="865"/>
      <c r="BS140" s="865">
        <v>5960893.753386626</v>
      </c>
      <c r="BT140" s="412">
        <f t="shared" si="5"/>
        <v>4243851.2799999993</v>
      </c>
      <c r="BU140" s="413">
        <v>0</v>
      </c>
      <c r="BV140" s="413">
        <v>0</v>
      </c>
      <c r="BW140" s="413">
        <v>0</v>
      </c>
      <c r="BX140" s="413">
        <v>0</v>
      </c>
      <c r="BY140" s="413">
        <v>0</v>
      </c>
      <c r="BZ140" s="413">
        <v>0</v>
      </c>
      <c r="CA140" s="413">
        <v>0</v>
      </c>
      <c r="CB140" s="413">
        <v>0</v>
      </c>
      <c r="CC140" s="413">
        <v>0</v>
      </c>
      <c r="CD140" s="413">
        <v>0</v>
      </c>
      <c r="CE140" s="413">
        <v>0</v>
      </c>
      <c r="CF140" s="413">
        <v>0</v>
      </c>
      <c r="CG140" s="413">
        <v>0</v>
      </c>
      <c r="CH140" s="413">
        <v>0</v>
      </c>
      <c r="CI140" s="413">
        <v>0</v>
      </c>
      <c r="CJ140" s="413">
        <v>0</v>
      </c>
      <c r="CK140" s="413">
        <v>0</v>
      </c>
      <c r="CL140" s="413">
        <v>0</v>
      </c>
      <c r="CM140" s="413">
        <v>1</v>
      </c>
      <c r="CN140" s="413">
        <v>0</v>
      </c>
      <c r="CO140" s="414">
        <f t="shared" si="4"/>
        <v>1</v>
      </c>
    </row>
    <row r="141" spans="1:93" s="415" customFormat="1" ht="25.5" customHeight="1" x14ac:dyDescent="0.25">
      <c r="A141" s="881" t="s">
        <v>2545</v>
      </c>
      <c r="B141" s="862" t="e">
        <v>#N/A</v>
      </c>
      <c r="C141" s="861" t="s">
        <v>2546</v>
      </c>
      <c r="D141" s="862"/>
      <c r="E141" s="861" t="s">
        <v>700</v>
      </c>
      <c r="F141" s="862"/>
      <c r="G141" s="861" t="s">
        <v>648</v>
      </c>
      <c r="H141" s="861" t="s">
        <v>654</v>
      </c>
      <c r="I141" s="861" t="s">
        <v>647</v>
      </c>
      <c r="J141" s="861" t="s">
        <v>641</v>
      </c>
      <c r="K141" s="861" t="s">
        <v>649</v>
      </c>
      <c r="L141" s="861" t="s">
        <v>41</v>
      </c>
      <c r="M141" s="861" t="s">
        <v>653</v>
      </c>
      <c r="N141" s="861" t="s">
        <v>699</v>
      </c>
      <c r="O141" s="861"/>
      <c r="P141" s="861"/>
      <c r="Q141" s="861" t="s">
        <v>656</v>
      </c>
      <c r="R141" s="861" t="s">
        <v>652</v>
      </c>
      <c r="S141" s="861" t="s">
        <v>649</v>
      </c>
      <c r="T141" s="861"/>
      <c r="U141" s="861"/>
      <c r="V141" s="861" t="s">
        <v>641</v>
      </c>
      <c r="W141" s="861" t="s">
        <v>2450</v>
      </c>
      <c r="X141" s="863">
        <v>42919</v>
      </c>
      <c r="Y141" s="863">
        <v>44377</v>
      </c>
      <c r="Z141" s="864">
        <v>2021</v>
      </c>
      <c r="AA141" s="861" t="s">
        <v>663</v>
      </c>
      <c r="AB141" s="861" t="s">
        <v>697</v>
      </c>
      <c r="AC141" s="861" t="s">
        <v>663</v>
      </c>
      <c r="AD141" s="865"/>
      <c r="AE141" s="865"/>
      <c r="AF141" s="865"/>
      <c r="AG141" s="865"/>
      <c r="AH141" s="865"/>
      <c r="AI141" s="865"/>
      <c r="AJ141" s="865"/>
      <c r="AK141" s="865"/>
      <c r="AL141" s="865"/>
      <c r="AM141" s="865"/>
      <c r="AN141" s="865"/>
      <c r="AO141" s="865"/>
      <c r="AP141" s="865">
        <v>3453360.6400000062</v>
      </c>
      <c r="AQ141" s="865"/>
      <c r="AR141" s="865"/>
      <c r="AS141" s="865"/>
      <c r="AT141" s="865"/>
      <c r="AU141" s="865"/>
      <c r="AV141" s="865"/>
      <c r="AW141" s="865"/>
      <c r="AX141" s="865"/>
      <c r="AY141" s="865"/>
      <c r="AZ141" s="865"/>
      <c r="BA141" s="865"/>
      <c r="BB141" s="865"/>
      <c r="BC141" s="865">
        <v>237279.09600000034</v>
      </c>
      <c r="BD141" s="865">
        <v>158186.06400000027</v>
      </c>
      <c r="BE141" s="865">
        <v>266938.98300000047</v>
      </c>
      <c r="BF141" s="865">
        <v>6171.7281532500101</v>
      </c>
      <c r="BG141" s="865">
        <v>0</v>
      </c>
      <c r="BH141" s="865">
        <v>735917.37916626234</v>
      </c>
      <c r="BI141" s="865"/>
      <c r="BJ141" s="865"/>
      <c r="BK141" s="865"/>
      <c r="BL141" s="865"/>
      <c r="BM141" s="865"/>
      <c r="BN141" s="865"/>
      <c r="BO141" s="865"/>
      <c r="BP141" s="865"/>
      <c r="BQ141" s="865"/>
      <c r="BR141" s="865"/>
      <c r="BS141" s="865">
        <v>4857853.8903195206</v>
      </c>
      <c r="BT141" s="412">
        <f t="shared" si="5"/>
        <v>3453360.6400000062</v>
      </c>
      <c r="BU141" s="413">
        <v>0</v>
      </c>
      <c r="BV141" s="413">
        <v>0</v>
      </c>
      <c r="BW141" s="413">
        <v>0</v>
      </c>
      <c r="BX141" s="413">
        <v>0</v>
      </c>
      <c r="BY141" s="413">
        <v>0</v>
      </c>
      <c r="BZ141" s="413">
        <v>0</v>
      </c>
      <c r="CA141" s="413">
        <v>0</v>
      </c>
      <c r="CB141" s="413">
        <v>0</v>
      </c>
      <c r="CC141" s="413">
        <v>0</v>
      </c>
      <c r="CD141" s="413">
        <v>0</v>
      </c>
      <c r="CE141" s="413">
        <v>0</v>
      </c>
      <c r="CF141" s="413">
        <v>0</v>
      </c>
      <c r="CG141" s="413">
        <v>0</v>
      </c>
      <c r="CH141" s="413">
        <v>0</v>
      </c>
      <c r="CI141" s="413">
        <v>0</v>
      </c>
      <c r="CJ141" s="413">
        <v>0</v>
      </c>
      <c r="CK141" s="413">
        <v>0</v>
      </c>
      <c r="CL141" s="413">
        <v>0</v>
      </c>
      <c r="CM141" s="413">
        <v>1</v>
      </c>
      <c r="CN141" s="413">
        <v>0</v>
      </c>
      <c r="CO141" s="414">
        <f t="shared" si="4"/>
        <v>1</v>
      </c>
    </row>
    <row r="142" spans="1:93" s="415" customFormat="1" ht="25.5" customHeight="1" x14ac:dyDescent="0.25">
      <c r="A142" s="881" t="s">
        <v>2547</v>
      </c>
      <c r="B142" s="862" t="e">
        <v>#N/A</v>
      </c>
      <c r="C142" s="861" t="s">
        <v>2548</v>
      </c>
      <c r="D142" s="862"/>
      <c r="E142" s="861" t="s">
        <v>700</v>
      </c>
      <c r="F142" s="862"/>
      <c r="G142" s="861" t="s">
        <v>648</v>
      </c>
      <c r="H142" s="861" t="s">
        <v>654</v>
      </c>
      <c r="I142" s="861" t="s">
        <v>647</v>
      </c>
      <c r="J142" s="861" t="s">
        <v>641</v>
      </c>
      <c r="K142" s="861" t="s">
        <v>649</v>
      </c>
      <c r="L142" s="861" t="s">
        <v>41</v>
      </c>
      <c r="M142" s="861" t="s">
        <v>653</v>
      </c>
      <c r="N142" s="861" t="s">
        <v>699</v>
      </c>
      <c r="O142" s="861"/>
      <c r="P142" s="861"/>
      <c r="Q142" s="861" t="s">
        <v>656</v>
      </c>
      <c r="R142" s="861" t="s">
        <v>652</v>
      </c>
      <c r="S142" s="861" t="s">
        <v>649</v>
      </c>
      <c r="T142" s="861"/>
      <c r="U142" s="861"/>
      <c r="V142" s="861" t="s">
        <v>641</v>
      </c>
      <c r="W142" s="861" t="s">
        <v>2450</v>
      </c>
      <c r="X142" s="863">
        <v>42919</v>
      </c>
      <c r="Y142" s="863">
        <v>44377</v>
      </c>
      <c r="Z142" s="864">
        <v>2021</v>
      </c>
      <c r="AA142" s="861" t="s">
        <v>663</v>
      </c>
      <c r="AB142" s="861" t="s">
        <v>697</v>
      </c>
      <c r="AC142" s="861" t="s">
        <v>663</v>
      </c>
      <c r="AD142" s="865"/>
      <c r="AE142" s="865"/>
      <c r="AF142" s="865"/>
      <c r="AG142" s="865"/>
      <c r="AH142" s="865"/>
      <c r="AI142" s="865"/>
      <c r="AJ142" s="865"/>
      <c r="AK142" s="865"/>
      <c r="AL142" s="865"/>
      <c r="AM142" s="865"/>
      <c r="AN142" s="865"/>
      <c r="AO142" s="865"/>
      <c r="AP142" s="865">
        <v>2671621.6000000047</v>
      </c>
      <c r="AQ142" s="865"/>
      <c r="AR142" s="865"/>
      <c r="AS142" s="865"/>
      <c r="AT142" s="865"/>
      <c r="AU142" s="865"/>
      <c r="AV142" s="865"/>
      <c r="AW142" s="865"/>
      <c r="AX142" s="865"/>
      <c r="AY142" s="865"/>
      <c r="AZ142" s="865"/>
      <c r="BA142" s="865"/>
      <c r="BB142" s="865"/>
      <c r="BC142" s="865">
        <v>185850.99000000034</v>
      </c>
      <c r="BD142" s="865">
        <v>123900.66000000022</v>
      </c>
      <c r="BE142" s="865">
        <v>209082.36375000037</v>
      </c>
      <c r="BF142" s="865">
        <v>4834.0616878125102</v>
      </c>
      <c r="BG142" s="865">
        <v>0</v>
      </c>
      <c r="BH142" s="865">
        <v>570476.81284331821</v>
      </c>
      <c r="BI142" s="865"/>
      <c r="BJ142" s="865"/>
      <c r="BK142" s="865"/>
      <c r="BL142" s="865"/>
      <c r="BM142" s="865"/>
      <c r="BN142" s="865"/>
      <c r="BO142" s="865"/>
      <c r="BP142" s="865"/>
      <c r="BQ142" s="865"/>
      <c r="BR142" s="865"/>
      <c r="BS142" s="865">
        <v>3765766.4882811359</v>
      </c>
      <c r="BT142" s="412">
        <f t="shared" si="5"/>
        <v>2671621.6000000047</v>
      </c>
      <c r="BU142" s="413">
        <v>0</v>
      </c>
      <c r="BV142" s="413">
        <v>0</v>
      </c>
      <c r="BW142" s="413">
        <v>0</v>
      </c>
      <c r="BX142" s="413">
        <v>0</v>
      </c>
      <c r="BY142" s="413">
        <v>0</v>
      </c>
      <c r="BZ142" s="413">
        <v>0</v>
      </c>
      <c r="CA142" s="413">
        <v>0</v>
      </c>
      <c r="CB142" s="413">
        <v>0</v>
      </c>
      <c r="CC142" s="413">
        <v>0</v>
      </c>
      <c r="CD142" s="413">
        <v>0</v>
      </c>
      <c r="CE142" s="413">
        <v>0</v>
      </c>
      <c r="CF142" s="413">
        <v>0</v>
      </c>
      <c r="CG142" s="413">
        <v>0</v>
      </c>
      <c r="CH142" s="413">
        <v>0</v>
      </c>
      <c r="CI142" s="413">
        <v>0</v>
      </c>
      <c r="CJ142" s="413">
        <v>0</v>
      </c>
      <c r="CK142" s="413">
        <v>0</v>
      </c>
      <c r="CL142" s="413">
        <v>0</v>
      </c>
      <c r="CM142" s="413">
        <v>1</v>
      </c>
      <c r="CN142" s="413">
        <v>0</v>
      </c>
      <c r="CO142" s="414">
        <f t="shared" si="4"/>
        <v>1</v>
      </c>
    </row>
    <row r="143" spans="1:93" s="415" customFormat="1" ht="25.5" customHeight="1" x14ac:dyDescent="0.25">
      <c r="A143" s="881" t="s">
        <v>2549</v>
      </c>
      <c r="B143" s="862" t="e">
        <v>#N/A</v>
      </c>
      <c r="C143" s="861" t="s">
        <v>2550</v>
      </c>
      <c r="D143" s="862"/>
      <c r="E143" s="861" t="s">
        <v>700</v>
      </c>
      <c r="F143" s="862"/>
      <c r="G143" s="861" t="s">
        <v>648</v>
      </c>
      <c r="H143" s="861" t="s">
        <v>654</v>
      </c>
      <c r="I143" s="861" t="s">
        <v>647</v>
      </c>
      <c r="J143" s="861" t="s">
        <v>641</v>
      </c>
      <c r="K143" s="861" t="s">
        <v>649</v>
      </c>
      <c r="L143" s="861" t="s">
        <v>41</v>
      </c>
      <c r="M143" s="861" t="s">
        <v>653</v>
      </c>
      <c r="N143" s="861" t="s">
        <v>699</v>
      </c>
      <c r="O143" s="861"/>
      <c r="P143" s="861"/>
      <c r="Q143" s="861" t="s">
        <v>656</v>
      </c>
      <c r="R143" s="861" t="s">
        <v>652</v>
      </c>
      <c r="S143" s="861" t="s">
        <v>649</v>
      </c>
      <c r="T143" s="861"/>
      <c r="U143" s="861"/>
      <c r="V143" s="861" t="s">
        <v>641</v>
      </c>
      <c r="W143" s="861" t="s">
        <v>2450</v>
      </c>
      <c r="X143" s="863">
        <v>42919</v>
      </c>
      <c r="Y143" s="863">
        <v>44012</v>
      </c>
      <c r="Z143" s="864">
        <v>2020</v>
      </c>
      <c r="AA143" s="861" t="s">
        <v>663</v>
      </c>
      <c r="AB143" s="861" t="s">
        <v>697</v>
      </c>
      <c r="AC143" s="861" t="s">
        <v>663</v>
      </c>
      <c r="AD143" s="865"/>
      <c r="AE143" s="865"/>
      <c r="AF143" s="865"/>
      <c r="AG143" s="865"/>
      <c r="AH143" s="865"/>
      <c r="AI143" s="865"/>
      <c r="AJ143" s="865"/>
      <c r="AK143" s="865"/>
      <c r="AL143" s="865"/>
      <c r="AM143" s="865"/>
      <c r="AN143" s="865"/>
      <c r="AO143" s="865"/>
      <c r="AP143" s="865">
        <v>1552770.9200000002</v>
      </c>
      <c r="AQ143" s="865"/>
      <c r="AR143" s="865"/>
      <c r="AS143" s="865"/>
      <c r="AT143" s="865"/>
      <c r="AU143" s="865"/>
      <c r="AV143" s="865"/>
      <c r="AW143" s="865"/>
      <c r="AX143" s="865"/>
      <c r="AY143" s="865"/>
      <c r="AZ143" s="865"/>
      <c r="BA143" s="865"/>
      <c r="BB143" s="865"/>
      <c r="BC143" s="865">
        <v>109912.63800000001</v>
      </c>
      <c r="BD143" s="865">
        <v>73275.09199999999</v>
      </c>
      <c r="BE143" s="865">
        <v>123651.71775000001</v>
      </c>
      <c r="BF143" s="865">
        <v>2858.8735113125003</v>
      </c>
      <c r="BG143" s="865">
        <v>0</v>
      </c>
      <c r="BH143" s="865">
        <v>332519.3095764888</v>
      </c>
      <c r="BI143" s="865"/>
      <c r="BJ143" s="865"/>
      <c r="BK143" s="865"/>
      <c r="BL143" s="865"/>
      <c r="BM143" s="865"/>
      <c r="BN143" s="865"/>
      <c r="BO143" s="865"/>
      <c r="BP143" s="865"/>
      <c r="BQ143" s="865"/>
      <c r="BR143" s="865"/>
      <c r="BS143" s="865">
        <v>2194988.5508378013</v>
      </c>
      <c r="BT143" s="412">
        <f t="shared" si="5"/>
        <v>1552770.9200000002</v>
      </c>
      <c r="BU143" s="413">
        <v>0</v>
      </c>
      <c r="BV143" s="413">
        <v>0</v>
      </c>
      <c r="BW143" s="413">
        <v>0</v>
      </c>
      <c r="BX143" s="413">
        <v>0</v>
      </c>
      <c r="BY143" s="413">
        <v>0</v>
      </c>
      <c r="BZ143" s="413">
        <v>0</v>
      </c>
      <c r="CA143" s="413">
        <v>0</v>
      </c>
      <c r="CB143" s="413">
        <v>0</v>
      </c>
      <c r="CC143" s="413">
        <v>0</v>
      </c>
      <c r="CD143" s="413">
        <v>0</v>
      </c>
      <c r="CE143" s="413">
        <v>0</v>
      </c>
      <c r="CF143" s="413">
        <v>0</v>
      </c>
      <c r="CG143" s="413">
        <v>0</v>
      </c>
      <c r="CH143" s="413">
        <v>0</v>
      </c>
      <c r="CI143" s="413">
        <v>0</v>
      </c>
      <c r="CJ143" s="413">
        <v>0</v>
      </c>
      <c r="CK143" s="413">
        <v>0</v>
      </c>
      <c r="CL143" s="413">
        <v>0</v>
      </c>
      <c r="CM143" s="413">
        <v>1</v>
      </c>
      <c r="CN143" s="413">
        <v>0</v>
      </c>
      <c r="CO143" s="414">
        <f t="shared" si="4"/>
        <v>1</v>
      </c>
    </row>
    <row r="144" spans="1:93" s="415" customFormat="1" ht="25.5" customHeight="1" x14ac:dyDescent="0.25">
      <c r="A144" s="881" t="s">
        <v>2551</v>
      </c>
      <c r="B144" s="862" t="e">
        <v>#N/A</v>
      </c>
      <c r="C144" s="861" t="s">
        <v>2552</v>
      </c>
      <c r="D144" s="862"/>
      <c r="E144" s="861" t="s">
        <v>700</v>
      </c>
      <c r="F144" s="862"/>
      <c r="G144" s="861" t="s">
        <v>648</v>
      </c>
      <c r="H144" s="861" t="s">
        <v>654</v>
      </c>
      <c r="I144" s="861" t="s">
        <v>647</v>
      </c>
      <c r="J144" s="861" t="s">
        <v>641</v>
      </c>
      <c r="K144" s="861" t="s">
        <v>649</v>
      </c>
      <c r="L144" s="861" t="s">
        <v>41</v>
      </c>
      <c r="M144" s="861" t="s">
        <v>653</v>
      </c>
      <c r="N144" s="861" t="s">
        <v>699</v>
      </c>
      <c r="O144" s="861"/>
      <c r="P144" s="861"/>
      <c r="Q144" s="861" t="s">
        <v>650</v>
      </c>
      <c r="R144" s="861" t="s">
        <v>652</v>
      </c>
      <c r="S144" s="861" t="s">
        <v>649</v>
      </c>
      <c r="T144" s="861"/>
      <c r="U144" s="861"/>
      <c r="V144" s="861" t="s">
        <v>641</v>
      </c>
      <c r="W144" s="861" t="s">
        <v>2449</v>
      </c>
      <c r="X144" s="863">
        <v>42919</v>
      </c>
      <c r="Y144" s="863">
        <v>44113</v>
      </c>
      <c r="Z144" s="864">
        <v>2021</v>
      </c>
      <c r="AA144" s="861" t="s">
        <v>663</v>
      </c>
      <c r="AB144" s="861" t="s">
        <v>697</v>
      </c>
      <c r="AC144" s="861" t="s">
        <v>663</v>
      </c>
      <c r="AD144" s="865"/>
      <c r="AE144" s="865"/>
      <c r="AF144" s="865"/>
      <c r="AG144" s="865"/>
      <c r="AH144" s="865"/>
      <c r="AI144" s="865"/>
      <c r="AJ144" s="865"/>
      <c r="AK144" s="865"/>
      <c r="AL144" s="865"/>
      <c r="AM144" s="865"/>
      <c r="AN144" s="865"/>
      <c r="AO144" s="865"/>
      <c r="AP144" s="865">
        <v>514832.80000000028</v>
      </c>
      <c r="AQ144" s="865"/>
      <c r="AR144" s="865"/>
      <c r="AS144" s="865"/>
      <c r="AT144" s="865"/>
      <c r="AU144" s="865"/>
      <c r="AV144" s="865"/>
      <c r="AW144" s="865"/>
      <c r="AX144" s="865"/>
      <c r="AY144" s="865"/>
      <c r="AZ144" s="865"/>
      <c r="BA144" s="865"/>
      <c r="BB144" s="865"/>
      <c r="BC144" s="865">
        <v>53764.170000000027</v>
      </c>
      <c r="BD144" s="865">
        <v>35842.780000000021</v>
      </c>
      <c r="BE144" s="865">
        <v>60484.691250000033</v>
      </c>
      <c r="BF144" s="865">
        <v>1398.4284634375008</v>
      </c>
      <c r="BG144" s="865">
        <v>0</v>
      </c>
      <c r="BH144" s="865">
        <v>118963.15691210415</v>
      </c>
      <c r="BI144" s="865"/>
      <c r="BJ144" s="865"/>
      <c r="BK144" s="865"/>
      <c r="BL144" s="865"/>
      <c r="BM144" s="865"/>
      <c r="BN144" s="865"/>
      <c r="BO144" s="865"/>
      <c r="BP144" s="865"/>
      <c r="BQ144" s="865"/>
      <c r="BR144" s="865"/>
      <c r="BS144" s="865">
        <v>785286.0266255422</v>
      </c>
      <c r="BT144" s="412">
        <f t="shared" si="5"/>
        <v>514832.80000000028</v>
      </c>
      <c r="BU144" s="413">
        <v>0</v>
      </c>
      <c r="BV144" s="413">
        <v>0</v>
      </c>
      <c r="BW144" s="413">
        <v>0</v>
      </c>
      <c r="BX144" s="413">
        <v>0</v>
      </c>
      <c r="BY144" s="413">
        <v>0</v>
      </c>
      <c r="BZ144" s="413">
        <v>0</v>
      </c>
      <c r="CA144" s="413">
        <v>0</v>
      </c>
      <c r="CB144" s="413">
        <v>0</v>
      </c>
      <c r="CC144" s="413">
        <v>0</v>
      </c>
      <c r="CD144" s="413">
        <v>0</v>
      </c>
      <c r="CE144" s="413">
        <v>0</v>
      </c>
      <c r="CF144" s="413">
        <v>0</v>
      </c>
      <c r="CG144" s="413">
        <v>0</v>
      </c>
      <c r="CH144" s="413">
        <v>0</v>
      </c>
      <c r="CI144" s="413">
        <v>0</v>
      </c>
      <c r="CJ144" s="413">
        <v>0</v>
      </c>
      <c r="CK144" s="413">
        <v>0</v>
      </c>
      <c r="CL144" s="413">
        <v>0</v>
      </c>
      <c r="CM144" s="413">
        <v>1</v>
      </c>
      <c r="CN144" s="413">
        <v>0</v>
      </c>
      <c r="CO144" s="414">
        <f t="shared" si="4"/>
        <v>1</v>
      </c>
    </row>
    <row r="145" spans="1:93" s="415" customFormat="1" ht="38.25" x14ac:dyDescent="0.25">
      <c r="A145" s="881" t="s">
        <v>2553</v>
      </c>
      <c r="B145" s="862" t="e">
        <v>#N/A</v>
      </c>
      <c r="C145" s="861" t="s">
        <v>2554</v>
      </c>
      <c r="D145" s="862"/>
      <c r="E145" s="861" t="s">
        <v>700</v>
      </c>
      <c r="F145" s="862"/>
      <c r="G145" s="861" t="s">
        <v>648</v>
      </c>
      <c r="H145" s="861" t="s">
        <v>654</v>
      </c>
      <c r="I145" s="861" t="s">
        <v>647</v>
      </c>
      <c r="J145" s="861" t="s">
        <v>641</v>
      </c>
      <c r="K145" s="861" t="s">
        <v>649</v>
      </c>
      <c r="L145" s="861" t="s">
        <v>41</v>
      </c>
      <c r="M145" s="861" t="s">
        <v>653</v>
      </c>
      <c r="N145" s="861" t="s">
        <v>699</v>
      </c>
      <c r="O145" s="861"/>
      <c r="P145" s="861"/>
      <c r="Q145" s="861" t="s">
        <v>650</v>
      </c>
      <c r="R145" s="861" t="s">
        <v>652</v>
      </c>
      <c r="S145" s="861" t="s">
        <v>649</v>
      </c>
      <c r="T145" s="861"/>
      <c r="U145" s="861"/>
      <c r="V145" s="861" t="s">
        <v>641</v>
      </c>
      <c r="W145" s="861" t="s">
        <v>2449</v>
      </c>
      <c r="X145" s="863">
        <v>42919</v>
      </c>
      <c r="Y145" s="863">
        <v>44113</v>
      </c>
      <c r="Z145" s="864">
        <v>2021</v>
      </c>
      <c r="AA145" s="861"/>
      <c r="AB145" s="861" t="s">
        <v>697</v>
      </c>
      <c r="AC145" s="861" t="s">
        <v>663</v>
      </c>
      <c r="AD145" s="865"/>
      <c r="AE145" s="865"/>
      <c r="AF145" s="865"/>
      <c r="AG145" s="865"/>
      <c r="AH145" s="865"/>
      <c r="AI145" s="865"/>
      <c r="AJ145" s="865"/>
      <c r="AK145" s="865"/>
      <c r="AL145" s="865"/>
      <c r="AM145" s="865"/>
      <c r="AN145" s="865"/>
      <c r="AO145" s="865"/>
      <c r="AP145" s="865">
        <v>397094.90000000014</v>
      </c>
      <c r="AQ145" s="865"/>
      <c r="AR145" s="865"/>
      <c r="AS145" s="865"/>
      <c r="AT145" s="865"/>
      <c r="AU145" s="865"/>
      <c r="AV145" s="865"/>
      <c r="AW145" s="865"/>
      <c r="AX145" s="865"/>
      <c r="AY145" s="865"/>
      <c r="AZ145" s="865"/>
      <c r="BA145" s="865"/>
      <c r="BB145" s="865"/>
      <c r="BC145" s="865">
        <v>36326.235000000022</v>
      </c>
      <c r="BD145" s="865">
        <v>24217.49000000002</v>
      </c>
      <c r="BE145" s="865">
        <v>40867.014375000028</v>
      </c>
      <c r="BF145" s="865">
        <v>944.86050828125076</v>
      </c>
      <c r="BG145" s="865">
        <v>0</v>
      </c>
      <c r="BH145" s="865">
        <v>89170.296995804005</v>
      </c>
      <c r="BI145" s="865"/>
      <c r="BJ145" s="865"/>
      <c r="BK145" s="865"/>
      <c r="BL145" s="865"/>
      <c r="BM145" s="865"/>
      <c r="BN145" s="865"/>
      <c r="BO145" s="865"/>
      <c r="BP145" s="865"/>
      <c r="BQ145" s="865"/>
      <c r="BR145" s="865"/>
      <c r="BS145" s="865">
        <v>588620.79687908548</v>
      </c>
      <c r="BT145" s="412">
        <f t="shared" si="5"/>
        <v>397094.90000000014</v>
      </c>
      <c r="BU145" s="413">
        <v>0</v>
      </c>
      <c r="BV145" s="413">
        <v>0</v>
      </c>
      <c r="BW145" s="413">
        <v>0</v>
      </c>
      <c r="BX145" s="413">
        <v>0</v>
      </c>
      <c r="BY145" s="413">
        <v>0</v>
      </c>
      <c r="BZ145" s="413">
        <v>0</v>
      </c>
      <c r="CA145" s="413">
        <v>0</v>
      </c>
      <c r="CB145" s="413">
        <v>0</v>
      </c>
      <c r="CC145" s="413">
        <v>0</v>
      </c>
      <c r="CD145" s="413">
        <v>0</v>
      </c>
      <c r="CE145" s="413">
        <v>0</v>
      </c>
      <c r="CF145" s="413">
        <v>0</v>
      </c>
      <c r="CG145" s="413">
        <v>0</v>
      </c>
      <c r="CH145" s="413">
        <v>0</v>
      </c>
      <c r="CI145" s="413">
        <v>0</v>
      </c>
      <c r="CJ145" s="413">
        <v>0</v>
      </c>
      <c r="CK145" s="413">
        <v>0</v>
      </c>
      <c r="CL145" s="413">
        <v>0</v>
      </c>
      <c r="CM145" s="413">
        <v>1</v>
      </c>
      <c r="CN145" s="413">
        <v>0</v>
      </c>
      <c r="CO145" s="414">
        <f t="shared" si="4"/>
        <v>1</v>
      </c>
    </row>
    <row r="146" spans="1:93" s="415" customFormat="1" ht="25.5" x14ac:dyDescent="0.25">
      <c r="A146" s="881" t="s">
        <v>2411</v>
      </c>
      <c r="B146" s="862" t="s">
        <v>2579</v>
      </c>
      <c r="C146" s="861" t="s">
        <v>2555</v>
      </c>
      <c r="D146" s="862"/>
      <c r="E146" s="861" t="s">
        <v>655</v>
      </c>
      <c r="F146" s="862"/>
      <c r="G146" s="861" t="s">
        <v>722</v>
      </c>
      <c r="H146" s="861" t="s">
        <v>654</v>
      </c>
      <c r="I146" s="861" t="s">
        <v>647</v>
      </c>
      <c r="J146" s="861" t="s">
        <v>641</v>
      </c>
      <c r="K146" s="861" t="s">
        <v>649</v>
      </c>
      <c r="L146" s="861" t="s">
        <v>54</v>
      </c>
      <c r="M146" s="861" t="s">
        <v>653</v>
      </c>
      <c r="N146" s="861" t="s">
        <v>645</v>
      </c>
      <c r="O146" s="861"/>
      <c r="P146" s="861" t="s">
        <v>643</v>
      </c>
      <c r="Q146" s="861" t="s">
        <v>650</v>
      </c>
      <c r="R146" s="861" t="s">
        <v>652</v>
      </c>
      <c r="S146" s="861" t="s">
        <v>649</v>
      </c>
      <c r="T146" s="861"/>
      <c r="U146" s="861"/>
      <c r="V146" s="861" t="s">
        <v>641</v>
      </c>
      <c r="W146" s="861"/>
      <c r="X146" s="863">
        <v>43283</v>
      </c>
      <c r="Y146" s="863">
        <v>43644</v>
      </c>
      <c r="Z146" s="864">
        <v>2019</v>
      </c>
      <c r="AA146" s="861"/>
      <c r="AB146" s="861"/>
      <c r="AC146" s="861"/>
      <c r="AD146" s="865"/>
      <c r="AE146" s="865"/>
      <c r="AF146" s="865"/>
      <c r="AG146" s="865"/>
      <c r="AH146" s="865"/>
      <c r="AI146" s="865"/>
      <c r="AJ146" s="865"/>
      <c r="AK146" s="865"/>
      <c r="AL146" s="865"/>
      <c r="AM146" s="865"/>
      <c r="AN146" s="865"/>
      <c r="AO146" s="865">
        <v>24999.999999999996</v>
      </c>
      <c r="AP146" s="865"/>
      <c r="AQ146" s="865"/>
      <c r="AR146" s="865"/>
      <c r="AS146" s="865"/>
      <c r="AT146" s="865"/>
      <c r="AU146" s="865"/>
      <c r="AV146" s="865"/>
      <c r="AW146" s="865"/>
      <c r="AX146" s="865"/>
      <c r="AY146" s="865"/>
      <c r="AZ146" s="865"/>
      <c r="BA146" s="865"/>
      <c r="BB146" s="865"/>
      <c r="BC146" s="865"/>
      <c r="BD146" s="865"/>
      <c r="BE146" s="865"/>
      <c r="BF146" s="865"/>
      <c r="BG146" s="865"/>
      <c r="BH146" s="865">
        <v>101907.55214285718</v>
      </c>
      <c r="BI146" s="865"/>
      <c r="BJ146" s="865"/>
      <c r="BK146" s="865"/>
      <c r="BL146" s="865"/>
      <c r="BM146" s="865"/>
      <c r="BN146" s="865"/>
      <c r="BO146" s="865"/>
      <c r="BP146" s="865"/>
      <c r="BQ146" s="865"/>
      <c r="BR146" s="865"/>
      <c r="BS146" s="865">
        <v>126907.55214285718</v>
      </c>
      <c r="BT146" s="412">
        <f t="shared" si="5"/>
        <v>24999.999999999996</v>
      </c>
      <c r="BU146" s="413">
        <v>0</v>
      </c>
      <c r="BV146" s="413">
        <v>0</v>
      </c>
      <c r="BW146" s="413">
        <v>0</v>
      </c>
      <c r="BX146" s="413">
        <v>0</v>
      </c>
      <c r="BY146" s="413">
        <v>0</v>
      </c>
      <c r="BZ146" s="413">
        <v>0</v>
      </c>
      <c r="CA146" s="413">
        <v>0</v>
      </c>
      <c r="CB146" s="413">
        <v>0</v>
      </c>
      <c r="CC146" s="413">
        <v>0</v>
      </c>
      <c r="CD146" s="413">
        <v>0</v>
      </c>
      <c r="CE146" s="413">
        <v>0</v>
      </c>
      <c r="CF146" s="413">
        <v>0</v>
      </c>
      <c r="CG146" s="413">
        <v>0</v>
      </c>
      <c r="CH146" s="413">
        <v>0</v>
      </c>
      <c r="CI146" s="413">
        <v>0</v>
      </c>
      <c r="CJ146" s="413">
        <v>1</v>
      </c>
      <c r="CK146" s="413">
        <v>0</v>
      </c>
      <c r="CL146" s="413">
        <v>0</v>
      </c>
      <c r="CM146" s="413">
        <v>0</v>
      </c>
      <c r="CN146" s="413">
        <v>0</v>
      </c>
      <c r="CO146" s="414">
        <f t="shared" si="4"/>
        <v>1</v>
      </c>
    </row>
    <row r="147" spans="1:93" s="415" customFormat="1" ht="25.5" x14ac:dyDescent="0.25">
      <c r="A147" s="881" t="s">
        <v>2419</v>
      </c>
      <c r="B147" s="862" t="s">
        <v>2923</v>
      </c>
      <c r="C147" s="861" t="s">
        <v>2556</v>
      </c>
      <c r="D147" s="862"/>
      <c r="E147" s="861" t="s">
        <v>655</v>
      </c>
      <c r="F147" s="862"/>
      <c r="G147" s="861"/>
      <c r="H147" s="861" t="s">
        <v>654</v>
      </c>
      <c r="I147" s="861" t="s">
        <v>647</v>
      </c>
      <c r="J147" s="861" t="s">
        <v>641</v>
      </c>
      <c r="K147" s="861" t="s">
        <v>649</v>
      </c>
      <c r="L147" s="861" t="s">
        <v>40</v>
      </c>
      <c r="M147" s="861" t="s">
        <v>653</v>
      </c>
      <c r="N147" s="861" t="s">
        <v>668</v>
      </c>
      <c r="O147" s="861"/>
      <c r="P147" s="861" t="s">
        <v>643</v>
      </c>
      <c r="Q147" s="861" t="s">
        <v>656</v>
      </c>
      <c r="R147" s="861" t="s">
        <v>652</v>
      </c>
      <c r="S147" s="861"/>
      <c r="T147" s="861"/>
      <c r="U147" s="861"/>
      <c r="V147" s="861" t="s">
        <v>641</v>
      </c>
      <c r="W147" s="861" t="s">
        <v>640</v>
      </c>
      <c r="X147" s="863">
        <v>43286</v>
      </c>
      <c r="Y147" s="863">
        <v>45104</v>
      </c>
      <c r="Z147" s="864">
        <v>2023</v>
      </c>
      <c r="AA147" s="861"/>
      <c r="AB147" s="861"/>
      <c r="AC147" s="861"/>
      <c r="AD147" s="865"/>
      <c r="AE147" s="865"/>
      <c r="AF147" s="865"/>
      <c r="AG147" s="865">
        <v>1459312.3068159986</v>
      </c>
      <c r="AH147" s="865"/>
      <c r="AI147" s="865"/>
      <c r="AJ147" s="865"/>
      <c r="AK147" s="865"/>
      <c r="AL147" s="865"/>
      <c r="AM147" s="865"/>
      <c r="AN147" s="865"/>
      <c r="AO147" s="865"/>
      <c r="AP147" s="865"/>
      <c r="AQ147" s="865"/>
      <c r="AR147" s="865"/>
      <c r="AS147" s="865"/>
      <c r="AT147" s="865"/>
      <c r="AU147" s="865"/>
      <c r="AV147" s="865"/>
      <c r="AW147" s="865"/>
      <c r="AX147" s="865"/>
      <c r="AY147" s="865"/>
      <c r="AZ147" s="865"/>
      <c r="BA147" s="865"/>
      <c r="BB147" s="865"/>
      <c r="BC147" s="865">
        <v>129194.63797739999</v>
      </c>
      <c r="BD147" s="865">
        <v>86129.758651600001</v>
      </c>
      <c r="BE147" s="865">
        <v>145343.96772457499</v>
      </c>
      <c r="BF147" s="865">
        <v>5004.9468457163312</v>
      </c>
      <c r="BG147" s="865">
        <v>82112.199584999995</v>
      </c>
      <c r="BH147" s="865">
        <v>475672.37946597242</v>
      </c>
      <c r="BI147" s="865"/>
      <c r="BJ147" s="865"/>
      <c r="BK147" s="865"/>
      <c r="BL147" s="865"/>
      <c r="BM147" s="865"/>
      <c r="BN147" s="865"/>
      <c r="BO147" s="865"/>
      <c r="BP147" s="865"/>
      <c r="BQ147" s="865"/>
      <c r="BR147" s="865"/>
      <c r="BS147" s="865">
        <v>2382770.1970662628</v>
      </c>
      <c r="BT147" s="412">
        <f t="shared" si="5"/>
        <v>1459312.3068159986</v>
      </c>
      <c r="BU147" s="413">
        <v>0</v>
      </c>
      <c r="BV147" s="413">
        <v>0</v>
      </c>
      <c r="BW147" s="413">
        <v>0</v>
      </c>
      <c r="BX147" s="413">
        <v>0</v>
      </c>
      <c r="BY147" s="413">
        <v>0</v>
      </c>
      <c r="BZ147" s="413">
        <v>0</v>
      </c>
      <c r="CA147" s="413">
        <v>0</v>
      </c>
      <c r="CB147" s="413">
        <v>0</v>
      </c>
      <c r="CC147" s="413">
        <v>0</v>
      </c>
      <c r="CD147" s="413">
        <v>1</v>
      </c>
      <c r="CE147" s="413">
        <v>0</v>
      </c>
      <c r="CF147" s="413">
        <v>0</v>
      </c>
      <c r="CG147" s="413">
        <v>0</v>
      </c>
      <c r="CH147" s="413">
        <v>0</v>
      </c>
      <c r="CI147" s="413">
        <v>0</v>
      </c>
      <c r="CJ147" s="413">
        <v>0</v>
      </c>
      <c r="CK147" s="413">
        <v>0</v>
      </c>
      <c r="CL147" s="413">
        <v>0</v>
      </c>
      <c r="CM147" s="413">
        <v>0</v>
      </c>
      <c r="CN147" s="413">
        <v>0</v>
      </c>
      <c r="CO147" s="414">
        <f t="shared" si="4"/>
        <v>1</v>
      </c>
    </row>
    <row r="148" spans="1:93" s="415" customFormat="1" ht="25.5" x14ac:dyDescent="0.25">
      <c r="A148" s="881" t="s">
        <v>2425</v>
      </c>
      <c r="B148" s="862" t="s">
        <v>2924</v>
      </c>
      <c r="C148" s="861" t="s">
        <v>2699</v>
      </c>
      <c r="D148" s="862"/>
      <c r="E148" s="861"/>
      <c r="F148" s="862"/>
      <c r="G148" s="861"/>
      <c r="H148" s="861" t="s">
        <v>654</v>
      </c>
      <c r="I148" s="861" t="s">
        <v>647</v>
      </c>
      <c r="J148" s="861" t="s">
        <v>641</v>
      </c>
      <c r="K148" s="861"/>
      <c r="L148" s="861" t="s">
        <v>28</v>
      </c>
      <c r="M148" s="861" t="s">
        <v>653</v>
      </c>
      <c r="N148" s="861" t="s">
        <v>645</v>
      </c>
      <c r="O148" s="861"/>
      <c r="P148" s="861"/>
      <c r="Q148" s="861" t="s">
        <v>656</v>
      </c>
      <c r="R148" s="861" t="s">
        <v>652</v>
      </c>
      <c r="S148" s="861"/>
      <c r="T148" s="861"/>
      <c r="U148" s="861"/>
      <c r="V148" s="861" t="s">
        <v>685</v>
      </c>
      <c r="W148" s="861" t="s">
        <v>677</v>
      </c>
      <c r="X148" s="863">
        <v>43801</v>
      </c>
      <c r="Y148" s="863">
        <v>44812</v>
      </c>
      <c r="Z148" s="864">
        <v>2020</v>
      </c>
      <c r="AA148" s="861"/>
      <c r="AB148" s="861"/>
      <c r="AC148" s="861"/>
      <c r="AD148" s="865"/>
      <c r="AE148" s="865"/>
      <c r="AF148" s="865"/>
      <c r="AG148" s="865"/>
      <c r="AH148" s="865"/>
      <c r="AI148" s="865"/>
      <c r="AJ148" s="865"/>
      <c r="AK148" s="865">
        <v>57749.999992500008</v>
      </c>
      <c r="AL148" s="865"/>
      <c r="AM148" s="865"/>
      <c r="AN148" s="865"/>
      <c r="AO148" s="865"/>
      <c r="AP148" s="865"/>
      <c r="AQ148" s="865"/>
      <c r="AR148" s="865">
        <v>813417.13170000026</v>
      </c>
      <c r="AS148" s="865">
        <v>1127857.0494199998</v>
      </c>
      <c r="AT148" s="865"/>
      <c r="AU148" s="865"/>
      <c r="AV148" s="865"/>
      <c r="AW148" s="865"/>
      <c r="AX148" s="865"/>
      <c r="AY148" s="865"/>
      <c r="AZ148" s="865"/>
      <c r="BA148" s="865"/>
      <c r="BB148" s="865"/>
      <c r="BC148" s="865">
        <v>299853.62716687482</v>
      </c>
      <c r="BD148" s="865">
        <v>199902.41811124992</v>
      </c>
      <c r="BE148" s="865">
        <v>337335.33056273428</v>
      </c>
      <c r="BF148" s="865">
        <v>7799.3177816217376</v>
      </c>
      <c r="BG148" s="865">
        <v>0</v>
      </c>
      <c r="BH148" s="865">
        <v>726812.12063684769</v>
      </c>
      <c r="BI148" s="865"/>
      <c r="BJ148" s="865"/>
      <c r="BK148" s="865"/>
      <c r="BL148" s="865"/>
      <c r="BM148" s="865"/>
      <c r="BN148" s="865"/>
      <c r="BO148" s="865"/>
      <c r="BP148" s="865"/>
      <c r="BQ148" s="865"/>
      <c r="BR148" s="865"/>
      <c r="BS148" s="865">
        <v>3570726.9953718279</v>
      </c>
      <c r="BT148" s="412">
        <f t="shared" si="5"/>
        <v>1999024.1811125001</v>
      </c>
      <c r="BU148" s="413">
        <v>0</v>
      </c>
      <c r="BV148" s="413">
        <v>0.56420380507469547</v>
      </c>
      <c r="BW148" s="413">
        <v>0.40690709966665639</v>
      </c>
      <c r="BX148" s="413">
        <v>0</v>
      </c>
      <c r="BY148" s="413">
        <v>0</v>
      </c>
      <c r="BZ148" s="413">
        <v>0</v>
      </c>
      <c r="CA148" s="413">
        <v>0</v>
      </c>
      <c r="CB148" s="413">
        <v>0</v>
      </c>
      <c r="CC148" s="413">
        <v>0</v>
      </c>
      <c r="CD148" s="413">
        <v>0</v>
      </c>
      <c r="CE148" s="413">
        <v>0</v>
      </c>
      <c r="CF148" s="413">
        <v>0</v>
      </c>
      <c r="CG148" s="413">
        <v>2.8889095258648089E-2</v>
      </c>
      <c r="CH148" s="413">
        <v>0</v>
      </c>
      <c r="CI148" s="413">
        <v>0</v>
      </c>
      <c r="CJ148" s="413">
        <v>0</v>
      </c>
      <c r="CK148" s="413">
        <v>0</v>
      </c>
      <c r="CL148" s="413">
        <v>0</v>
      </c>
      <c r="CM148" s="413">
        <v>0</v>
      </c>
      <c r="CN148" s="413">
        <v>0</v>
      </c>
      <c r="CO148" s="414">
        <f t="shared" si="4"/>
        <v>1</v>
      </c>
    </row>
    <row r="149" spans="1:93" s="415" customFormat="1" ht="25.5" x14ac:dyDescent="0.25">
      <c r="A149" s="881" t="s">
        <v>2429</v>
      </c>
      <c r="B149" s="862" t="s">
        <v>2925</v>
      </c>
      <c r="C149" s="861" t="s">
        <v>2557</v>
      </c>
      <c r="D149" s="862"/>
      <c r="E149" s="861"/>
      <c r="F149" s="862"/>
      <c r="G149" s="861"/>
      <c r="H149" s="861" t="s">
        <v>654</v>
      </c>
      <c r="I149" s="861" t="s">
        <v>647</v>
      </c>
      <c r="J149" s="861" t="s">
        <v>641</v>
      </c>
      <c r="K149" s="861" t="s">
        <v>649</v>
      </c>
      <c r="L149" s="861" t="s">
        <v>41</v>
      </c>
      <c r="M149" s="861" t="s">
        <v>653</v>
      </c>
      <c r="N149" s="861" t="s">
        <v>668</v>
      </c>
      <c r="O149" s="861"/>
      <c r="P149" s="861"/>
      <c r="Q149" s="861" t="s">
        <v>656</v>
      </c>
      <c r="R149" s="861" t="s">
        <v>652</v>
      </c>
      <c r="S149" s="861"/>
      <c r="T149" s="861"/>
      <c r="U149" s="861"/>
      <c r="V149" s="861" t="s">
        <v>641</v>
      </c>
      <c r="W149" s="861" t="s">
        <v>640</v>
      </c>
      <c r="X149" s="863">
        <v>44013</v>
      </c>
      <c r="Y149" s="863">
        <v>44742</v>
      </c>
      <c r="Z149" s="864">
        <v>2022</v>
      </c>
      <c r="AA149" s="861" t="s">
        <v>663</v>
      </c>
      <c r="AB149" s="861"/>
      <c r="AC149" s="861"/>
      <c r="AD149" s="865"/>
      <c r="AE149" s="865"/>
      <c r="AF149" s="865"/>
      <c r="AG149" s="865">
        <v>14160</v>
      </c>
      <c r="AH149" s="865"/>
      <c r="AI149" s="865">
        <v>60000</v>
      </c>
      <c r="AJ149" s="865"/>
      <c r="AK149" s="865"/>
      <c r="AL149" s="865">
        <v>3131051.0000000005</v>
      </c>
      <c r="AM149" s="865"/>
      <c r="AN149" s="865"/>
      <c r="AO149" s="865"/>
      <c r="AP149" s="865"/>
      <c r="AQ149" s="865"/>
      <c r="AR149" s="865"/>
      <c r="AS149" s="865"/>
      <c r="AT149" s="865"/>
      <c r="AU149" s="865"/>
      <c r="AV149" s="865"/>
      <c r="AW149" s="865"/>
      <c r="AX149" s="865"/>
      <c r="AY149" s="865"/>
      <c r="AZ149" s="865"/>
      <c r="BA149" s="865"/>
      <c r="BB149" s="865"/>
      <c r="BC149" s="865">
        <v>37181.649999999994</v>
      </c>
      <c r="BD149" s="865"/>
      <c r="BE149" s="865">
        <v>21923.00774999999</v>
      </c>
      <c r="BF149" s="865">
        <v>8976.8680588124989</v>
      </c>
      <c r="BG149" s="865">
        <v>0</v>
      </c>
      <c r="BH149" s="865">
        <v>991292.30005938467</v>
      </c>
      <c r="BI149" s="865"/>
      <c r="BJ149" s="865"/>
      <c r="BK149" s="865"/>
      <c r="BL149" s="865"/>
      <c r="BM149" s="865"/>
      <c r="BN149" s="865"/>
      <c r="BO149" s="865"/>
      <c r="BP149" s="865"/>
      <c r="BQ149" s="865"/>
      <c r="BR149" s="865"/>
      <c r="BS149" s="865">
        <v>4264584.8258681977</v>
      </c>
      <c r="BT149" s="412">
        <f t="shared" si="5"/>
        <v>3205211.0000000005</v>
      </c>
      <c r="BU149" s="413">
        <v>0</v>
      </c>
      <c r="BV149" s="413">
        <v>0</v>
      </c>
      <c r="BW149" s="413">
        <v>0</v>
      </c>
      <c r="BX149" s="413">
        <v>0</v>
      </c>
      <c r="BY149" s="413">
        <v>0</v>
      </c>
      <c r="BZ149" s="413">
        <v>0</v>
      </c>
      <c r="CA149" s="413">
        <v>0</v>
      </c>
      <c r="CB149" s="413">
        <v>0</v>
      </c>
      <c r="CC149" s="413">
        <v>0</v>
      </c>
      <c r="CD149" s="413">
        <v>4.4178058792385269E-3</v>
      </c>
      <c r="CE149" s="413">
        <v>0</v>
      </c>
      <c r="CF149" s="413">
        <v>1.8719516437451386E-2</v>
      </c>
      <c r="CG149" s="413">
        <v>0</v>
      </c>
      <c r="CH149" s="413">
        <v>0</v>
      </c>
      <c r="CI149" s="413">
        <v>0.97686267768331014</v>
      </c>
      <c r="CJ149" s="413">
        <v>0</v>
      </c>
      <c r="CK149" s="413">
        <v>0</v>
      </c>
      <c r="CL149" s="413">
        <v>0</v>
      </c>
      <c r="CM149" s="413">
        <v>0</v>
      </c>
      <c r="CN149" s="413">
        <v>0</v>
      </c>
      <c r="CO149" s="414">
        <f t="shared" si="4"/>
        <v>1</v>
      </c>
    </row>
    <row r="150" spans="1:93" s="415" customFormat="1" ht="25.5" x14ac:dyDescent="0.25">
      <c r="A150" s="881" t="s">
        <v>2608</v>
      </c>
      <c r="B150" s="862" t="e">
        <v>#N/A</v>
      </c>
      <c r="C150" s="861" t="s">
        <v>2658</v>
      </c>
      <c r="D150" s="862"/>
      <c r="E150" s="861" t="s">
        <v>655</v>
      </c>
      <c r="F150" s="862"/>
      <c r="G150" s="861"/>
      <c r="H150" s="861" t="s">
        <v>654</v>
      </c>
      <c r="I150" s="861" t="s">
        <v>647</v>
      </c>
      <c r="J150" s="861" t="s">
        <v>641</v>
      </c>
      <c r="K150" s="861" t="s">
        <v>649</v>
      </c>
      <c r="L150" s="861" t="s">
        <v>54</v>
      </c>
      <c r="M150" s="861" t="s">
        <v>653</v>
      </c>
      <c r="N150" s="861" t="s">
        <v>645</v>
      </c>
      <c r="O150" s="861"/>
      <c r="P150" s="861"/>
      <c r="Q150" s="861" t="s">
        <v>650</v>
      </c>
      <c r="R150" s="861" t="s">
        <v>652</v>
      </c>
      <c r="S150" s="861" t="s">
        <v>649</v>
      </c>
      <c r="T150" s="861"/>
      <c r="U150" s="861"/>
      <c r="V150" s="861" t="s">
        <v>641</v>
      </c>
      <c r="W150" s="861"/>
      <c r="X150" s="863">
        <v>43132</v>
      </c>
      <c r="Y150" s="863">
        <v>43641</v>
      </c>
      <c r="Z150" s="864">
        <v>2019</v>
      </c>
      <c r="AA150" s="861"/>
      <c r="AB150" s="861"/>
      <c r="AC150" s="861"/>
      <c r="AD150" s="865"/>
      <c r="AE150" s="865"/>
      <c r="AF150" s="865"/>
      <c r="AG150" s="865">
        <v>14159.999999999989</v>
      </c>
      <c r="AH150" s="865"/>
      <c r="AI150" s="865"/>
      <c r="AJ150" s="865"/>
      <c r="AK150" s="865"/>
      <c r="AL150" s="865">
        <v>185999.99999999988</v>
      </c>
      <c r="AM150" s="865"/>
      <c r="AN150" s="865">
        <v>14999.999999999989</v>
      </c>
      <c r="AO150" s="865"/>
      <c r="AP150" s="865"/>
      <c r="AQ150" s="865"/>
      <c r="AR150" s="865"/>
      <c r="AS150" s="865"/>
      <c r="AT150" s="865"/>
      <c r="AU150" s="865"/>
      <c r="AV150" s="865"/>
      <c r="AW150" s="865"/>
      <c r="AX150" s="865"/>
      <c r="AY150" s="865"/>
      <c r="AZ150" s="865"/>
      <c r="BA150" s="865"/>
      <c r="BB150" s="865"/>
      <c r="BC150" s="865">
        <v>32273.999999999975</v>
      </c>
      <c r="BD150" s="865">
        <v>21515.999999999985</v>
      </c>
      <c r="BE150" s="865">
        <v>36308.249999999978</v>
      </c>
      <c r="BF150" s="865">
        <v>839.46018749999939</v>
      </c>
      <c r="BG150" s="865">
        <v>0</v>
      </c>
      <c r="BH150" s="865">
        <v>92699.415277496839</v>
      </c>
      <c r="BI150" s="865"/>
      <c r="BJ150" s="865"/>
      <c r="BK150" s="865"/>
      <c r="BL150" s="865"/>
      <c r="BM150" s="865"/>
      <c r="BN150" s="865"/>
      <c r="BO150" s="865"/>
      <c r="BP150" s="865"/>
      <c r="BQ150" s="865"/>
      <c r="BR150" s="865"/>
      <c r="BS150" s="865">
        <v>398797.12546499661</v>
      </c>
      <c r="BT150" s="412">
        <f t="shared" si="5"/>
        <v>215159.99999999988</v>
      </c>
      <c r="BU150" s="413">
        <v>0</v>
      </c>
      <c r="BV150" s="413">
        <v>0</v>
      </c>
      <c r="BW150" s="413">
        <v>0</v>
      </c>
      <c r="BX150" s="413">
        <v>0</v>
      </c>
      <c r="BY150" s="413">
        <v>0</v>
      </c>
      <c r="BZ150" s="413">
        <v>0</v>
      </c>
      <c r="CA150" s="413">
        <v>0</v>
      </c>
      <c r="CB150" s="413">
        <v>0</v>
      </c>
      <c r="CC150" s="413">
        <v>0</v>
      </c>
      <c r="CD150" s="413">
        <v>6.5811489124372541E-2</v>
      </c>
      <c r="CE150" s="413">
        <v>0</v>
      </c>
      <c r="CF150" s="413">
        <v>0</v>
      </c>
      <c r="CG150" s="413">
        <v>0</v>
      </c>
      <c r="CH150" s="413">
        <v>0</v>
      </c>
      <c r="CI150" s="413">
        <v>0.86447295036252081</v>
      </c>
      <c r="CJ150" s="413">
        <v>0</v>
      </c>
      <c r="CK150" s="413">
        <v>6.9715560513106511E-2</v>
      </c>
      <c r="CL150" s="413">
        <v>0</v>
      </c>
      <c r="CM150" s="413">
        <v>0</v>
      </c>
      <c r="CN150" s="413">
        <v>0</v>
      </c>
      <c r="CO150" s="414">
        <f t="shared" ref="CO150:CO213" si="6">SUM(BU150:CN150)</f>
        <v>0.99999999999999978</v>
      </c>
    </row>
    <row r="151" spans="1:93" s="415" customFormat="1" ht="25.5" x14ac:dyDescent="0.25">
      <c r="A151" s="881" t="s">
        <v>2635</v>
      </c>
      <c r="B151" s="862" t="e">
        <v>#N/A</v>
      </c>
      <c r="C151" s="861" t="s">
        <v>2660</v>
      </c>
      <c r="D151" s="862"/>
      <c r="E151" s="861" t="s">
        <v>655</v>
      </c>
      <c r="F151" s="862"/>
      <c r="G151" s="861"/>
      <c r="H151" s="861" t="s">
        <v>654</v>
      </c>
      <c r="I151" s="861" t="s">
        <v>647</v>
      </c>
      <c r="J151" s="861" t="s">
        <v>641</v>
      </c>
      <c r="K151" s="861" t="s">
        <v>649</v>
      </c>
      <c r="L151" s="861" t="s">
        <v>41</v>
      </c>
      <c r="M151" s="861" t="s">
        <v>653</v>
      </c>
      <c r="N151" s="861" t="s">
        <v>668</v>
      </c>
      <c r="O151" s="861"/>
      <c r="P151" s="861" t="s">
        <v>643</v>
      </c>
      <c r="Q151" s="861" t="s">
        <v>656</v>
      </c>
      <c r="R151" s="861" t="s">
        <v>652</v>
      </c>
      <c r="S151" s="861"/>
      <c r="T151" s="861"/>
      <c r="U151" s="861"/>
      <c r="V151" s="861" t="s">
        <v>641</v>
      </c>
      <c r="W151" s="861"/>
      <c r="X151" s="863">
        <v>44013</v>
      </c>
      <c r="Y151" s="863">
        <v>44964</v>
      </c>
      <c r="Z151" s="864">
        <v>2023</v>
      </c>
      <c r="AA151" s="861" t="s">
        <v>663</v>
      </c>
      <c r="AB151" s="861"/>
      <c r="AC151" s="861"/>
      <c r="AD151" s="865"/>
      <c r="AE151" s="865"/>
      <c r="AF151" s="865"/>
      <c r="AG151" s="865"/>
      <c r="AH151" s="865"/>
      <c r="AI151" s="865"/>
      <c r="AJ151" s="865"/>
      <c r="AK151" s="865"/>
      <c r="AL151" s="865">
        <v>443549.63996349915</v>
      </c>
      <c r="AM151" s="865"/>
      <c r="AN151" s="865"/>
      <c r="AO151" s="865"/>
      <c r="AP151" s="865"/>
      <c r="AQ151" s="865"/>
      <c r="AR151" s="865">
        <v>143999.99927999976</v>
      </c>
      <c r="AS151" s="865"/>
      <c r="AT151" s="865"/>
      <c r="AU151" s="865"/>
      <c r="AV151" s="865"/>
      <c r="AW151" s="865"/>
      <c r="AX151" s="865"/>
      <c r="AY151" s="865"/>
      <c r="AZ151" s="865"/>
      <c r="BA151" s="865"/>
      <c r="BB151" s="865"/>
      <c r="BC151" s="865">
        <v>88132.44588652486</v>
      </c>
      <c r="BD151" s="865">
        <v>58754.963924349919</v>
      </c>
      <c r="BE151" s="865">
        <v>99149.001622340467</v>
      </c>
      <c r="BF151" s="865">
        <v>2292.3616393609645</v>
      </c>
      <c r="BG151" s="865">
        <v>60965.009922149904</v>
      </c>
      <c r="BH151" s="865">
        <v>271602.36117423815</v>
      </c>
      <c r="BI151" s="865"/>
      <c r="BJ151" s="865"/>
      <c r="BK151" s="865"/>
      <c r="BL151" s="865"/>
      <c r="BM151" s="865"/>
      <c r="BN151" s="865"/>
      <c r="BO151" s="865"/>
      <c r="BP151" s="865"/>
      <c r="BQ151" s="865"/>
      <c r="BR151" s="865"/>
      <c r="BS151" s="865">
        <v>1168445.7834124633</v>
      </c>
      <c r="BT151" s="412">
        <f t="shared" ref="BT151:BT214" si="7">SUM(AD151:BB151)</f>
        <v>587549.63924349891</v>
      </c>
      <c r="BU151" s="413">
        <v>0</v>
      </c>
      <c r="BV151" s="413">
        <v>0</v>
      </c>
      <c r="BW151" s="413">
        <v>0.24508567389371105</v>
      </c>
      <c r="BX151" s="413">
        <v>0</v>
      </c>
      <c r="BY151" s="413">
        <v>0</v>
      </c>
      <c r="BZ151" s="413">
        <v>0</v>
      </c>
      <c r="CA151" s="413">
        <v>0</v>
      </c>
      <c r="CB151" s="413">
        <v>0</v>
      </c>
      <c r="CC151" s="413">
        <v>0</v>
      </c>
      <c r="CD151" s="413">
        <v>0</v>
      </c>
      <c r="CE151" s="413">
        <v>0</v>
      </c>
      <c r="CF151" s="413">
        <v>0</v>
      </c>
      <c r="CG151" s="413">
        <v>0</v>
      </c>
      <c r="CH151" s="413">
        <v>0</v>
      </c>
      <c r="CI151" s="413">
        <v>0.75491432610628895</v>
      </c>
      <c r="CJ151" s="413">
        <v>0</v>
      </c>
      <c r="CK151" s="413">
        <v>0</v>
      </c>
      <c r="CL151" s="413">
        <v>0</v>
      </c>
      <c r="CM151" s="413">
        <v>0</v>
      </c>
      <c r="CN151" s="413">
        <v>0</v>
      </c>
      <c r="CO151" s="414">
        <f t="shared" si="6"/>
        <v>1</v>
      </c>
    </row>
    <row r="152" spans="1:93" s="415" customFormat="1" ht="25.5" x14ac:dyDescent="0.25">
      <c r="A152" s="881" t="s">
        <v>2639</v>
      </c>
      <c r="B152" s="862" t="e">
        <v>#N/A</v>
      </c>
      <c r="C152" s="871" t="s">
        <v>2662</v>
      </c>
      <c r="D152" s="862"/>
      <c r="E152" s="861" t="s">
        <v>655</v>
      </c>
      <c r="F152" s="862"/>
      <c r="G152" s="861"/>
      <c r="H152" s="861" t="s">
        <v>654</v>
      </c>
      <c r="I152" s="861" t="s">
        <v>647</v>
      </c>
      <c r="J152" s="861" t="s">
        <v>671</v>
      </c>
      <c r="K152" s="861" t="s">
        <v>649</v>
      </c>
      <c r="L152" s="861" t="s">
        <v>40</v>
      </c>
      <c r="M152" s="861" t="s">
        <v>653</v>
      </c>
      <c r="N152" s="861" t="s">
        <v>645</v>
      </c>
      <c r="O152" s="861"/>
      <c r="P152" s="861" t="s">
        <v>643</v>
      </c>
      <c r="Q152" s="861" t="s">
        <v>656</v>
      </c>
      <c r="R152" s="861" t="s">
        <v>652</v>
      </c>
      <c r="S152" s="861" t="s">
        <v>649</v>
      </c>
      <c r="T152" s="861"/>
      <c r="U152" s="861"/>
      <c r="V152" s="861" t="s">
        <v>641</v>
      </c>
      <c r="W152" s="861"/>
      <c r="X152" s="863">
        <v>43283</v>
      </c>
      <c r="Y152" s="863">
        <v>45085</v>
      </c>
      <c r="Z152" s="864">
        <v>2023</v>
      </c>
      <c r="AA152" s="861" t="s">
        <v>663</v>
      </c>
      <c r="AB152" s="861"/>
      <c r="AC152" s="861"/>
      <c r="AD152" s="865"/>
      <c r="AE152" s="865"/>
      <c r="AF152" s="865"/>
      <c r="AG152" s="865"/>
      <c r="AH152" s="865"/>
      <c r="AI152" s="865"/>
      <c r="AJ152" s="865"/>
      <c r="AK152" s="865"/>
      <c r="AL152" s="872">
        <v>340000</v>
      </c>
      <c r="AM152" s="865"/>
      <c r="AN152" s="865"/>
      <c r="AO152" s="865"/>
      <c r="AP152" s="865"/>
      <c r="AQ152" s="865"/>
      <c r="AR152" s="865"/>
      <c r="AS152" s="865"/>
      <c r="AT152" s="865"/>
      <c r="AU152" s="865"/>
      <c r="AV152" s="865"/>
      <c r="AW152" s="872">
        <v>0</v>
      </c>
      <c r="AX152" s="865"/>
      <c r="AY152" s="865"/>
      <c r="AZ152" s="865"/>
      <c r="BA152" s="865"/>
      <c r="BB152" s="865"/>
      <c r="BC152" s="865"/>
      <c r="BD152" s="865"/>
      <c r="BE152" s="865"/>
      <c r="BF152" s="865"/>
      <c r="BG152" s="865"/>
      <c r="BH152" s="865">
        <v>1551163.0217142873</v>
      </c>
      <c r="BI152" s="865"/>
      <c r="BJ152" s="865"/>
      <c r="BK152" s="865"/>
      <c r="BL152" s="865"/>
      <c r="BM152" s="865"/>
      <c r="BN152" s="865"/>
      <c r="BO152" s="865"/>
      <c r="BP152" s="865"/>
      <c r="BQ152" s="865"/>
      <c r="BR152" s="865"/>
      <c r="BS152" s="865">
        <v>1891163.0217142873</v>
      </c>
      <c r="BT152" s="412">
        <f t="shared" si="7"/>
        <v>340000</v>
      </c>
      <c r="BU152" s="413">
        <v>0</v>
      </c>
      <c r="BV152" s="413">
        <v>0</v>
      </c>
      <c r="BW152" s="413">
        <v>0</v>
      </c>
      <c r="BX152" s="413">
        <v>0</v>
      </c>
      <c r="BY152" s="413">
        <v>0</v>
      </c>
      <c r="BZ152" s="413">
        <v>0</v>
      </c>
      <c r="CA152" s="413">
        <v>0</v>
      </c>
      <c r="CB152" s="413">
        <v>0</v>
      </c>
      <c r="CC152" s="413">
        <v>0</v>
      </c>
      <c r="CD152" s="413">
        <v>0</v>
      </c>
      <c r="CE152" s="413">
        <v>0</v>
      </c>
      <c r="CF152" s="413">
        <v>0</v>
      </c>
      <c r="CG152" s="413">
        <v>0</v>
      </c>
      <c r="CH152" s="413">
        <v>0</v>
      </c>
      <c r="CI152" s="413">
        <v>1</v>
      </c>
      <c r="CJ152" s="413">
        <v>0</v>
      </c>
      <c r="CK152" s="413">
        <v>0</v>
      </c>
      <c r="CL152" s="413">
        <v>0</v>
      </c>
      <c r="CM152" s="413">
        <v>0</v>
      </c>
      <c r="CN152" s="413">
        <v>0</v>
      </c>
      <c r="CO152" s="414">
        <f t="shared" si="6"/>
        <v>1</v>
      </c>
    </row>
    <row r="153" spans="1:93" s="415" customFormat="1" ht="25.5" x14ac:dyDescent="0.25">
      <c r="A153" s="881" t="s">
        <v>2645</v>
      </c>
      <c r="B153" s="862" t="e">
        <v>#N/A</v>
      </c>
      <c r="C153" s="861" t="s">
        <v>2790</v>
      </c>
      <c r="D153" s="862"/>
      <c r="E153" s="861" t="s">
        <v>655</v>
      </c>
      <c r="F153" s="862"/>
      <c r="G153" s="861"/>
      <c r="H153" s="861" t="s">
        <v>654</v>
      </c>
      <c r="I153" s="861" t="s">
        <v>647</v>
      </c>
      <c r="J153" s="861" t="s">
        <v>641</v>
      </c>
      <c r="K153" s="861" t="s">
        <v>649</v>
      </c>
      <c r="L153" s="861" t="s">
        <v>54</v>
      </c>
      <c r="M153" s="861" t="s">
        <v>653</v>
      </c>
      <c r="N153" s="861" t="s">
        <v>668</v>
      </c>
      <c r="O153" s="861"/>
      <c r="P153" s="861" t="s">
        <v>643</v>
      </c>
      <c r="Q153" s="861" t="s">
        <v>642</v>
      </c>
      <c r="R153" s="861" t="s">
        <v>652</v>
      </c>
      <c r="S153" s="861"/>
      <c r="T153" s="861"/>
      <c r="U153" s="861"/>
      <c r="V153" s="861" t="s">
        <v>641</v>
      </c>
      <c r="W153" s="861" t="s">
        <v>640</v>
      </c>
      <c r="X153" s="863">
        <v>43283</v>
      </c>
      <c r="Y153" s="863">
        <v>43769</v>
      </c>
      <c r="Z153" s="864">
        <v>2020</v>
      </c>
      <c r="AA153" s="861" t="s">
        <v>663</v>
      </c>
      <c r="AB153" s="861"/>
      <c r="AC153" s="861"/>
      <c r="AD153" s="865"/>
      <c r="AE153" s="865"/>
      <c r="AF153" s="865"/>
      <c r="AG153" s="865"/>
      <c r="AH153" s="865"/>
      <c r="AI153" s="865">
        <v>1910000.0000315001</v>
      </c>
      <c r="AJ153" s="865">
        <v>39000.000000000015</v>
      </c>
      <c r="AK153" s="865"/>
      <c r="AL153" s="865"/>
      <c r="AM153" s="865"/>
      <c r="AN153" s="865"/>
      <c r="AO153" s="865"/>
      <c r="AP153" s="865"/>
      <c r="AQ153" s="865"/>
      <c r="AR153" s="865"/>
      <c r="AS153" s="865"/>
      <c r="AT153" s="865"/>
      <c r="AU153" s="865"/>
      <c r="AV153" s="865"/>
      <c r="AW153" s="865"/>
      <c r="AX153" s="865"/>
      <c r="AY153" s="865"/>
      <c r="AZ153" s="865"/>
      <c r="BA153" s="865"/>
      <c r="BB153" s="865"/>
      <c r="BC153" s="865">
        <v>197999.99999735007</v>
      </c>
      <c r="BD153" s="865">
        <v>92000.000000900007</v>
      </c>
      <c r="BE153" s="865">
        <v>155250.00000151875</v>
      </c>
      <c r="BF153" s="865">
        <v>3589.4375000351147</v>
      </c>
      <c r="BG153" s="865">
        <v>178600.00000157504</v>
      </c>
      <c r="BH153" s="865">
        <v>1401151.1220774928</v>
      </c>
      <c r="BI153" s="865"/>
      <c r="BJ153" s="865"/>
      <c r="BK153" s="865"/>
      <c r="BL153" s="865"/>
      <c r="BM153" s="865"/>
      <c r="BN153" s="865"/>
      <c r="BO153" s="865"/>
      <c r="BP153" s="865"/>
      <c r="BQ153" s="865">
        <v>3140000.0000000014</v>
      </c>
      <c r="BR153" s="865"/>
      <c r="BS153" s="865">
        <v>7117590.5596103724</v>
      </c>
      <c r="BT153" s="412">
        <f t="shared" si="7"/>
        <v>1949000.0000315001</v>
      </c>
      <c r="BU153" s="413">
        <v>0</v>
      </c>
      <c r="BV153" s="413">
        <v>0</v>
      </c>
      <c r="BW153" s="413">
        <v>0</v>
      </c>
      <c r="BX153" s="413">
        <v>0</v>
      </c>
      <c r="BY153" s="413">
        <v>0</v>
      </c>
      <c r="BZ153" s="413">
        <v>0</v>
      </c>
      <c r="CA153" s="413">
        <v>0</v>
      </c>
      <c r="CB153" s="413">
        <v>0</v>
      </c>
      <c r="CC153" s="413">
        <v>0</v>
      </c>
      <c r="CD153" s="413">
        <v>0</v>
      </c>
      <c r="CE153" s="413">
        <v>2.0010261672329239E-2</v>
      </c>
      <c r="CF153" s="413">
        <v>0.97998973832767078</v>
      </c>
      <c r="CG153" s="413">
        <v>0</v>
      </c>
      <c r="CH153" s="413">
        <v>0</v>
      </c>
      <c r="CI153" s="413">
        <v>0</v>
      </c>
      <c r="CJ153" s="413">
        <v>0</v>
      </c>
      <c r="CK153" s="413">
        <v>0</v>
      </c>
      <c r="CL153" s="413">
        <v>0</v>
      </c>
      <c r="CM153" s="413">
        <v>0</v>
      </c>
      <c r="CN153" s="413">
        <v>0</v>
      </c>
      <c r="CO153" s="414">
        <f t="shared" si="6"/>
        <v>1</v>
      </c>
    </row>
    <row r="154" spans="1:93" s="415" customFormat="1" ht="25.5" x14ac:dyDescent="0.25">
      <c r="A154" s="881" t="s">
        <v>2650</v>
      </c>
      <c r="B154" s="862" t="e">
        <v>#N/A</v>
      </c>
      <c r="C154" s="861" t="s">
        <v>2791</v>
      </c>
      <c r="D154" s="862"/>
      <c r="E154" s="861" t="s">
        <v>655</v>
      </c>
      <c r="F154" s="862"/>
      <c r="G154" s="861"/>
      <c r="H154" s="861" t="s">
        <v>654</v>
      </c>
      <c r="I154" s="861" t="s">
        <v>647</v>
      </c>
      <c r="J154" s="861" t="s">
        <v>641</v>
      </c>
      <c r="K154" s="861" t="s">
        <v>649</v>
      </c>
      <c r="L154" s="861" t="s">
        <v>54</v>
      </c>
      <c r="M154" s="861" t="s">
        <v>653</v>
      </c>
      <c r="N154" s="861" t="s">
        <v>668</v>
      </c>
      <c r="O154" s="861"/>
      <c r="P154" s="861" t="s">
        <v>643</v>
      </c>
      <c r="Q154" s="861" t="s">
        <v>656</v>
      </c>
      <c r="R154" s="861" t="s">
        <v>652</v>
      </c>
      <c r="S154" s="861"/>
      <c r="T154" s="861"/>
      <c r="U154" s="861"/>
      <c r="V154" s="861" t="s">
        <v>641</v>
      </c>
      <c r="W154" s="861" t="s">
        <v>640</v>
      </c>
      <c r="X154" s="863">
        <v>43283</v>
      </c>
      <c r="Y154" s="863">
        <v>43831</v>
      </c>
      <c r="Z154" s="864">
        <v>2020</v>
      </c>
      <c r="AA154" s="861" t="s">
        <v>663</v>
      </c>
      <c r="AB154" s="861"/>
      <c r="AC154" s="861"/>
      <c r="AD154" s="865"/>
      <c r="AE154" s="865"/>
      <c r="AF154" s="865"/>
      <c r="AG154" s="865"/>
      <c r="AH154" s="865"/>
      <c r="AI154" s="865">
        <v>2166899.9999999991</v>
      </c>
      <c r="AJ154" s="865"/>
      <c r="AK154" s="865"/>
      <c r="AL154" s="865"/>
      <c r="AM154" s="865"/>
      <c r="AN154" s="865"/>
      <c r="AO154" s="865"/>
      <c r="AP154" s="865"/>
      <c r="AQ154" s="865"/>
      <c r="AR154" s="865"/>
      <c r="AS154" s="865"/>
      <c r="AT154" s="865"/>
      <c r="AU154" s="865"/>
      <c r="AV154" s="865"/>
      <c r="AW154" s="865"/>
      <c r="AX154" s="865"/>
      <c r="AY154" s="865"/>
      <c r="AZ154" s="865"/>
      <c r="BA154" s="865"/>
      <c r="BB154" s="865"/>
      <c r="BC154" s="865">
        <v>325034.99999999988</v>
      </c>
      <c r="BD154" s="865"/>
      <c r="BE154" s="865">
        <v>336411.22499999992</v>
      </c>
      <c r="BF154" s="865">
        <v>7777.9521187499977</v>
      </c>
      <c r="BG154" s="865">
        <v>216689.99999999994</v>
      </c>
      <c r="BH154" s="865">
        <v>316442.66705409903</v>
      </c>
      <c r="BI154" s="865"/>
      <c r="BJ154" s="865"/>
      <c r="BK154" s="865"/>
      <c r="BL154" s="865"/>
      <c r="BM154" s="865"/>
      <c r="BN154" s="865"/>
      <c r="BO154" s="865"/>
      <c r="BP154" s="865"/>
      <c r="BQ154" s="865"/>
      <c r="BR154" s="865"/>
      <c r="BS154" s="865">
        <v>3369256.8441728475</v>
      </c>
      <c r="BT154" s="412">
        <f t="shared" si="7"/>
        <v>2166899.9999999991</v>
      </c>
      <c r="BU154" s="413">
        <v>0</v>
      </c>
      <c r="BV154" s="413">
        <v>0</v>
      </c>
      <c r="BW154" s="413">
        <v>0</v>
      </c>
      <c r="BX154" s="413">
        <v>0</v>
      </c>
      <c r="BY154" s="413">
        <v>0</v>
      </c>
      <c r="BZ154" s="413">
        <v>0</v>
      </c>
      <c r="CA154" s="413">
        <v>0</v>
      </c>
      <c r="CB154" s="413">
        <v>0</v>
      </c>
      <c r="CC154" s="413">
        <v>0</v>
      </c>
      <c r="CD154" s="413">
        <v>0</v>
      </c>
      <c r="CE154" s="413">
        <v>0</v>
      </c>
      <c r="CF154" s="413">
        <v>1</v>
      </c>
      <c r="CG154" s="413">
        <v>0</v>
      </c>
      <c r="CH154" s="413">
        <v>0</v>
      </c>
      <c r="CI154" s="413">
        <v>0</v>
      </c>
      <c r="CJ154" s="413">
        <v>0</v>
      </c>
      <c r="CK154" s="413">
        <v>0</v>
      </c>
      <c r="CL154" s="413">
        <v>0</v>
      </c>
      <c r="CM154" s="413">
        <v>0</v>
      </c>
      <c r="CN154" s="413">
        <v>0</v>
      </c>
      <c r="CO154" s="414">
        <f t="shared" si="6"/>
        <v>1</v>
      </c>
    </row>
    <row r="155" spans="1:93" s="415" customFormat="1" ht="25.5" x14ac:dyDescent="0.25">
      <c r="A155" s="881" t="s">
        <v>2652</v>
      </c>
      <c r="B155" s="862" t="e">
        <v>#N/A</v>
      </c>
      <c r="C155" s="861" t="s">
        <v>2792</v>
      </c>
      <c r="D155" s="862"/>
      <c r="E155" s="861" t="s">
        <v>2663</v>
      </c>
      <c r="F155" s="862"/>
      <c r="G155" s="861"/>
      <c r="H155" s="861" t="s">
        <v>654</v>
      </c>
      <c r="I155" s="861" t="s">
        <v>647</v>
      </c>
      <c r="J155" s="861" t="s">
        <v>641</v>
      </c>
      <c r="K155" s="861" t="s">
        <v>649</v>
      </c>
      <c r="L155" s="861" t="s">
        <v>54</v>
      </c>
      <c r="M155" s="861" t="s">
        <v>653</v>
      </c>
      <c r="N155" s="861" t="s">
        <v>645</v>
      </c>
      <c r="O155" s="861"/>
      <c r="P155" s="861"/>
      <c r="Q155" s="861" t="s">
        <v>656</v>
      </c>
      <c r="R155" s="861" t="s">
        <v>652</v>
      </c>
      <c r="S155" s="861" t="s">
        <v>649</v>
      </c>
      <c r="T155" s="861"/>
      <c r="U155" s="861"/>
      <c r="V155" s="861" t="s">
        <v>641</v>
      </c>
      <c r="W155" s="861"/>
      <c r="X155" s="863">
        <v>44013</v>
      </c>
      <c r="Y155" s="863">
        <v>44964</v>
      </c>
      <c r="Z155" s="864">
        <v>2023</v>
      </c>
      <c r="AA155" s="861"/>
      <c r="AB155" s="861"/>
      <c r="AC155" s="861"/>
      <c r="AD155" s="865"/>
      <c r="AE155" s="865"/>
      <c r="AF155" s="865"/>
      <c r="AG155" s="865"/>
      <c r="AH155" s="865"/>
      <c r="AI155" s="865"/>
      <c r="AJ155" s="865"/>
      <c r="AK155" s="865"/>
      <c r="AL155" s="865"/>
      <c r="AM155" s="865"/>
      <c r="AN155" s="865"/>
      <c r="AO155" s="865"/>
      <c r="AP155" s="865"/>
      <c r="AQ155" s="865"/>
      <c r="AR155" s="865"/>
      <c r="AS155" s="865"/>
      <c r="AT155" s="865"/>
      <c r="AU155" s="865"/>
      <c r="AV155" s="865"/>
      <c r="AW155" s="865"/>
      <c r="AX155" s="865"/>
      <c r="AY155" s="865"/>
      <c r="AZ155" s="865"/>
      <c r="BA155" s="865"/>
      <c r="BB155" s="865"/>
      <c r="BC155" s="865"/>
      <c r="BD155" s="865"/>
      <c r="BE155" s="865"/>
      <c r="BF155" s="865"/>
      <c r="BG155" s="865"/>
      <c r="BH155" s="865"/>
      <c r="BI155" s="865"/>
      <c r="BJ155" s="865"/>
      <c r="BK155" s="865"/>
      <c r="BL155" s="865"/>
      <c r="BM155" s="865"/>
      <c r="BN155" s="865"/>
      <c r="BO155" s="865"/>
      <c r="BP155" s="865"/>
      <c r="BQ155" s="865"/>
      <c r="BR155" s="865"/>
      <c r="BS155" s="865"/>
      <c r="BT155" s="412">
        <f t="shared" si="7"/>
        <v>0</v>
      </c>
      <c r="BU155" s="413">
        <v>0</v>
      </c>
      <c r="BV155" s="413">
        <v>0</v>
      </c>
      <c r="BW155" s="413">
        <v>0</v>
      </c>
      <c r="BX155" s="413">
        <v>0</v>
      </c>
      <c r="BY155" s="413">
        <v>0</v>
      </c>
      <c r="BZ155" s="413">
        <v>0</v>
      </c>
      <c r="CA155" s="413">
        <v>0</v>
      </c>
      <c r="CB155" s="413">
        <v>0</v>
      </c>
      <c r="CC155" s="413">
        <v>0</v>
      </c>
      <c r="CD155" s="413">
        <v>0</v>
      </c>
      <c r="CE155" s="413">
        <v>0</v>
      </c>
      <c r="CF155" s="413">
        <v>0</v>
      </c>
      <c r="CG155" s="413">
        <v>0</v>
      </c>
      <c r="CH155" s="413">
        <v>0</v>
      </c>
      <c r="CI155" s="413">
        <v>0</v>
      </c>
      <c r="CJ155" s="413">
        <v>0</v>
      </c>
      <c r="CK155" s="413">
        <v>0</v>
      </c>
      <c r="CL155" s="413">
        <v>0</v>
      </c>
      <c r="CM155" s="413">
        <v>0</v>
      </c>
      <c r="CN155" s="413">
        <v>0</v>
      </c>
      <c r="CO155" s="414">
        <f t="shared" si="6"/>
        <v>0</v>
      </c>
    </row>
    <row r="156" spans="1:93" s="415" customFormat="1" ht="18" customHeight="1" x14ac:dyDescent="0.25">
      <c r="A156" s="881" t="s">
        <v>2654</v>
      </c>
      <c r="B156" s="862" t="e">
        <v>#N/A</v>
      </c>
      <c r="C156" s="861" t="s">
        <v>2664</v>
      </c>
      <c r="D156" s="862"/>
      <c r="E156" s="861" t="s">
        <v>655</v>
      </c>
      <c r="F156" s="862"/>
      <c r="G156" s="861"/>
      <c r="H156" s="861" t="s">
        <v>654</v>
      </c>
      <c r="I156" s="861" t="s">
        <v>647</v>
      </c>
      <c r="J156" s="861" t="s">
        <v>641</v>
      </c>
      <c r="K156" s="861" t="s">
        <v>649</v>
      </c>
      <c r="L156" s="861" t="s">
        <v>54</v>
      </c>
      <c r="M156" s="861" t="s">
        <v>653</v>
      </c>
      <c r="N156" s="861" t="s">
        <v>645</v>
      </c>
      <c r="O156" s="861"/>
      <c r="P156" s="861" t="s">
        <v>643</v>
      </c>
      <c r="Q156" s="861" t="s">
        <v>656</v>
      </c>
      <c r="R156" s="861" t="s">
        <v>652</v>
      </c>
      <c r="S156" s="861" t="s">
        <v>649</v>
      </c>
      <c r="T156" s="861"/>
      <c r="U156" s="861"/>
      <c r="V156" s="861" t="s">
        <v>641</v>
      </c>
      <c r="W156" s="861"/>
      <c r="X156" s="863">
        <v>43497</v>
      </c>
      <c r="Y156" s="863">
        <v>44448</v>
      </c>
      <c r="Z156" s="864">
        <v>2022</v>
      </c>
      <c r="AA156" s="861"/>
      <c r="AB156" s="861"/>
      <c r="AC156" s="861"/>
      <c r="AD156" s="865"/>
      <c r="AE156" s="865">
        <v>130004.99999479979</v>
      </c>
      <c r="AF156" s="865">
        <v>1500000.0000000002</v>
      </c>
      <c r="AG156" s="865">
        <v>785152.31970000011</v>
      </c>
      <c r="AH156" s="865"/>
      <c r="AI156" s="865">
        <v>403433.44693406997</v>
      </c>
      <c r="AJ156" s="865"/>
      <c r="AK156" s="865"/>
      <c r="AL156" s="865">
        <v>151800.00495264816</v>
      </c>
      <c r="AM156" s="865"/>
      <c r="AN156" s="865">
        <v>10000.000000000002</v>
      </c>
      <c r="AO156" s="865">
        <v>20000.000000000004</v>
      </c>
      <c r="AP156" s="865"/>
      <c r="AQ156" s="865"/>
      <c r="AR156" s="865">
        <v>29999.999981699999</v>
      </c>
      <c r="AS156" s="865"/>
      <c r="AT156" s="865"/>
      <c r="AU156" s="865"/>
      <c r="AV156" s="865"/>
      <c r="AW156" s="865"/>
      <c r="AX156" s="865"/>
      <c r="AY156" s="865"/>
      <c r="AZ156" s="865"/>
      <c r="BA156" s="865"/>
      <c r="BB156" s="865"/>
      <c r="BC156" s="865">
        <v>173564.91028222762</v>
      </c>
      <c r="BD156" s="865">
        <v>115709.94018815176</v>
      </c>
      <c r="BE156" s="865">
        <v>195260.52406750608</v>
      </c>
      <c r="BF156" s="865">
        <v>9446.0469018283584</v>
      </c>
      <c r="BG156" s="865">
        <v>0</v>
      </c>
      <c r="BH156" s="865">
        <v>620303.31413510477</v>
      </c>
      <c r="BI156" s="865"/>
      <c r="BJ156" s="865"/>
      <c r="BK156" s="865"/>
      <c r="BL156" s="865"/>
      <c r="BM156" s="865"/>
      <c r="BN156" s="865"/>
      <c r="BO156" s="865"/>
      <c r="BP156" s="865"/>
      <c r="BQ156" s="865"/>
      <c r="BR156" s="865"/>
      <c r="BS156" s="865">
        <v>4144675.5071380353</v>
      </c>
      <c r="BT156" s="412">
        <f t="shared" si="7"/>
        <v>3030390.7715632184</v>
      </c>
      <c r="BU156" s="413">
        <v>0</v>
      </c>
      <c r="BV156" s="413">
        <v>0</v>
      </c>
      <c r="BW156" s="413">
        <v>9.89971335156376E-3</v>
      </c>
      <c r="BX156" s="413">
        <v>0</v>
      </c>
      <c r="BY156" s="413">
        <v>0</v>
      </c>
      <c r="BZ156" s="413">
        <v>0</v>
      </c>
      <c r="CA156" s="413">
        <v>0</v>
      </c>
      <c r="CB156" s="413">
        <v>0</v>
      </c>
      <c r="CC156" s="413">
        <v>0</v>
      </c>
      <c r="CD156" s="413">
        <v>0.79697883928314239</v>
      </c>
      <c r="CE156" s="413">
        <v>0</v>
      </c>
      <c r="CF156" s="413">
        <v>0.13312918278389554</v>
      </c>
      <c r="CG156" s="413">
        <v>0</v>
      </c>
      <c r="CH156" s="413">
        <v>0</v>
      </c>
      <c r="CI156" s="413">
        <v>5.0092551223795655E-2</v>
      </c>
      <c r="CJ156" s="413">
        <v>6.5998089050683922E-3</v>
      </c>
      <c r="CK156" s="413">
        <v>3.2999044525341961E-3</v>
      </c>
      <c r="CL156" s="413">
        <v>0</v>
      </c>
      <c r="CM156" s="413">
        <v>0</v>
      </c>
      <c r="CN156" s="413">
        <v>0</v>
      </c>
      <c r="CO156" s="414">
        <f t="shared" si="6"/>
        <v>0.99999999999999989</v>
      </c>
    </row>
    <row r="157" spans="1:93" s="415" customFormat="1" ht="25.5" customHeight="1" x14ac:dyDescent="0.25">
      <c r="A157" s="881" t="s">
        <v>34</v>
      </c>
      <c r="B157" s="862" t="s">
        <v>1336</v>
      </c>
      <c r="C157" s="861" t="s">
        <v>976</v>
      </c>
      <c r="D157" s="862"/>
      <c r="E157" s="861" t="s">
        <v>975</v>
      </c>
      <c r="F157" s="862"/>
      <c r="G157" s="861" t="s">
        <v>691</v>
      </c>
      <c r="H157" s="861"/>
      <c r="I157" s="861" t="s">
        <v>647</v>
      </c>
      <c r="J157" s="861" t="s">
        <v>671</v>
      </c>
      <c r="K157" s="861" t="s">
        <v>663</v>
      </c>
      <c r="L157" s="861" t="s">
        <v>28</v>
      </c>
      <c r="M157" s="861" t="s">
        <v>646</v>
      </c>
      <c r="N157" s="861" t="s">
        <v>699</v>
      </c>
      <c r="O157" s="861" t="s">
        <v>974</v>
      </c>
      <c r="P157" s="861" t="s">
        <v>720</v>
      </c>
      <c r="Q157" s="861" t="s">
        <v>642</v>
      </c>
      <c r="R157" s="861" t="s">
        <v>652</v>
      </c>
      <c r="S157" s="861"/>
      <c r="T157" s="861"/>
      <c r="U157" s="861"/>
      <c r="V157" s="861" t="s">
        <v>641</v>
      </c>
      <c r="W157" s="861" t="s">
        <v>973</v>
      </c>
      <c r="X157" s="863">
        <v>41495</v>
      </c>
      <c r="Y157" s="863">
        <v>42570</v>
      </c>
      <c r="Z157" s="864"/>
      <c r="AA157" s="861"/>
      <c r="AB157" s="861"/>
      <c r="AC157" s="861"/>
      <c r="AD157" s="865">
        <v>13279999.999999994</v>
      </c>
      <c r="AE157" s="865">
        <v>66666.659999999974</v>
      </c>
      <c r="AF157" s="865"/>
      <c r="AG157" s="865">
        <v>1359510.6673341121</v>
      </c>
      <c r="AH157" s="865"/>
      <c r="AI157" s="865">
        <v>4881353.3686927902</v>
      </c>
      <c r="AJ157" s="865">
        <v>715601.43451195874</v>
      </c>
      <c r="AK157" s="865">
        <v>596749.99993739976</v>
      </c>
      <c r="AL157" s="865">
        <v>2239999.9998909994</v>
      </c>
      <c r="AM157" s="865"/>
      <c r="AN157" s="865"/>
      <c r="AO157" s="865">
        <v>1011689.9943755807</v>
      </c>
      <c r="AP157" s="865"/>
      <c r="AQ157" s="865"/>
      <c r="AR157" s="865">
        <v>825722.62546653347</v>
      </c>
      <c r="AS157" s="865">
        <v>1209563.5744675</v>
      </c>
      <c r="AT157" s="865">
        <v>160000.00000017561</v>
      </c>
      <c r="AU157" s="865"/>
      <c r="AV157" s="865"/>
      <c r="AW157" s="865"/>
      <c r="AX157" s="865"/>
      <c r="AY157" s="865"/>
      <c r="AZ157" s="865"/>
      <c r="BA157" s="865"/>
      <c r="BB157" s="865"/>
      <c r="BC157" s="865">
        <v>613896.02265610499</v>
      </c>
      <c r="BD157" s="865">
        <v>409264.01088895631</v>
      </c>
      <c r="BE157" s="865">
        <v>690633.02436657972</v>
      </c>
      <c r="BF157" s="865">
        <v>46256.791302118443</v>
      </c>
      <c r="BG157" s="865">
        <v>1053078.0552045805</v>
      </c>
      <c r="BH157" s="865"/>
      <c r="BI157" s="865"/>
      <c r="BJ157" s="865"/>
      <c r="BK157" s="865"/>
      <c r="BL157" s="865"/>
      <c r="BM157" s="865"/>
      <c r="BN157" s="865"/>
      <c r="BO157" s="865"/>
      <c r="BP157" s="865"/>
      <c r="BQ157" s="865">
        <v>2699999.9999999986</v>
      </c>
      <c r="BR157" s="865"/>
      <c r="BS157" s="865">
        <v>31859986.229095392</v>
      </c>
      <c r="BT157" s="412">
        <f t="shared" si="7"/>
        <v>26346858.324677039</v>
      </c>
      <c r="BU157" s="413">
        <v>0</v>
      </c>
      <c r="BV157" s="413">
        <v>4.5909214660884122E-2</v>
      </c>
      <c r="BW157" s="413">
        <v>3.1340458710143203E-2</v>
      </c>
      <c r="BX157" s="413">
        <v>0</v>
      </c>
      <c r="BY157" s="413">
        <v>0</v>
      </c>
      <c r="BZ157" s="413">
        <v>6.0728303173178009E-3</v>
      </c>
      <c r="CA157" s="413">
        <v>0</v>
      </c>
      <c r="CB157" s="413">
        <v>0</v>
      </c>
      <c r="CC157" s="413">
        <v>0</v>
      </c>
      <c r="CD157" s="413">
        <v>0.55817574703242634</v>
      </c>
      <c r="CE157" s="413">
        <v>2.7160788041347264E-2</v>
      </c>
      <c r="CF157" s="413">
        <v>0.18527269204316513</v>
      </c>
      <c r="CG157" s="413">
        <v>2.2649759321720371E-2</v>
      </c>
      <c r="CH157" s="413">
        <v>0</v>
      </c>
      <c r="CI157" s="413">
        <v>8.5019624438218755E-2</v>
      </c>
      <c r="CJ157" s="413">
        <v>3.8398885434777243E-2</v>
      </c>
      <c r="CK157" s="413">
        <v>0</v>
      </c>
      <c r="CL157" s="413">
        <v>0</v>
      </c>
      <c r="CM157" s="413">
        <v>0</v>
      </c>
      <c r="CN157" s="413">
        <v>0</v>
      </c>
      <c r="CO157" s="414">
        <f t="shared" si="6"/>
        <v>1.0000000000000002</v>
      </c>
    </row>
    <row r="158" spans="1:93" s="415" customFormat="1" ht="25.5" customHeight="1" x14ac:dyDescent="0.25">
      <c r="A158" s="881" t="s">
        <v>52</v>
      </c>
      <c r="B158" s="862" t="s">
        <v>1666</v>
      </c>
      <c r="C158" s="861" t="s">
        <v>972</v>
      </c>
      <c r="D158" s="862"/>
      <c r="E158" s="861" t="s">
        <v>779</v>
      </c>
      <c r="F158" s="862"/>
      <c r="G158" s="861" t="s">
        <v>691</v>
      </c>
      <c r="H158" s="861" t="s">
        <v>654</v>
      </c>
      <c r="I158" s="861" t="s">
        <v>647</v>
      </c>
      <c r="J158" s="861" t="s">
        <v>641</v>
      </c>
      <c r="K158" s="861" t="s">
        <v>649</v>
      </c>
      <c r="L158" s="861" t="s">
        <v>54</v>
      </c>
      <c r="M158" s="861" t="s">
        <v>646</v>
      </c>
      <c r="N158" s="861"/>
      <c r="O158" s="861"/>
      <c r="P158" s="861" t="s">
        <v>971</v>
      </c>
      <c r="Q158" s="861" t="s">
        <v>642</v>
      </c>
      <c r="R158" s="861" t="s">
        <v>652</v>
      </c>
      <c r="S158" s="861" t="s">
        <v>649</v>
      </c>
      <c r="T158" s="861"/>
      <c r="U158" s="861"/>
      <c r="V158" s="861" t="s">
        <v>641</v>
      </c>
      <c r="W158" s="861" t="s">
        <v>784</v>
      </c>
      <c r="X158" s="863">
        <v>42186</v>
      </c>
      <c r="Y158" s="863">
        <v>43004</v>
      </c>
      <c r="Z158" s="864">
        <v>2017</v>
      </c>
      <c r="AA158" s="861"/>
      <c r="AB158" s="861" t="s">
        <v>697</v>
      </c>
      <c r="AC158" s="861" t="s">
        <v>649</v>
      </c>
      <c r="AD158" s="865"/>
      <c r="AE158" s="865"/>
      <c r="AF158" s="865"/>
      <c r="AG158" s="865">
        <v>2414631.9942653365</v>
      </c>
      <c r="AH158" s="865"/>
      <c r="AI158" s="865">
        <v>254699.999993595</v>
      </c>
      <c r="AJ158" s="865"/>
      <c r="AK158" s="865"/>
      <c r="AL158" s="865">
        <v>1026400.0150206033</v>
      </c>
      <c r="AM158" s="865"/>
      <c r="AN158" s="865"/>
      <c r="AO158" s="865">
        <v>413226.00000009005</v>
      </c>
      <c r="AP158" s="865"/>
      <c r="AQ158" s="865"/>
      <c r="AR158" s="865">
        <v>200000</v>
      </c>
      <c r="AS158" s="865"/>
      <c r="AT158" s="865"/>
      <c r="AU158" s="865"/>
      <c r="AV158" s="865"/>
      <c r="AW158" s="865"/>
      <c r="AX158" s="865"/>
      <c r="AY158" s="865"/>
      <c r="AZ158" s="865"/>
      <c r="BA158" s="865"/>
      <c r="BB158" s="865"/>
      <c r="BC158" s="865">
        <v>400289.91261690034</v>
      </c>
      <c r="BD158" s="865">
        <v>266859.94174460031</v>
      </c>
      <c r="BE158" s="865">
        <v>450326.15169401292</v>
      </c>
      <c r="BF158" s="865">
        <v>14358.94354217163</v>
      </c>
      <c r="BG158" s="865">
        <v>431039.91261690052</v>
      </c>
      <c r="BH158" s="865">
        <v>141670.82178735523</v>
      </c>
      <c r="BI158" s="865">
        <v>113336.65742988417</v>
      </c>
      <c r="BJ158" s="865">
        <v>56668.328714942094</v>
      </c>
      <c r="BK158" s="865">
        <v>170004.98614482628</v>
      </c>
      <c r="BL158" s="865">
        <v>85002.493072413126</v>
      </c>
      <c r="BM158" s="865">
        <v>170004.98614482625</v>
      </c>
      <c r="BN158" s="865">
        <v>113336.65742988419</v>
      </c>
      <c r="BO158" s="865"/>
      <c r="BP158" s="865"/>
      <c r="BQ158" s="865"/>
      <c r="BR158" s="865"/>
      <c r="BS158" s="865">
        <v>6721857.8022183403</v>
      </c>
      <c r="BT158" s="412">
        <f t="shared" si="7"/>
        <v>4308958.0092796246</v>
      </c>
      <c r="BU158" s="413">
        <v>0</v>
      </c>
      <c r="BV158" s="413">
        <v>0</v>
      </c>
      <c r="BW158" s="413">
        <v>4.6414933626479263E-2</v>
      </c>
      <c r="BX158" s="413">
        <v>0</v>
      </c>
      <c r="BY158" s="413">
        <v>0</v>
      </c>
      <c r="BZ158" s="413">
        <v>0</v>
      </c>
      <c r="CA158" s="413">
        <v>0</v>
      </c>
      <c r="CB158" s="413">
        <v>0</v>
      </c>
      <c r="CC158" s="413">
        <v>0</v>
      </c>
      <c r="CD158" s="413">
        <v>0.56037491873099432</v>
      </c>
      <c r="CE158" s="413">
        <v>0</v>
      </c>
      <c r="CF158" s="413">
        <v>5.9109417971834909E-2</v>
      </c>
      <c r="CG158" s="413">
        <v>0</v>
      </c>
      <c r="CH158" s="413">
        <v>0</v>
      </c>
      <c r="CI158" s="413">
        <v>0.23820144285699313</v>
      </c>
      <c r="CJ158" s="413">
        <v>9.5899286813698498E-2</v>
      </c>
      <c r="CK158" s="413">
        <v>0</v>
      </c>
      <c r="CL158" s="413">
        <v>0</v>
      </c>
      <c r="CM158" s="413">
        <v>0</v>
      </c>
      <c r="CN158" s="413">
        <v>0</v>
      </c>
      <c r="CO158" s="414">
        <f t="shared" si="6"/>
        <v>1.0000000000000002</v>
      </c>
    </row>
    <row r="159" spans="1:93" s="415" customFormat="1" ht="25.5" customHeight="1" x14ac:dyDescent="0.25">
      <c r="A159" s="881" t="s">
        <v>61</v>
      </c>
      <c r="B159" s="862" t="s">
        <v>1672</v>
      </c>
      <c r="C159" s="861" t="s">
        <v>970</v>
      </c>
      <c r="D159" s="862"/>
      <c r="E159" s="861" t="s">
        <v>779</v>
      </c>
      <c r="F159" s="862"/>
      <c r="G159" s="861" t="s">
        <v>722</v>
      </c>
      <c r="H159" s="861" t="s">
        <v>654</v>
      </c>
      <c r="I159" s="861" t="s">
        <v>647</v>
      </c>
      <c r="J159" s="861" t="s">
        <v>641</v>
      </c>
      <c r="K159" s="861" t="s">
        <v>649</v>
      </c>
      <c r="L159" s="861" t="s">
        <v>40</v>
      </c>
      <c r="M159" s="861" t="s">
        <v>646</v>
      </c>
      <c r="N159" s="861"/>
      <c r="O159" s="861"/>
      <c r="P159" s="861" t="s">
        <v>643</v>
      </c>
      <c r="Q159" s="861" t="s">
        <v>642</v>
      </c>
      <c r="R159" s="861" t="s">
        <v>652</v>
      </c>
      <c r="S159" s="861" t="s">
        <v>649</v>
      </c>
      <c r="T159" s="861"/>
      <c r="U159" s="861"/>
      <c r="V159" s="861" t="s">
        <v>641</v>
      </c>
      <c r="W159" s="861" t="s">
        <v>729</v>
      </c>
      <c r="X159" s="863">
        <v>41944</v>
      </c>
      <c r="Y159" s="863">
        <v>43224</v>
      </c>
      <c r="Z159" s="864">
        <v>2018</v>
      </c>
      <c r="AA159" s="861" t="s">
        <v>663</v>
      </c>
      <c r="AB159" s="861" t="s">
        <v>697</v>
      </c>
      <c r="AC159" s="861" t="s">
        <v>649</v>
      </c>
      <c r="AD159" s="865"/>
      <c r="AE159" s="865"/>
      <c r="AF159" s="865"/>
      <c r="AG159" s="865"/>
      <c r="AH159" s="865"/>
      <c r="AI159" s="865">
        <v>259249.99999856993</v>
      </c>
      <c r="AJ159" s="865"/>
      <c r="AK159" s="865"/>
      <c r="AL159" s="865">
        <v>10663330.999993831</v>
      </c>
      <c r="AM159" s="865"/>
      <c r="AN159" s="865"/>
      <c r="AO159" s="865"/>
      <c r="AP159" s="865"/>
      <c r="AQ159" s="865"/>
      <c r="AR159" s="865"/>
      <c r="AS159" s="865"/>
      <c r="AT159" s="865"/>
      <c r="AU159" s="865"/>
      <c r="AV159" s="865"/>
      <c r="AW159" s="865"/>
      <c r="AX159" s="865"/>
      <c r="AY159" s="865"/>
      <c r="AZ159" s="865"/>
      <c r="BA159" s="865"/>
      <c r="BB159" s="865"/>
      <c r="BC159" s="865"/>
      <c r="BD159" s="865"/>
      <c r="BE159" s="865">
        <v>1474548.4349989742</v>
      </c>
      <c r="BF159" s="865">
        <v>34092.105946226286</v>
      </c>
      <c r="BG159" s="865"/>
      <c r="BH159" s="865">
        <v>310780.53852344013</v>
      </c>
      <c r="BI159" s="865">
        <v>248624.43081875204</v>
      </c>
      <c r="BJ159" s="865">
        <v>124312.21540937602</v>
      </c>
      <c r="BK159" s="865">
        <v>372936.64622812805</v>
      </c>
      <c r="BL159" s="865">
        <v>186468.32311406403</v>
      </c>
      <c r="BM159" s="865">
        <v>372936.646228128</v>
      </c>
      <c r="BN159" s="865">
        <v>248624.43081875207</v>
      </c>
      <c r="BO159" s="865"/>
      <c r="BP159" s="865"/>
      <c r="BQ159" s="865"/>
      <c r="BR159" s="865"/>
      <c r="BS159" s="865">
        <v>14295904.772078246</v>
      </c>
      <c r="BT159" s="412">
        <f t="shared" si="7"/>
        <v>10922580.9999924</v>
      </c>
      <c r="BU159" s="413">
        <v>0</v>
      </c>
      <c r="BV159" s="413">
        <v>0</v>
      </c>
      <c r="BW159" s="413">
        <v>0</v>
      </c>
      <c r="BX159" s="413">
        <v>0</v>
      </c>
      <c r="BY159" s="413">
        <v>0</v>
      </c>
      <c r="BZ159" s="413">
        <v>0</v>
      </c>
      <c r="CA159" s="413">
        <v>0</v>
      </c>
      <c r="CB159" s="413">
        <v>0</v>
      </c>
      <c r="CC159" s="413">
        <v>0</v>
      </c>
      <c r="CD159" s="413">
        <v>0</v>
      </c>
      <c r="CE159" s="413">
        <v>0</v>
      </c>
      <c r="CF159" s="413">
        <v>2.3735232542450389E-2</v>
      </c>
      <c r="CG159" s="413">
        <v>0</v>
      </c>
      <c r="CH159" s="413">
        <v>0</v>
      </c>
      <c r="CI159" s="413">
        <v>0.97626476745754964</v>
      </c>
      <c r="CJ159" s="413">
        <v>0</v>
      </c>
      <c r="CK159" s="413">
        <v>0</v>
      </c>
      <c r="CL159" s="413">
        <v>0</v>
      </c>
      <c r="CM159" s="413">
        <v>0</v>
      </c>
      <c r="CN159" s="413">
        <v>0</v>
      </c>
      <c r="CO159" s="414">
        <f t="shared" si="6"/>
        <v>1</v>
      </c>
    </row>
    <row r="160" spans="1:93" s="415" customFormat="1" ht="38.25" customHeight="1" x14ac:dyDescent="0.25">
      <c r="A160" s="881" t="s">
        <v>80</v>
      </c>
      <c r="B160" s="862" t="s">
        <v>1179</v>
      </c>
      <c r="C160" s="861" t="s">
        <v>969</v>
      </c>
      <c r="D160" s="862"/>
      <c r="E160" s="861" t="s">
        <v>692</v>
      </c>
      <c r="F160" s="862"/>
      <c r="G160" s="861"/>
      <c r="H160" s="861" t="s">
        <v>654</v>
      </c>
      <c r="I160" s="861" t="s">
        <v>647</v>
      </c>
      <c r="J160" s="861" t="s">
        <v>671</v>
      </c>
      <c r="K160" s="861" t="s">
        <v>649</v>
      </c>
      <c r="L160" s="861" t="s">
        <v>55</v>
      </c>
      <c r="M160" s="861" t="s">
        <v>646</v>
      </c>
      <c r="N160" s="861" t="s">
        <v>645</v>
      </c>
      <c r="O160" s="861"/>
      <c r="P160" s="861"/>
      <c r="Q160" s="861" t="s">
        <v>650</v>
      </c>
      <c r="R160" s="861" t="s">
        <v>652</v>
      </c>
      <c r="S160" s="861" t="s">
        <v>649</v>
      </c>
      <c r="T160" s="861"/>
      <c r="U160" s="861"/>
      <c r="V160" s="861" t="s">
        <v>683</v>
      </c>
      <c r="W160" s="861"/>
      <c r="X160" s="863">
        <v>42552</v>
      </c>
      <c r="Y160" s="863">
        <v>42899</v>
      </c>
      <c r="Z160" s="864">
        <v>2017</v>
      </c>
      <c r="AA160" s="861"/>
      <c r="AB160" s="861"/>
      <c r="AC160" s="861"/>
      <c r="AD160" s="865"/>
      <c r="AE160" s="865"/>
      <c r="AF160" s="865"/>
      <c r="AG160" s="865"/>
      <c r="AH160" s="865"/>
      <c r="AI160" s="865"/>
      <c r="AJ160" s="865"/>
      <c r="AK160" s="865"/>
      <c r="AL160" s="865"/>
      <c r="AM160" s="865"/>
      <c r="AN160" s="865"/>
      <c r="AO160" s="865"/>
      <c r="AP160" s="865"/>
      <c r="AQ160" s="865"/>
      <c r="AR160" s="865"/>
      <c r="AS160" s="865"/>
      <c r="AT160" s="865"/>
      <c r="AU160" s="865"/>
      <c r="AV160" s="865"/>
      <c r="AW160" s="865">
        <v>0</v>
      </c>
      <c r="AX160" s="865"/>
      <c r="AY160" s="865"/>
      <c r="AZ160" s="865"/>
      <c r="BA160" s="865"/>
      <c r="BB160" s="865"/>
      <c r="BC160" s="865"/>
      <c r="BD160" s="865"/>
      <c r="BE160" s="865"/>
      <c r="BF160" s="865"/>
      <c r="BG160" s="865"/>
      <c r="BH160" s="865">
        <v>800000.00000000047</v>
      </c>
      <c r="BI160" s="865"/>
      <c r="BJ160" s="865"/>
      <c r="BK160" s="865"/>
      <c r="BL160" s="865"/>
      <c r="BM160" s="865"/>
      <c r="BN160" s="865"/>
      <c r="BO160" s="865"/>
      <c r="BP160" s="865"/>
      <c r="BQ160" s="865"/>
      <c r="BR160" s="865"/>
      <c r="BS160" s="865">
        <v>800000.00000000047</v>
      </c>
      <c r="BT160" s="412">
        <f t="shared" si="7"/>
        <v>0</v>
      </c>
      <c r="BU160" s="413">
        <v>0</v>
      </c>
      <c r="BV160" s="413">
        <v>0</v>
      </c>
      <c r="BW160" s="413">
        <v>0</v>
      </c>
      <c r="BX160" s="413">
        <v>0</v>
      </c>
      <c r="BY160" s="413">
        <v>0</v>
      </c>
      <c r="BZ160" s="413">
        <v>0</v>
      </c>
      <c r="CA160" s="413">
        <v>0</v>
      </c>
      <c r="CB160" s="413">
        <v>0</v>
      </c>
      <c r="CC160" s="413">
        <v>0</v>
      </c>
      <c r="CD160" s="413">
        <v>0</v>
      </c>
      <c r="CE160" s="413">
        <v>0</v>
      </c>
      <c r="CF160" s="413">
        <v>0</v>
      </c>
      <c r="CG160" s="413">
        <v>0</v>
      </c>
      <c r="CH160" s="413">
        <v>0</v>
      </c>
      <c r="CI160" s="413">
        <v>0</v>
      </c>
      <c r="CJ160" s="413">
        <v>0</v>
      </c>
      <c r="CK160" s="413">
        <v>0</v>
      </c>
      <c r="CL160" s="413">
        <v>0</v>
      </c>
      <c r="CM160" s="413">
        <v>0</v>
      </c>
      <c r="CN160" s="413">
        <v>0</v>
      </c>
      <c r="CO160" s="414">
        <f t="shared" si="6"/>
        <v>0</v>
      </c>
    </row>
    <row r="161" spans="1:93" s="415" customFormat="1" ht="25.5" customHeight="1" x14ac:dyDescent="0.25">
      <c r="A161" s="881" t="s">
        <v>114</v>
      </c>
      <c r="B161" s="862" t="s">
        <v>1710</v>
      </c>
      <c r="C161" s="861" t="s">
        <v>968</v>
      </c>
      <c r="D161" s="862"/>
      <c r="E161" s="861"/>
      <c r="F161" s="862"/>
      <c r="G161" s="861" t="s">
        <v>804</v>
      </c>
      <c r="H161" s="861" t="s">
        <v>654</v>
      </c>
      <c r="I161" s="861" t="s">
        <v>647</v>
      </c>
      <c r="J161" s="861" t="s">
        <v>641</v>
      </c>
      <c r="K161" s="861" t="s">
        <v>649</v>
      </c>
      <c r="L161" s="861" t="s">
        <v>40</v>
      </c>
      <c r="M161" s="861" t="s">
        <v>646</v>
      </c>
      <c r="N161" s="861" t="s">
        <v>645</v>
      </c>
      <c r="O161" s="861" t="s">
        <v>967</v>
      </c>
      <c r="P161" s="861" t="s">
        <v>823</v>
      </c>
      <c r="Q161" s="861" t="s">
        <v>642</v>
      </c>
      <c r="R161" s="861" t="s">
        <v>652</v>
      </c>
      <c r="S161" s="861" t="s">
        <v>649</v>
      </c>
      <c r="T161" s="861"/>
      <c r="U161" s="861"/>
      <c r="V161" s="861" t="s">
        <v>641</v>
      </c>
      <c r="W161" s="861" t="s">
        <v>666</v>
      </c>
      <c r="X161" s="863">
        <v>40939</v>
      </c>
      <c r="Y161" s="863">
        <v>43837</v>
      </c>
      <c r="Z161" s="864">
        <v>2016</v>
      </c>
      <c r="AA161" s="861" t="s">
        <v>649</v>
      </c>
      <c r="AB161" s="861"/>
      <c r="AC161" s="861"/>
      <c r="AD161" s="865"/>
      <c r="AE161" s="865">
        <v>9644239.1999654267</v>
      </c>
      <c r="AF161" s="865">
        <v>59039.999999999898</v>
      </c>
      <c r="AG161" s="865">
        <v>8215206.9562455788</v>
      </c>
      <c r="AH161" s="865"/>
      <c r="AI161" s="865">
        <v>8794358.9375017509</v>
      </c>
      <c r="AJ161" s="865">
        <v>2166280.0000480805</v>
      </c>
      <c r="AK161" s="865">
        <v>638684.99992769887</v>
      </c>
      <c r="AL161" s="865">
        <v>12049555.185119845</v>
      </c>
      <c r="AM161" s="865"/>
      <c r="AN161" s="865">
        <v>2274599.9999999963</v>
      </c>
      <c r="AO161" s="865">
        <v>2593899.0988298729</v>
      </c>
      <c r="AP161" s="865"/>
      <c r="AQ161" s="865"/>
      <c r="AR161" s="865">
        <v>7763314.61143649</v>
      </c>
      <c r="AS161" s="865">
        <v>1149076.6316199985</v>
      </c>
      <c r="AT161" s="865"/>
      <c r="AU161" s="865">
        <v>64999.999999999884</v>
      </c>
      <c r="AV161" s="865"/>
      <c r="AW161" s="865"/>
      <c r="AX161" s="865"/>
      <c r="AY161" s="865"/>
      <c r="AZ161" s="865"/>
      <c r="BA161" s="865"/>
      <c r="BB161" s="865"/>
      <c r="BC161" s="865">
        <v>5794027.680918646</v>
      </c>
      <c r="BD161" s="865">
        <v>3971560.7206124305</v>
      </c>
      <c r="BE161" s="865">
        <v>6518281.1410334762</v>
      </c>
      <c r="BF161" s="865">
        <v>194723.4441989375</v>
      </c>
      <c r="BG161" s="865">
        <v>1908314.3232224071</v>
      </c>
      <c r="BH161" s="865">
        <v>10560318.999999983</v>
      </c>
      <c r="BI161" s="865">
        <v>5204172.9999999907</v>
      </c>
      <c r="BJ161" s="865"/>
      <c r="BK161" s="865">
        <v>1511377.9999999974</v>
      </c>
      <c r="BL161" s="865">
        <v>351635.99999999942</v>
      </c>
      <c r="BM161" s="865"/>
      <c r="BN161" s="865"/>
      <c r="BO161" s="865">
        <v>9279999.9999999851</v>
      </c>
      <c r="BP161" s="865">
        <v>2244799.9999999963</v>
      </c>
      <c r="BQ161" s="865"/>
      <c r="BR161" s="865">
        <v>2525133.9999999963</v>
      </c>
      <c r="BS161" s="865">
        <v>105477602.93068063</v>
      </c>
      <c r="BT161" s="412">
        <f t="shared" si="7"/>
        <v>55413255.620694734</v>
      </c>
      <c r="BU161" s="413">
        <v>0</v>
      </c>
      <c r="BV161" s="413">
        <v>2.0736493800065814E-2</v>
      </c>
      <c r="BW161" s="413">
        <v>0.14009851116809655</v>
      </c>
      <c r="BX161" s="413">
        <v>0</v>
      </c>
      <c r="BY161" s="413">
        <v>1.1730045324340205E-3</v>
      </c>
      <c r="BZ161" s="413">
        <v>0</v>
      </c>
      <c r="CA161" s="413">
        <v>0</v>
      </c>
      <c r="CB161" s="413">
        <v>0</v>
      </c>
      <c r="CC161" s="413">
        <v>0</v>
      </c>
      <c r="CD161" s="413">
        <v>0.32336100731679684</v>
      </c>
      <c r="CE161" s="413">
        <v>3.9093173208885737E-2</v>
      </c>
      <c r="CF161" s="413">
        <v>0.15870496759294167</v>
      </c>
      <c r="CG161" s="413">
        <v>1.1525852303274063E-2</v>
      </c>
      <c r="CH161" s="413">
        <v>0</v>
      </c>
      <c r="CI161" s="413">
        <v>0.21744896686091472</v>
      </c>
      <c r="CJ161" s="413">
        <v>4.6810083070830268E-2</v>
      </c>
      <c r="CK161" s="413">
        <v>4.104794014576036E-2</v>
      </c>
      <c r="CL161" s="413">
        <v>0</v>
      </c>
      <c r="CM161" s="413">
        <v>0</v>
      </c>
      <c r="CN161" s="413">
        <v>0</v>
      </c>
      <c r="CO161" s="414">
        <f t="shared" si="6"/>
        <v>1</v>
      </c>
    </row>
    <row r="162" spans="1:93" s="415" customFormat="1" ht="25.5" x14ac:dyDescent="0.25">
      <c r="A162" s="881" t="s">
        <v>124</v>
      </c>
      <c r="B162" s="862" t="s">
        <v>2233</v>
      </c>
      <c r="C162" s="861" t="s">
        <v>966</v>
      </c>
      <c r="D162" s="862"/>
      <c r="E162" s="861"/>
      <c r="F162" s="862"/>
      <c r="G162" s="861"/>
      <c r="H162" s="861" t="s">
        <v>654</v>
      </c>
      <c r="I162" s="861" t="s">
        <v>647</v>
      </c>
      <c r="J162" s="861" t="s">
        <v>671</v>
      </c>
      <c r="K162" s="861" t="s">
        <v>649</v>
      </c>
      <c r="L162" s="861" t="s">
        <v>55</v>
      </c>
      <c r="M162" s="861" t="s">
        <v>646</v>
      </c>
      <c r="N162" s="861" t="s">
        <v>680</v>
      </c>
      <c r="O162" s="861"/>
      <c r="P162" s="861" t="s">
        <v>643</v>
      </c>
      <c r="Q162" s="861" t="s">
        <v>650</v>
      </c>
      <c r="R162" s="861" t="s">
        <v>652</v>
      </c>
      <c r="S162" s="861" t="s">
        <v>649</v>
      </c>
      <c r="T162" s="861"/>
      <c r="U162" s="861"/>
      <c r="V162" s="861" t="s">
        <v>683</v>
      </c>
      <c r="W162" s="861" t="s">
        <v>684</v>
      </c>
      <c r="X162" s="863">
        <v>42430</v>
      </c>
      <c r="Y162" s="863">
        <v>43060</v>
      </c>
      <c r="Z162" s="864">
        <v>2017</v>
      </c>
      <c r="AA162" s="861" t="s">
        <v>676</v>
      </c>
      <c r="AB162" s="861"/>
      <c r="AC162" s="861"/>
      <c r="AD162" s="865"/>
      <c r="AE162" s="865"/>
      <c r="AF162" s="865"/>
      <c r="AG162" s="865"/>
      <c r="AH162" s="865"/>
      <c r="AI162" s="865"/>
      <c r="AJ162" s="865"/>
      <c r="AK162" s="865"/>
      <c r="AL162" s="865"/>
      <c r="AM162" s="865"/>
      <c r="AN162" s="865"/>
      <c r="AO162" s="865"/>
      <c r="AP162" s="865"/>
      <c r="AQ162" s="865"/>
      <c r="AR162" s="865"/>
      <c r="AS162" s="865"/>
      <c r="AT162" s="865"/>
      <c r="AU162" s="865"/>
      <c r="AV162" s="865"/>
      <c r="AW162" s="865"/>
      <c r="AX162" s="865"/>
      <c r="AY162" s="865"/>
      <c r="AZ162" s="865"/>
      <c r="BA162" s="865"/>
      <c r="BB162" s="865"/>
      <c r="BC162" s="865"/>
      <c r="BD162" s="865"/>
      <c r="BE162" s="865"/>
      <c r="BF162" s="865"/>
      <c r="BG162" s="865"/>
      <c r="BH162" s="865">
        <v>3431793.8881851747</v>
      </c>
      <c r="BI162" s="865"/>
      <c r="BJ162" s="865"/>
      <c r="BK162" s="865"/>
      <c r="BL162" s="865"/>
      <c r="BM162" s="865"/>
      <c r="BN162" s="865"/>
      <c r="BO162" s="865"/>
      <c r="BP162" s="865"/>
      <c r="BQ162" s="865"/>
      <c r="BR162" s="865"/>
      <c r="BS162" s="865">
        <v>3431793.8881851747</v>
      </c>
      <c r="BT162" s="412">
        <f t="shared" si="7"/>
        <v>0</v>
      </c>
      <c r="BU162" s="413">
        <v>0</v>
      </c>
      <c r="BV162" s="413">
        <v>0</v>
      </c>
      <c r="BW162" s="413">
        <v>0</v>
      </c>
      <c r="BX162" s="413">
        <v>1</v>
      </c>
      <c r="BY162" s="413">
        <v>0</v>
      </c>
      <c r="BZ162" s="413">
        <v>0</v>
      </c>
      <c r="CA162" s="413">
        <v>0</v>
      </c>
      <c r="CB162" s="413">
        <v>0</v>
      </c>
      <c r="CC162" s="413">
        <v>0</v>
      </c>
      <c r="CD162" s="413">
        <v>0</v>
      </c>
      <c r="CE162" s="413">
        <v>0</v>
      </c>
      <c r="CF162" s="413">
        <v>0</v>
      </c>
      <c r="CG162" s="413">
        <v>0</v>
      </c>
      <c r="CH162" s="413">
        <v>0</v>
      </c>
      <c r="CI162" s="413">
        <v>0</v>
      </c>
      <c r="CJ162" s="413">
        <v>0</v>
      </c>
      <c r="CK162" s="413">
        <v>0</v>
      </c>
      <c r="CL162" s="413">
        <v>0</v>
      </c>
      <c r="CM162" s="413">
        <v>0</v>
      </c>
      <c r="CN162" s="413">
        <v>0</v>
      </c>
      <c r="CO162" s="414">
        <f t="shared" si="6"/>
        <v>1</v>
      </c>
    </row>
    <row r="163" spans="1:93" s="415" customFormat="1" ht="25.5" customHeight="1" x14ac:dyDescent="0.25">
      <c r="A163" s="881" t="s">
        <v>139</v>
      </c>
      <c r="B163" s="862" t="s">
        <v>1314</v>
      </c>
      <c r="C163" s="861" t="s">
        <v>965</v>
      </c>
      <c r="D163" s="862"/>
      <c r="E163" s="861"/>
      <c r="F163" s="862"/>
      <c r="G163" s="861" t="s">
        <v>722</v>
      </c>
      <c r="H163" s="861" t="s">
        <v>654</v>
      </c>
      <c r="I163" s="861" t="s">
        <v>647</v>
      </c>
      <c r="J163" s="861" t="s">
        <v>671</v>
      </c>
      <c r="K163" s="861" t="s">
        <v>663</v>
      </c>
      <c r="L163" s="861" t="s">
        <v>107</v>
      </c>
      <c r="M163" s="861" t="s">
        <v>646</v>
      </c>
      <c r="N163" s="861" t="s">
        <v>680</v>
      </c>
      <c r="O163" s="861" t="s">
        <v>913</v>
      </c>
      <c r="P163" s="861" t="s">
        <v>823</v>
      </c>
      <c r="Q163" s="861" t="s">
        <v>650</v>
      </c>
      <c r="R163" s="861" t="s">
        <v>652</v>
      </c>
      <c r="S163" s="861" t="s">
        <v>649</v>
      </c>
      <c r="T163" s="861" t="s">
        <v>107</v>
      </c>
      <c r="U163" s="861" t="s">
        <v>689</v>
      </c>
      <c r="V163" s="861" t="s">
        <v>683</v>
      </c>
      <c r="W163" s="861" t="s">
        <v>666</v>
      </c>
      <c r="X163" s="863"/>
      <c r="Y163" s="863"/>
      <c r="Z163" s="864">
        <v>2016</v>
      </c>
      <c r="AA163" s="861" t="s">
        <v>663</v>
      </c>
      <c r="AB163" s="861" t="s">
        <v>675</v>
      </c>
      <c r="AC163" s="861" t="s">
        <v>663</v>
      </c>
      <c r="AD163" s="865"/>
      <c r="AE163" s="865"/>
      <c r="AF163" s="865"/>
      <c r="AG163" s="865"/>
      <c r="AH163" s="865"/>
      <c r="AI163" s="865"/>
      <c r="AJ163" s="865"/>
      <c r="AK163" s="865"/>
      <c r="AL163" s="865"/>
      <c r="AM163" s="865"/>
      <c r="AN163" s="865"/>
      <c r="AO163" s="865"/>
      <c r="AP163" s="865"/>
      <c r="AQ163" s="865"/>
      <c r="AR163" s="865"/>
      <c r="AS163" s="865"/>
      <c r="AT163" s="865"/>
      <c r="AU163" s="865"/>
      <c r="AV163" s="865"/>
      <c r="AW163" s="865"/>
      <c r="AX163" s="865"/>
      <c r="AY163" s="865"/>
      <c r="AZ163" s="865"/>
      <c r="BA163" s="865"/>
      <c r="BB163" s="865"/>
      <c r="BC163" s="865"/>
      <c r="BD163" s="865"/>
      <c r="BE163" s="865"/>
      <c r="BF163" s="865"/>
      <c r="BG163" s="865"/>
      <c r="BH163" s="865"/>
      <c r="BI163" s="865"/>
      <c r="BJ163" s="865"/>
      <c r="BK163" s="865"/>
      <c r="BL163" s="865"/>
      <c r="BM163" s="865"/>
      <c r="BN163" s="865"/>
      <c r="BO163" s="865"/>
      <c r="BP163" s="865"/>
      <c r="BQ163" s="865"/>
      <c r="BR163" s="865"/>
      <c r="BS163" s="865"/>
      <c r="BT163" s="412">
        <f t="shared" si="7"/>
        <v>0</v>
      </c>
      <c r="BU163" s="413">
        <v>0</v>
      </c>
      <c r="BV163" s="413">
        <v>0</v>
      </c>
      <c r="BW163" s="413">
        <v>0</v>
      </c>
      <c r="BX163" s="413">
        <v>0</v>
      </c>
      <c r="BY163" s="413">
        <v>0</v>
      </c>
      <c r="BZ163" s="413">
        <v>0</v>
      </c>
      <c r="CA163" s="413">
        <v>0</v>
      </c>
      <c r="CB163" s="413">
        <v>0</v>
      </c>
      <c r="CC163" s="413">
        <v>0</v>
      </c>
      <c r="CD163" s="413">
        <v>0</v>
      </c>
      <c r="CE163" s="413">
        <v>0</v>
      </c>
      <c r="CF163" s="413">
        <v>0</v>
      </c>
      <c r="CG163" s="413">
        <v>0</v>
      </c>
      <c r="CH163" s="413">
        <v>0</v>
      </c>
      <c r="CI163" s="413">
        <v>0</v>
      </c>
      <c r="CJ163" s="413">
        <v>0</v>
      </c>
      <c r="CK163" s="413">
        <v>0</v>
      </c>
      <c r="CL163" s="413">
        <v>0</v>
      </c>
      <c r="CM163" s="413">
        <v>0</v>
      </c>
      <c r="CN163" s="413">
        <v>0</v>
      </c>
      <c r="CO163" s="414">
        <f t="shared" si="6"/>
        <v>0</v>
      </c>
    </row>
    <row r="164" spans="1:93" s="415" customFormat="1" ht="25.5" customHeight="1" x14ac:dyDescent="0.25">
      <c r="A164" s="881" t="s">
        <v>143</v>
      </c>
      <c r="B164" s="862" t="s">
        <v>2356</v>
      </c>
      <c r="C164" s="861" t="s">
        <v>964</v>
      </c>
      <c r="D164" s="862"/>
      <c r="E164" s="861"/>
      <c r="F164" s="862"/>
      <c r="G164" s="861"/>
      <c r="H164" s="861" t="s">
        <v>654</v>
      </c>
      <c r="I164" s="861" t="s">
        <v>647</v>
      </c>
      <c r="J164" s="861" t="s">
        <v>641</v>
      </c>
      <c r="K164" s="861"/>
      <c r="L164" s="861" t="s">
        <v>107</v>
      </c>
      <c r="M164" s="861" t="s">
        <v>646</v>
      </c>
      <c r="N164" s="861" t="s">
        <v>645</v>
      </c>
      <c r="O164" s="861"/>
      <c r="P164" s="861"/>
      <c r="Q164" s="861" t="s">
        <v>650</v>
      </c>
      <c r="R164" s="861" t="s">
        <v>652</v>
      </c>
      <c r="S164" s="861" t="s">
        <v>649</v>
      </c>
      <c r="T164" s="861"/>
      <c r="U164" s="861"/>
      <c r="V164" s="861" t="s">
        <v>641</v>
      </c>
      <c r="W164" s="861" t="s">
        <v>666</v>
      </c>
      <c r="X164" s="863">
        <v>42552</v>
      </c>
      <c r="Y164" s="863">
        <v>43280</v>
      </c>
      <c r="Z164" s="864">
        <v>2018</v>
      </c>
      <c r="AA164" s="861"/>
      <c r="AB164" s="861"/>
      <c r="AC164" s="861"/>
      <c r="AD164" s="865"/>
      <c r="AE164" s="865"/>
      <c r="AF164" s="865"/>
      <c r="AG164" s="865">
        <v>32859.999999999985</v>
      </c>
      <c r="AH164" s="865"/>
      <c r="AI164" s="865"/>
      <c r="AJ164" s="865"/>
      <c r="AK164" s="865"/>
      <c r="AL164" s="865">
        <v>19999.999999999993</v>
      </c>
      <c r="AM164" s="865"/>
      <c r="AN164" s="865"/>
      <c r="AO164" s="865">
        <v>448498.60405907989</v>
      </c>
      <c r="AP164" s="865">
        <v>112276.00999999995</v>
      </c>
      <c r="AQ164" s="865"/>
      <c r="AR164" s="865"/>
      <c r="AS164" s="865"/>
      <c r="AT164" s="865"/>
      <c r="AU164" s="865"/>
      <c r="AV164" s="865"/>
      <c r="AW164" s="865"/>
      <c r="AX164" s="865"/>
      <c r="AY164" s="865"/>
      <c r="AZ164" s="865"/>
      <c r="BA164" s="865"/>
      <c r="BB164" s="865"/>
      <c r="BC164" s="865">
        <v>240845.1921088619</v>
      </c>
      <c r="BD164" s="865">
        <v>72563.461405907976</v>
      </c>
      <c r="BE164" s="865">
        <v>90704.326757384973</v>
      </c>
      <c r="BF164" s="865">
        <v>2798.8058844108959</v>
      </c>
      <c r="BG164" s="865">
        <v>0</v>
      </c>
      <c r="BH164" s="865">
        <v>303661.36236363382</v>
      </c>
      <c r="BI164" s="865"/>
      <c r="BJ164" s="865"/>
      <c r="BK164" s="865"/>
      <c r="BL164" s="865"/>
      <c r="BM164" s="865"/>
      <c r="BN164" s="865"/>
      <c r="BO164" s="865"/>
      <c r="BP164" s="865"/>
      <c r="BQ164" s="865"/>
      <c r="BR164" s="865"/>
      <c r="BS164" s="865">
        <v>1324207.7625792795</v>
      </c>
      <c r="BT164" s="412">
        <f t="shared" si="7"/>
        <v>613634.6140590799</v>
      </c>
      <c r="BU164" s="413">
        <v>0</v>
      </c>
      <c r="BV164" s="413">
        <v>0</v>
      </c>
      <c r="BW164" s="413">
        <v>0</v>
      </c>
      <c r="BX164" s="413">
        <v>0</v>
      </c>
      <c r="BY164" s="413">
        <v>0</v>
      </c>
      <c r="BZ164" s="413">
        <v>0</v>
      </c>
      <c r="CA164" s="413">
        <v>0</v>
      </c>
      <c r="CB164" s="413">
        <v>0</v>
      </c>
      <c r="CC164" s="413">
        <v>0</v>
      </c>
      <c r="CD164" s="413">
        <v>5.3549782308786563E-2</v>
      </c>
      <c r="CE164" s="413">
        <v>0</v>
      </c>
      <c r="CF164" s="413">
        <v>0</v>
      </c>
      <c r="CG164" s="413">
        <v>0</v>
      </c>
      <c r="CH164" s="413">
        <v>0</v>
      </c>
      <c r="CI164" s="413">
        <v>3.2592685519650985E-2</v>
      </c>
      <c r="CJ164" s="413">
        <v>0.73088869790500288</v>
      </c>
      <c r="CK164" s="413">
        <v>0</v>
      </c>
      <c r="CL164" s="413">
        <v>0</v>
      </c>
      <c r="CM164" s="413">
        <v>0.18296883426655944</v>
      </c>
      <c r="CN164" s="413">
        <v>0</v>
      </c>
      <c r="CO164" s="414">
        <f t="shared" si="6"/>
        <v>0.99999999999999978</v>
      </c>
    </row>
    <row r="165" spans="1:93" s="415" customFormat="1" ht="25.5" customHeight="1" x14ac:dyDescent="0.25">
      <c r="A165" s="881" t="s">
        <v>149</v>
      </c>
      <c r="B165" s="862" t="s">
        <v>1748</v>
      </c>
      <c r="C165" s="861" t="s">
        <v>963</v>
      </c>
      <c r="D165" s="862"/>
      <c r="E165" s="861" t="s">
        <v>962</v>
      </c>
      <c r="F165" s="862"/>
      <c r="G165" s="861" t="s">
        <v>648</v>
      </c>
      <c r="H165" s="861" t="s">
        <v>654</v>
      </c>
      <c r="I165" s="861" t="s">
        <v>647</v>
      </c>
      <c r="J165" s="861" t="s">
        <v>641</v>
      </c>
      <c r="K165" s="861" t="s">
        <v>649</v>
      </c>
      <c r="L165" s="861" t="s">
        <v>40</v>
      </c>
      <c r="M165" s="861" t="s">
        <v>646</v>
      </c>
      <c r="N165" s="861"/>
      <c r="O165" s="861"/>
      <c r="P165" s="861"/>
      <c r="Q165" s="861" t="s">
        <v>650</v>
      </c>
      <c r="R165" s="861" t="s">
        <v>652</v>
      </c>
      <c r="S165" s="861" t="s">
        <v>649</v>
      </c>
      <c r="T165" s="861"/>
      <c r="U165" s="861"/>
      <c r="V165" s="861" t="s">
        <v>59</v>
      </c>
      <c r="W165" s="861" t="s">
        <v>677</v>
      </c>
      <c r="X165" s="863">
        <v>41456</v>
      </c>
      <c r="Y165" s="863">
        <v>41831</v>
      </c>
      <c r="Z165" s="864">
        <v>2014</v>
      </c>
      <c r="AA165" s="861" t="s">
        <v>663</v>
      </c>
      <c r="AB165" s="861" t="s">
        <v>675</v>
      </c>
      <c r="AC165" s="861" t="s">
        <v>663</v>
      </c>
      <c r="AD165" s="865"/>
      <c r="AE165" s="865"/>
      <c r="AF165" s="865"/>
      <c r="AG165" s="865"/>
      <c r="AH165" s="865"/>
      <c r="AI165" s="865"/>
      <c r="AJ165" s="865"/>
      <c r="AK165" s="865"/>
      <c r="AL165" s="865"/>
      <c r="AM165" s="865"/>
      <c r="AN165" s="865"/>
      <c r="AO165" s="865"/>
      <c r="AP165" s="865"/>
      <c r="AQ165" s="865"/>
      <c r="AR165" s="865"/>
      <c r="AS165" s="865"/>
      <c r="AT165" s="865"/>
      <c r="AU165" s="865"/>
      <c r="AV165" s="865"/>
      <c r="AW165" s="865">
        <v>79999.999999999985</v>
      </c>
      <c r="AX165" s="865">
        <v>120000</v>
      </c>
      <c r="AY165" s="865"/>
      <c r="AZ165" s="865"/>
      <c r="BA165" s="865"/>
      <c r="BB165" s="865"/>
      <c r="BC165" s="865"/>
      <c r="BD165" s="865"/>
      <c r="BE165" s="865"/>
      <c r="BF165" s="865"/>
      <c r="BG165" s="865"/>
      <c r="BH165" s="865"/>
      <c r="BI165" s="865"/>
      <c r="BJ165" s="865"/>
      <c r="BK165" s="865"/>
      <c r="BL165" s="865"/>
      <c r="BM165" s="865"/>
      <c r="BN165" s="865"/>
      <c r="BO165" s="865"/>
      <c r="BP165" s="865"/>
      <c r="BQ165" s="865"/>
      <c r="BR165" s="865"/>
      <c r="BS165" s="865">
        <v>200000</v>
      </c>
      <c r="BT165" s="412">
        <f t="shared" si="7"/>
        <v>200000</v>
      </c>
      <c r="BU165" s="413">
        <v>0</v>
      </c>
      <c r="BV165" s="413">
        <v>0</v>
      </c>
      <c r="BW165" s="413">
        <v>0</v>
      </c>
      <c r="BX165" s="413">
        <v>1</v>
      </c>
      <c r="BY165" s="413">
        <v>0</v>
      </c>
      <c r="BZ165" s="413">
        <v>0</v>
      </c>
      <c r="CA165" s="413">
        <v>0</v>
      </c>
      <c r="CB165" s="413">
        <v>0</v>
      </c>
      <c r="CC165" s="413">
        <v>0</v>
      </c>
      <c r="CD165" s="413">
        <v>0</v>
      </c>
      <c r="CE165" s="413">
        <v>0</v>
      </c>
      <c r="CF165" s="413">
        <v>0</v>
      </c>
      <c r="CG165" s="413">
        <v>0</v>
      </c>
      <c r="CH165" s="413">
        <v>0</v>
      </c>
      <c r="CI165" s="413">
        <v>0</v>
      </c>
      <c r="CJ165" s="413">
        <v>0</v>
      </c>
      <c r="CK165" s="413">
        <v>0</v>
      </c>
      <c r="CL165" s="413">
        <v>0</v>
      </c>
      <c r="CM165" s="413">
        <v>0</v>
      </c>
      <c r="CN165" s="413">
        <v>0</v>
      </c>
      <c r="CO165" s="414">
        <f t="shared" si="6"/>
        <v>1</v>
      </c>
    </row>
    <row r="166" spans="1:93" s="415" customFormat="1" ht="25.5" customHeight="1" x14ac:dyDescent="0.25">
      <c r="A166" s="881" t="s">
        <v>151</v>
      </c>
      <c r="B166" s="862" t="s">
        <v>1750</v>
      </c>
      <c r="C166" s="861" t="s">
        <v>961</v>
      </c>
      <c r="D166" s="862"/>
      <c r="E166" s="861" t="s">
        <v>779</v>
      </c>
      <c r="F166" s="862"/>
      <c r="G166" s="861" t="s">
        <v>648</v>
      </c>
      <c r="H166" s="861" t="s">
        <v>654</v>
      </c>
      <c r="I166" s="861" t="s">
        <v>647</v>
      </c>
      <c r="J166" s="861" t="s">
        <v>671</v>
      </c>
      <c r="K166" s="861" t="s">
        <v>649</v>
      </c>
      <c r="L166" s="861" t="s">
        <v>36</v>
      </c>
      <c r="M166" s="861" t="s">
        <v>646</v>
      </c>
      <c r="N166" s="861" t="s">
        <v>699</v>
      </c>
      <c r="O166" s="861"/>
      <c r="P166" s="861"/>
      <c r="Q166" s="861" t="s">
        <v>650</v>
      </c>
      <c r="R166" s="861" t="s">
        <v>652</v>
      </c>
      <c r="S166" s="861"/>
      <c r="T166" s="861" t="s">
        <v>107</v>
      </c>
      <c r="U166" s="861"/>
      <c r="V166" s="861" t="s">
        <v>36</v>
      </c>
      <c r="W166" s="861" t="s">
        <v>666</v>
      </c>
      <c r="X166" s="863">
        <v>41456</v>
      </c>
      <c r="Y166" s="863">
        <v>41771</v>
      </c>
      <c r="Z166" s="864">
        <v>2014</v>
      </c>
      <c r="AA166" s="861" t="s">
        <v>676</v>
      </c>
      <c r="AB166" s="861" t="s">
        <v>675</v>
      </c>
      <c r="AC166" s="861" t="s">
        <v>663</v>
      </c>
      <c r="AD166" s="865"/>
      <c r="AE166" s="865"/>
      <c r="AF166" s="865"/>
      <c r="AG166" s="865"/>
      <c r="AH166" s="865"/>
      <c r="AI166" s="865"/>
      <c r="AJ166" s="865"/>
      <c r="AK166" s="865"/>
      <c r="AL166" s="865"/>
      <c r="AM166" s="865"/>
      <c r="AN166" s="865"/>
      <c r="AO166" s="865"/>
      <c r="AP166" s="865"/>
      <c r="AQ166" s="865"/>
      <c r="AR166" s="865"/>
      <c r="AS166" s="865"/>
      <c r="AT166" s="865"/>
      <c r="AU166" s="865"/>
      <c r="AV166" s="865">
        <v>49999.999999999993</v>
      </c>
      <c r="AW166" s="865"/>
      <c r="AX166" s="865"/>
      <c r="AY166" s="865"/>
      <c r="AZ166" s="865"/>
      <c r="BA166" s="865"/>
      <c r="BB166" s="865"/>
      <c r="BC166" s="865"/>
      <c r="BD166" s="865"/>
      <c r="BE166" s="865"/>
      <c r="BF166" s="865"/>
      <c r="BG166" s="865"/>
      <c r="BH166" s="865"/>
      <c r="BI166" s="865"/>
      <c r="BJ166" s="865"/>
      <c r="BK166" s="865"/>
      <c r="BL166" s="865"/>
      <c r="BM166" s="865"/>
      <c r="BN166" s="865"/>
      <c r="BO166" s="865"/>
      <c r="BP166" s="865"/>
      <c r="BQ166" s="865"/>
      <c r="BR166" s="865"/>
      <c r="BS166" s="865">
        <v>49999.999999999993</v>
      </c>
      <c r="BT166" s="412">
        <f t="shared" si="7"/>
        <v>49999.999999999993</v>
      </c>
      <c r="BU166" s="413">
        <v>1</v>
      </c>
      <c r="BV166" s="413">
        <v>0</v>
      </c>
      <c r="BW166" s="413">
        <v>0</v>
      </c>
      <c r="BX166" s="413">
        <v>0</v>
      </c>
      <c r="BY166" s="413">
        <v>0</v>
      </c>
      <c r="BZ166" s="413">
        <v>0</v>
      </c>
      <c r="CA166" s="413">
        <v>0</v>
      </c>
      <c r="CB166" s="413">
        <v>0</v>
      </c>
      <c r="CC166" s="413">
        <v>0</v>
      </c>
      <c r="CD166" s="413">
        <v>0</v>
      </c>
      <c r="CE166" s="413">
        <v>0</v>
      </c>
      <c r="CF166" s="413">
        <v>0</v>
      </c>
      <c r="CG166" s="413">
        <v>0</v>
      </c>
      <c r="CH166" s="413">
        <v>0</v>
      </c>
      <c r="CI166" s="413">
        <v>0</v>
      </c>
      <c r="CJ166" s="413">
        <v>0</v>
      </c>
      <c r="CK166" s="413">
        <v>0</v>
      </c>
      <c r="CL166" s="413">
        <v>0</v>
      </c>
      <c r="CM166" s="413">
        <v>0</v>
      </c>
      <c r="CN166" s="413">
        <v>0</v>
      </c>
      <c r="CO166" s="414">
        <f t="shared" si="6"/>
        <v>1</v>
      </c>
    </row>
    <row r="167" spans="1:93" s="415" customFormat="1" ht="25.5" customHeight="1" x14ac:dyDescent="0.25">
      <c r="A167" s="881" t="s">
        <v>155</v>
      </c>
      <c r="B167" s="862" t="s">
        <v>1754</v>
      </c>
      <c r="C167" s="861" t="s">
        <v>960</v>
      </c>
      <c r="D167" s="862"/>
      <c r="E167" s="861" t="s">
        <v>779</v>
      </c>
      <c r="F167" s="862"/>
      <c r="G167" s="861" t="s">
        <v>648</v>
      </c>
      <c r="H167" s="861" t="s">
        <v>654</v>
      </c>
      <c r="I167" s="861" t="s">
        <v>647</v>
      </c>
      <c r="J167" s="861" t="s">
        <v>671</v>
      </c>
      <c r="K167" s="861" t="s">
        <v>649</v>
      </c>
      <c r="L167" s="861" t="s">
        <v>36</v>
      </c>
      <c r="M167" s="861" t="s">
        <v>646</v>
      </c>
      <c r="N167" s="861" t="s">
        <v>668</v>
      </c>
      <c r="O167" s="861"/>
      <c r="P167" s="861"/>
      <c r="Q167" s="861" t="s">
        <v>650</v>
      </c>
      <c r="R167" s="861" t="s">
        <v>652</v>
      </c>
      <c r="S167" s="861"/>
      <c r="T167" s="861"/>
      <c r="U167" s="861"/>
      <c r="V167" s="861" t="s">
        <v>36</v>
      </c>
      <c r="W167" s="861" t="s">
        <v>666</v>
      </c>
      <c r="X167" s="863">
        <v>41456</v>
      </c>
      <c r="Y167" s="863">
        <v>41771</v>
      </c>
      <c r="Z167" s="864">
        <v>2014</v>
      </c>
      <c r="AA167" s="861" t="s">
        <v>676</v>
      </c>
      <c r="AB167" s="861" t="s">
        <v>675</v>
      </c>
      <c r="AC167" s="861" t="s">
        <v>663</v>
      </c>
      <c r="AD167" s="865"/>
      <c r="AE167" s="865"/>
      <c r="AF167" s="865"/>
      <c r="AG167" s="865"/>
      <c r="AH167" s="865"/>
      <c r="AI167" s="865"/>
      <c r="AJ167" s="865"/>
      <c r="AK167" s="865"/>
      <c r="AL167" s="865"/>
      <c r="AM167" s="865"/>
      <c r="AN167" s="865"/>
      <c r="AO167" s="865"/>
      <c r="AP167" s="865"/>
      <c r="AQ167" s="865"/>
      <c r="AR167" s="865"/>
      <c r="AS167" s="865"/>
      <c r="AT167" s="865"/>
      <c r="AU167" s="865"/>
      <c r="AV167" s="865"/>
      <c r="AW167" s="865"/>
      <c r="AX167" s="865"/>
      <c r="AY167" s="865"/>
      <c r="AZ167" s="865"/>
      <c r="BA167" s="865">
        <v>339999.99999999988</v>
      </c>
      <c r="BB167" s="865"/>
      <c r="BC167" s="865"/>
      <c r="BD167" s="865"/>
      <c r="BE167" s="865"/>
      <c r="BF167" s="865"/>
      <c r="BG167" s="865"/>
      <c r="BH167" s="865"/>
      <c r="BI167" s="865"/>
      <c r="BJ167" s="865"/>
      <c r="BK167" s="865"/>
      <c r="BL167" s="865"/>
      <c r="BM167" s="865"/>
      <c r="BN167" s="865"/>
      <c r="BO167" s="865"/>
      <c r="BP167" s="865"/>
      <c r="BQ167" s="865"/>
      <c r="BR167" s="865"/>
      <c r="BS167" s="865">
        <v>339999.99999999988</v>
      </c>
      <c r="BT167" s="412">
        <f t="shared" si="7"/>
        <v>339999.99999999988</v>
      </c>
      <c r="BU167" s="413">
        <v>0</v>
      </c>
      <c r="BV167" s="413">
        <v>0</v>
      </c>
      <c r="BW167" s="413">
        <v>0</v>
      </c>
      <c r="BX167" s="413">
        <v>0</v>
      </c>
      <c r="BY167" s="413">
        <v>0</v>
      </c>
      <c r="BZ167" s="413">
        <v>0</v>
      </c>
      <c r="CA167" s="413">
        <v>0</v>
      </c>
      <c r="CB167" s="413">
        <v>1</v>
      </c>
      <c r="CC167" s="413">
        <v>0</v>
      </c>
      <c r="CD167" s="413">
        <v>0</v>
      </c>
      <c r="CE167" s="413">
        <v>0</v>
      </c>
      <c r="CF167" s="413">
        <v>0</v>
      </c>
      <c r="CG167" s="413">
        <v>0</v>
      </c>
      <c r="CH167" s="413">
        <v>0</v>
      </c>
      <c r="CI167" s="413">
        <v>0</v>
      </c>
      <c r="CJ167" s="413">
        <v>0</v>
      </c>
      <c r="CK167" s="413">
        <v>0</v>
      </c>
      <c r="CL167" s="413">
        <v>0</v>
      </c>
      <c r="CM167" s="413">
        <v>0</v>
      </c>
      <c r="CN167" s="413">
        <v>0</v>
      </c>
      <c r="CO167" s="414">
        <f t="shared" si="6"/>
        <v>1</v>
      </c>
    </row>
    <row r="168" spans="1:93" s="415" customFormat="1" ht="25.5" customHeight="1" x14ac:dyDescent="0.25">
      <c r="A168" s="881" t="s">
        <v>156</v>
      </c>
      <c r="B168" s="862" t="s">
        <v>1756</v>
      </c>
      <c r="C168" s="861" t="s">
        <v>959</v>
      </c>
      <c r="D168" s="862"/>
      <c r="E168" s="861" t="s">
        <v>700</v>
      </c>
      <c r="F168" s="862"/>
      <c r="G168" s="861" t="s">
        <v>691</v>
      </c>
      <c r="H168" s="861" t="s">
        <v>654</v>
      </c>
      <c r="I168" s="861" t="s">
        <v>647</v>
      </c>
      <c r="J168" s="861" t="s">
        <v>641</v>
      </c>
      <c r="K168" s="861" t="s">
        <v>649</v>
      </c>
      <c r="L168" s="861" t="s">
        <v>41</v>
      </c>
      <c r="M168" s="861" t="s">
        <v>646</v>
      </c>
      <c r="N168" s="861" t="s">
        <v>699</v>
      </c>
      <c r="O168" s="861"/>
      <c r="P168" s="861"/>
      <c r="Q168" s="861" t="s">
        <v>656</v>
      </c>
      <c r="R168" s="861" t="s">
        <v>652</v>
      </c>
      <c r="S168" s="861" t="s">
        <v>649</v>
      </c>
      <c r="T168" s="861"/>
      <c r="U168" s="861"/>
      <c r="V168" s="861" t="s">
        <v>641</v>
      </c>
      <c r="W168" s="861" t="s">
        <v>954</v>
      </c>
      <c r="X168" s="863">
        <v>41487</v>
      </c>
      <c r="Y168" s="863">
        <v>42270</v>
      </c>
      <c r="Z168" s="864">
        <v>2015</v>
      </c>
      <c r="AA168" s="861" t="s">
        <v>663</v>
      </c>
      <c r="AB168" s="861" t="s">
        <v>697</v>
      </c>
      <c r="AC168" s="861" t="s">
        <v>649</v>
      </c>
      <c r="AD168" s="865"/>
      <c r="AE168" s="865"/>
      <c r="AF168" s="865"/>
      <c r="AG168" s="865"/>
      <c r="AH168" s="865"/>
      <c r="AI168" s="865"/>
      <c r="AJ168" s="865"/>
      <c r="AK168" s="865"/>
      <c r="AL168" s="865"/>
      <c r="AM168" s="865"/>
      <c r="AN168" s="865"/>
      <c r="AO168" s="865"/>
      <c r="AP168" s="865">
        <v>1254957.6399999994</v>
      </c>
      <c r="AQ168" s="865"/>
      <c r="AR168" s="865"/>
      <c r="AS168" s="865"/>
      <c r="AT168" s="865"/>
      <c r="AU168" s="865"/>
      <c r="AV168" s="865"/>
      <c r="AW168" s="865"/>
      <c r="AX168" s="865"/>
      <c r="AY168" s="865"/>
      <c r="AZ168" s="865"/>
      <c r="BA168" s="865"/>
      <c r="BB168" s="865"/>
      <c r="BC168" s="865">
        <v>151337.99999999994</v>
      </c>
      <c r="BD168" s="865">
        <v>100891.99999999997</v>
      </c>
      <c r="BE168" s="865">
        <v>170255.24999999991</v>
      </c>
      <c r="BF168" s="865">
        <v>4612.9679474999994</v>
      </c>
      <c r="BG168" s="865"/>
      <c r="BH168" s="865">
        <v>42051.396448687497</v>
      </c>
      <c r="BI168" s="865">
        <v>33641.117158949986</v>
      </c>
      <c r="BJ168" s="865">
        <v>16820.558579474993</v>
      </c>
      <c r="BK168" s="865">
        <v>50461.675738424965</v>
      </c>
      <c r="BL168" s="865">
        <v>25230.837869212482</v>
      </c>
      <c r="BM168" s="865">
        <v>50461.675738424958</v>
      </c>
      <c r="BN168" s="865">
        <v>33641.117158949994</v>
      </c>
      <c r="BO168" s="865"/>
      <c r="BP168" s="865"/>
      <c r="BQ168" s="865"/>
      <c r="BR168" s="865">
        <v>299999.99999999988</v>
      </c>
      <c r="BS168" s="865">
        <v>2234364.236639624</v>
      </c>
      <c r="BT168" s="412">
        <f t="shared" si="7"/>
        <v>1254957.6399999994</v>
      </c>
      <c r="BU168" s="413">
        <v>0</v>
      </c>
      <c r="BV168" s="413">
        <v>0</v>
      </c>
      <c r="BW168" s="413">
        <v>0</v>
      </c>
      <c r="BX168" s="413">
        <v>0</v>
      </c>
      <c r="BY168" s="413">
        <v>0</v>
      </c>
      <c r="BZ168" s="413">
        <v>0</v>
      </c>
      <c r="CA168" s="413">
        <v>0</v>
      </c>
      <c r="CB168" s="413">
        <v>0</v>
      </c>
      <c r="CC168" s="413">
        <v>0</v>
      </c>
      <c r="CD168" s="413">
        <v>0</v>
      </c>
      <c r="CE168" s="413">
        <v>0</v>
      </c>
      <c r="CF168" s="413">
        <v>0</v>
      </c>
      <c r="CG168" s="413">
        <v>0</v>
      </c>
      <c r="CH168" s="413">
        <v>0</v>
      </c>
      <c r="CI168" s="413">
        <v>0</v>
      </c>
      <c r="CJ168" s="413">
        <v>0</v>
      </c>
      <c r="CK168" s="413">
        <v>0</v>
      </c>
      <c r="CL168" s="413">
        <v>0</v>
      </c>
      <c r="CM168" s="413">
        <v>1</v>
      </c>
      <c r="CN168" s="413">
        <v>0</v>
      </c>
      <c r="CO168" s="414">
        <f t="shared" si="6"/>
        <v>1</v>
      </c>
    </row>
    <row r="169" spans="1:93" s="415" customFormat="1" ht="38.25" customHeight="1" x14ac:dyDescent="0.25">
      <c r="A169" s="881" t="s">
        <v>158</v>
      </c>
      <c r="B169" s="862" t="s">
        <v>1758</v>
      </c>
      <c r="C169" s="861" t="s">
        <v>958</v>
      </c>
      <c r="D169" s="862"/>
      <c r="E169" s="861" t="s">
        <v>700</v>
      </c>
      <c r="F169" s="862"/>
      <c r="G169" s="861"/>
      <c r="H169" s="861" t="s">
        <v>654</v>
      </c>
      <c r="I169" s="861" t="s">
        <v>647</v>
      </c>
      <c r="J169" s="861" t="s">
        <v>641</v>
      </c>
      <c r="K169" s="861" t="s">
        <v>649</v>
      </c>
      <c r="L169" s="861" t="s">
        <v>41</v>
      </c>
      <c r="M169" s="861" t="s">
        <v>646</v>
      </c>
      <c r="N169" s="861" t="s">
        <v>699</v>
      </c>
      <c r="O169" s="861"/>
      <c r="P169" s="861"/>
      <c r="Q169" s="861" t="s">
        <v>642</v>
      </c>
      <c r="R169" s="861" t="s">
        <v>652</v>
      </c>
      <c r="S169" s="861" t="s">
        <v>649</v>
      </c>
      <c r="T169" s="861"/>
      <c r="U169" s="861"/>
      <c r="V169" s="861" t="s">
        <v>59</v>
      </c>
      <c r="W169" s="861" t="s">
        <v>954</v>
      </c>
      <c r="X169" s="863">
        <v>41487</v>
      </c>
      <c r="Y169" s="863">
        <v>42270</v>
      </c>
      <c r="Z169" s="864">
        <v>2015</v>
      </c>
      <c r="AA169" s="861" t="s">
        <v>663</v>
      </c>
      <c r="AB169" s="861" t="s">
        <v>697</v>
      </c>
      <c r="AC169" s="861" t="s">
        <v>649</v>
      </c>
      <c r="AD169" s="865"/>
      <c r="AE169" s="865"/>
      <c r="AF169" s="865"/>
      <c r="AG169" s="865"/>
      <c r="AH169" s="865"/>
      <c r="AI169" s="865"/>
      <c r="AJ169" s="865"/>
      <c r="AK169" s="865"/>
      <c r="AL169" s="865"/>
      <c r="AM169" s="865"/>
      <c r="AN169" s="865"/>
      <c r="AO169" s="866">
        <v>0</v>
      </c>
      <c r="AP169" s="866">
        <v>3630888.06</v>
      </c>
      <c r="AQ169" s="866"/>
      <c r="AR169" s="865"/>
      <c r="AS169" s="865"/>
      <c r="AT169" s="865"/>
      <c r="AU169" s="865"/>
      <c r="AV169" s="865"/>
      <c r="AW169" s="865"/>
      <c r="AX169" s="865"/>
      <c r="AY169" s="865"/>
      <c r="AZ169" s="865"/>
      <c r="BA169" s="865"/>
      <c r="BB169" s="865"/>
      <c r="BC169" s="865">
        <v>501140.7089999998</v>
      </c>
      <c r="BD169" s="865">
        <v>334093.80599999998</v>
      </c>
      <c r="BE169" s="865">
        <v>563783.29762499989</v>
      </c>
      <c r="BF169" s="865">
        <v>13832.241149718742</v>
      </c>
      <c r="BG169" s="865"/>
      <c r="BH169" s="865">
        <v>126093.45284436794</v>
      </c>
      <c r="BI169" s="865">
        <v>100874.76227549433</v>
      </c>
      <c r="BJ169" s="865">
        <v>50437.381137747165</v>
      </c>
      <c r="BK169" s="865">
        <v>151312.14341324149</v>
      </c>
      <c r="BL169" s="865">
        <v>75656.071706620743</v>
      </c>
      <c r="BM169" s="865">
        <v>151312.14341324149</v>
      </c>
      <c r="BN169" s="865">
        <v>100874.76227549433</v>
      </c>
      <c r="BO169" s="865">
        <v>699999.99999999965</v>
      </c>
      <c r="BP169" s="865"/>
      <c r="BQ169" s="865"/>
      <c r="BR169" s="865">
        <v>599999.99999999977</v>
      </c>
      <c r="BS169" s="865">
        <v>7100298.8308409238</v>
      </c>
      <c r="BT169" s="412">
        <f t="shared" si="7"/>
        <v>3630888.06</v>
      </c>
      <c r="BU169" s="413">
        <v>0</v>
      </c>
      <c r="BV169" s="413">
        <v>0</v>
      </c>
      <c r="BW169" s="413">
        <v>0</v>
      </c>
      <c r="BX169" s="413">
        <v>0</v>
      </c>
      <c r="BY169" s="413">
        <v>0</v>
      </c>
      <c r="BZ169" s="413">
        <v>0</v>
      </c>
      <c r="CA169" s="413">
        <v>0</v>
      </c>
      <c r="CB169" s="413">
        <v>0</v>
      </c>
      <c r="CC169" s="413">
        <v>0</v>
      </c>
      <c r="CD169" s="413">
        <v>0</v>
      </c>
      <c r="CE169" s="413">
        <v>0</v>
      </c>
      <c r="CF169" s="413">
        <v>0</v>
      </c>
      <c r="CG169" s="413">
        <v>0</v>
      </c>
      <c r="CH169" s="413">
        <v>0</v>
      </c>
      <c r="CI169" s="413">
        <v>0</v>
      </c>
      <c r="CJ169" s="413">
        <v>0</v>
      </c>
      <c r="CK169" s="413">
        <v>0</v>
      </c>
      <c r="CL169" s="413">
        <v>0</v>
      </c>
      <c r="CM169" s="413">
        <v>1</v>
      </c>
      <c r="CN169" s="413">
        <v>0</v>
      </c>
      <c r="CO169" s="414">
        <f t="shared" si="6"/>
        <v>1</v>
      </c>
    </row>
    <row r="170" spans="1:93" s="415" customFormat="1" ht="25.5" customHeight="1" x14ac:dyDescent="0.25">
      <c r="A170" s="881" t="s">
        <v>160</v>
      </c>
      <c r="B170" s="862" t="s">
        <v>1760</v>
      </c>
      <c r="C170" s="861" t="s">
        <v>957</v>
      </c>
      <c r="D170" s="862"/>
      <c r="E170" s="861" t="s">
        <v>700</v>
      </c>
      <c r="F170" s="862"/>
      <c r="G170" s="861" t="s">
        <v>686</v>
      </c>
      <c r="H170" s="861" t="s">
        <v>654</v>
      </c>
      <c r="I170" s="861" t="s">
        <v>647</v>
      </c>
      <c r="J170" s="861" t="s">
        <v>641</v>
      </c>
      <c r="K170" s="861" t="s">
        <v>649</v>
      </c>
      <c r="L170" s="861" t="s">
        <v>41</v>
      </c>
      <c r="M170" s="861" t="s">
        <v>646</v>
      </c>
      <c r="N170" s="861" t="s">
        <v>699</v>
      </c>
      <c r="O170" s="861" t="s">
        <v>698</v>
      </c>
      <c r="P170" s="861" t="s">
        <v>823</v>
      </c>
      <c r="Q170" s="861" t="s">
        <v>656</v>
      </c>
      <c r="R170" s="861" t="s">
        <v>652</v>
      </c>
      <c r="S170" s="861" t="s">
        <v>649</v>
      </c>
      <c r="T170" s="861" t="s">
        <v>107</v>
      </c>
      <c r="U170" s="861" t="s">
        <v>678</v>
      </c>
      <c r="V170" s="861" t="s">
        <v>641</v>
      </c>
      <c r="W170" s="861" t="s">
        <v>956</v>
      </c>
      <c r="X170" s="863">
        <v>41456</v>
      </c>
      <c r="Y170" s="863">
        <v>42024</v>
      </c>
      <c r="Z170" s="864">
        <v>2015</v>
      </c>
      <c r="AA170" s="861" t="s">
        <v>663</v>
      </c>
      <c r="AB170" s="861" t="s">
        <v>697</v>
      </c>
      <c r="AC170" s="861" t="s">
        <v>649</v>
      </c>
      <c r="AD170" s="865"/>
      <c r="AE170" s="865"/>
      <c r="AF170" s="865"/>
      <c r="AG170" s="865"/>
      <c r="AH170" s="865"/>
      <c r="AI170" s="865"/>
      <c r="AJ170" s="865"/>
      <c r="AK170" s="865"/>
      <c r="AL170" s="865"/>
      <c r="AM170" s="865"/>
      <c r="AN170" s="865"/>
      <c r="AO170" s="866">
        <v>0</v>
      </c>
      <c r="AP170" s="866">
        <v>5895290.8999500005</v>
      </c>
      <c r="AQ170" s="866"/>
      <c r="AR170" s="865"/>
      <c r="AS170" s="865"/>
      <c r="AT170" s="865"/>
      <c r="AU170" s="865"/>
      <c r="AV170" s="865"/>
      <c r="AW170" s="865"/>
      <c r="AX170" s="865"/>
      <c r="AY170" s="865"/>
      <c r="AZ170" s="865"/>
      <c r="BA170" s="865"/>
      <c r="BB170" s="865"/>
      <c r="BC170" s="865">
        <v>735200.02199249971</v>
      </c>
      <c r="BD170" s="865">
        <v>490133.3479949999</v>
      </c>
      <c r="BE170" s="865">
        <v>827100.02474156243</v>
      </c>
      <c r="BF170" s="865">
        <v>21827.460805367424</v>
      </c>
      <c r="BG170" s="865"/>
      <c r="BH170" s="865">
        <v>198977.14838711073</v>
      </c>
      <c r="BI170" s="865">
        <v>159181.71870968852</v>
      </c>
      <c r="BJ170" s="865">
        <v>79590.859354844288</v>
      </c>
      <c r="BK170" s="865">
        <v>238772.57806453281</v>
      </c>
      <c r="BL170" s="865">
        <v>119386.2890322664</v>
      </c>
      <c r="BM170" s="865">
        <v>238772.57806453283</v>
      </c>
      <c r="BN170" s="865">
        <v>159181.71870968858</v>
      </c>
      <c r="BO170" s="865">
        <v>999999.99999999988</v>
      </c>
      <c r="BP170" s="865"/>
      <c r="BQ170" s="865"/>
      <c r="BR170" s="865">
        <v>199999.99999999997</v>
      </c>
      <c r="BS170" s="865">
        <v>10363414.645807093</v>
      </c>
      <c r="BT170" s="412">
        <f t="shared" si="7"/>
        <v>5895290.8999500005</v>
      </c>
      <c r="BU170" s="413">
        <v>0</v>
      </c>
      <c r="BV170" s="413">
        <v>0</v>
      </c>
      <c r="BW170" s="413">
        <v>0</v>
      </c>
      <c r="BX170" s="413">
        <v>0</v>
      </c>
      <c r="BY170" s="413">
        <v>0</v>
      </c>
      <c r="BZ170" s="413">
        <v>0</v>
      </c>
      <c r="CA170" s="413">
        <v>0</v>
      </c>
      <c r="CB170" s="413">
        <v>0</v>
      </c>
      <c r="CC170" s="413">
        <v>0</v>
      </c>
      <c r="CD170" s="413">
        <v>0</v>
      </c>
      <c r="CE170" s="413">
        <v>0</v>
      </c>
      <c r="CF170" s="413">
        <v>0</v>
      </c>
      <c r="CG170" s="413">
        <v>0</v>
      </c>
      <c r="CH170" s="413">
        <v>0</v>
      </c>
      <c r="CI170" s="413">
        <v>0</v>
      </c>
      <c r="CJ170" s="413">
        <v>0</v>
      </c>
      <c r="CK170" s="413">
        <v>0</v>
      </c>
      <c r="CL170" s="413">
        <v>0</v>
      </c>
      <c r="CM170" s="413">
        <v>1</v>
      </c>
      <c r="CN170" s="413">
        <v>0</v>
      </c>
      <c r="CO170" s="414">
        <f t="shared" si="6"/>
        <v>1</v>
      </c>
    </row>
    <row r="171" spans="1:93" s="415" customFormat="1" ht="25.5" customHeight="1" x14ac:dyDescent="0.25">
      <c r="A171" s="881" t="s">
        <v>162</v>
      </c>
      <c r="B171" s="862" t="s">
        <v>1762</v>
      </c>
      <c r="C171" s="861" t="s">
        <v>955</v>
      </c>
      <c r="D171" s="862"/>
      <c r="E171" s="861" t="s">
        <v>700</v>
      </c>
      <c r="F171" s="862"/>
      <c r="G171" s="861"/>
      <c r="H171" s="861" t="s">
        <v>654</v>
      </c>
      <c r="I171" s="861" t="s">
        <v>647</v>
      </c>
      <c r="J171" s="861" t="s">
        <v>641</v>
      </c>
      <c r="K171" s="861" t="s">
        <v>649</v>
      </c>
      <c r="L171" s="861" t="s">
        <v>41</v>
      </c>
      <c r="M171" s="861" t="s">
        <v>646</v>
      </c>
      <c r="N171" s="861" t="s">
        <v>699</v>
      </c>
      <c r="O171" s="861"/>
      <c r="P171" s="861"/>
      <c r="Q171" s="861" t="s">
        <v>656</v>
      </c>
      <c r="R171" s="861" t="s">
        <v>652</v>
      </c>
      <c r="S171" s="861" t="s">
        <v>649</v>
      </c>
      <c r="T171" s="861"/>
      <c r="U171" s="861"/>
      <c r="V171" s="861" t="s">
        <v>641</v>
      </c>
      <c r="W171" s="861" t="s">
        <v>954</v>
      </c>
      <c r="X171" s="863">
        <v>41456</v>
      </c>
      <c r="Y171" s="863">
        <v>42024</v>
      </c>
      <c r="Z171" s="864">
        <v>2015</v>
      </c>
      <c r="AA171" s="861" t="s">
        <v>663</v>
      </c>
      <c r="AB171" s="861" t="s">
        <v>697</v>
      </c>
      <c r="AC171" s="861" t="s">
        <v>649</v>
      </c>
      <c r="AD171" s="865"/>
      <c r="AE171" s="865"/>
      <c r="AF171" s="865"/>
      <c r="AG171" s="865"/>
      <c r="AH171" s="865"/>
      <c r="AI171" s="865"/>
      <c r="AJ171" s="865"/>
      <c r="AK171" s="865"/>
      <c r="AL171" s="865"/>
      <c r="AM171" s="865"/>
      <c r="AN171" s="865"/>
      <c r="AO171" s="865">
        <v>138319.52000000002</v>
      </c>
      <c r="AP171" s="865">
        <v>2046391.4999999998</v>
      </c>
      <c r="AQ171" s="865"/>
      <c r="AR171" s="865"/>
      <c r="AS171" s="865"/>
      <c r="AT171" s="865"/>
      <c r="AU171" s="865"/>
      <c r="AV171" s="865"/>
      <c r="AW171" s="865"/>
      <c r="AX171" s="865"/>
      <c r="AY171" s="865"/>
      <c r="AZ171" s="865"/>
      <c r="BA171" s="865"/>
      <c r="BB171" s="865"/>
      <c r="BC171" s="865">
        <v>206933.40299999996</v>
      </c>
      <c r="BD171" s="865">
        <v>137955.60200000001</v>
      </c>
      <c r="BE171" s="865">
        <v>232800.07837499998</v>
      </c>
      <c r="BF171" s="865">
        <v>7533.4603127093751</v>
      </c>
      <c r="BG171" s="865"/>
      <c r="BH171" s="865">
        <v>158119.19458143195</v>
      </c>
      <c r="BI171" s="865">
        <v>163115.06170880739</v>
      </c>
      <c r="BJ171" s="865">
        <v>10241.527611119607</v>
      </c>
      <c r="BK171" s="865">
        <v>22481.402073189376</v>
      </c>
      <c r="BL171" s="865">
        <v>10241.527611119607</v>
      </c>
      <c r="BM171" s="865"/>
      <c r="BN171" s="865">
        <v>10491.320967488376</v>
      </c>
      <c r="BO171" s="865">
        <v>500000</v>
      </c>
      <c r="BP171" s="865">
        <v>199999.99999999997</v>
      </c>
      <c r="BQ171" s="865"/>
      <c r="BR171" s="865">
        <v>249999.99999999994</v>
      </c>
      <c r="BS171" s="865">
        <v>4094623.5982408649</v>
      </c>
      <c r="BT171" s="412">
        <f t="shared" si="7"/>
        <v>2184711.0199999996</v>
      </c>
      <c r="BU171" s="413">
        <v>0</v>
      </c>
      <c r="BV171" s="413">
        <v>0</v>
      </c>
      <c r="BW171" s="413">
        <v>0</v>
      </c>
      <c r="BX171" s="413">
        <v>0</v>
      </c>
      <c r="BY171" s="413">
        <v>0</v>
      </c>
      <c r="BZ171" s="413">
        <v>0</v>
      </c>
      <c r="CA171" s="413">
        <v>0</v>
      </c>
      <c r="CB171" s="413">
        <v>0</v>
      </c>
      <c r="CC171" s="413">
        <v>0</v>
      </c>
      <c r="CD171" s="413">
        <v>0</v>
      </c>
      <c r="CE171" s="413">
        <v>0</v>
      </c>
      <c r="CF171" s="413">
        <v>0</v>
      </c>
      <c r="CG171" s="413">
        <v>0</v>
      </c>
      <c r="CH171" s="413">
        <v>0</v>
      </c>
      <c r="CI171" s="413">
        <v>0</v>
      </c>
      <c r="CJ171" s="413">
        <v>6.3312501623212419E-2</v>
      </c>
      <c r="CK171" s="413">
        <v>0</v>
      </c>
      <c r="CL171" s="413">
        <v>0</v>
      </c>
      <c r="CM171" s="413">
        <v>0.93668749837678766</v>
      </c>
      <c r="CN171" s="413">
        <v>0</v>
      </c>
      <c r="CO171" s="414">
        <f t="shared" si="6"/>
        <v>1</v>
      </c>
    </row>
    <row r="172" spans="1:93" s="415" customFormat="1" ht="38.25" x14ac:dyDescent="0.25">
      <c r="A172" s="881" t="s">
        <v>953</v>
      </c>
      <c r="B172" s="862" t="s">
        <v>1764</v>
      </c>
      <c r="C172" s="861" t="s">
        <v>952</v>
      </c>
      <c r="D172" s="862"/>
      <c r="E172" s="861" t="s">
        <v>700</v>
      </c>
      <c r="F172" s="862"/>
      <c r="G172" s="861"/>
      <c r="H172" s="861" t="s">
        <v>654</v>
      </c>
      <c r="I172" s="861" t="s">
        <v>647</v>
      </c>
      <c r="J172" s="861" t="s">
        <v>641</v>
      </c>
      <c r="K172" s="861" t="s">
        <v>649</v>
      </c>
      <c r="L172" s="861" t="s">
        <v>41</v>
      </c>
      <c r="M172" s="861" t="s">
        <v>646</v>
      </c>
      <c r="N172" s="861"/>
      <c r="O172" s="861"/>
      <c r="P172" s="861"/>
      <c r="Q172" s="861" t="s">
        <v>656</v>
      </c>
      <c r="R172" s="861" t="s">
        <v>652</v>
      </c>
      <c r="S172" s="861" t="s">
        <v>649</v>
      </c>
      <c r="T172" s="861"/>
      <c r="U172" s="861"/>
      <c r="V172" s="861" t="s">
        <v>59</v>
      </c>
      <c r="W172" s="861" t="s">
        <v>951</v>
      </c>
      <c r="X172" s="863">
        <v>41487</v>
      </c>
      <c r="Y172" s="863">
        <v>42270</v>
      </c>
      <c r="Z172" s="864">
        <v>2015</v>
      </c>
      <c r="AA172" s="861"/>
      <c r="AB172" s="861" t="s">
        <v>697</v>
      </c>
      <c r="AC172" s="861" t="s">
        <v>649</v>
      </c>
      <c r="AD172" s="865"/>
      <c r="AE172" s="865"/>
      <c r="AF172" s="865"/>
      <c r="AG172" s="865"/>
      <c r="AH172" s="865"/>
      <c r="AI172" s="865"/>
      <c r="AJ172" s="865"/>
      <c r="AK172" s="865"/>
      <c r="AL172" s="865"/>
      <c r="AM172" s="865"/>
      <c r="AN172" s="865"/>
      <c r="AO172" s="865"/>
      <c r="AP172" s="865">
        <v>2367463.5999999992</v>
      </c>
      <c r="AQ172" s="865"/>
      <c r="AR172" s="865"/>
      <c r="AS172" s="865"/>
      <c r="AT172" s="865"/>
      <c r="AU172" s="865"/>
      <c r="AV172" s="865"/>
      <c r="AW172" s="865"/>
      <c r="AX172" s="865"/>
      <c r="AY172" s="865"/>
      <c r="AZ172" s="865"/>
      <c r="BA172" s="865"/>
      <c r="BB172" s="865"/>
      <c r="BC172" s="865"/>
      <c r="BD172" s="865"/>
      <c r="BE172" s="865"/>
      <c r="BF172" s="865">
        <v>6510.5249000000022</v>
      </c>
      <c r="BG172" s="865"/>
      <c r="BH172" s="865">
        <v>59349.353122499975</v>
      </c>
      <c r="BI172" s="865">
        <v>47479.482497999983</v>
      </c>
      <c r="BJ172" s="865">
        <v>23739.741248999992</v>
      </c>
      <c r="BK172" s="865">
        <v>71219.223746999982</v>
      </c>
      <c r="BL172" s="865">
        <v>35609.611873499991</v>
      </c>
      <c r="BM172" s="865">
        <v>71219.223746999982</v>
      </c>
      <c r="BN172" s="865">
        <v>47479.482497999983</v>
      </c>
      <c r="BO172" s="865"/>
      <c r="BP172" s="865"/>
      <c r="BQ172" s="865"/>
      <c r="BR172" s="865"/>
      <c r="BS172" s="865">
        <v>2730070.2436349988</v>
      </c>
      <c r="BT172" s="412">
        <f t="shared" si="7"/>
        <v>2367463.5999999992</v>
      </c>
      <c r="BU172" s="413">
        <v>0</v>
      </c>
      <c r="BV172" s="413">
        <v>0</v>
      </c>
      <c r="BW172" s="413">
        <v>0</v>
      </c>
      <c r="BX172" s="413">
        <v>0</v>
      </c>
      <c r="BY172" s="413">
        <v>0</v>
      </c>
      <c r="BZ172" s="413">
        <v>0</v>
      </c>
      <c r="CA172" s="413">
        <v>0</v>
      </c>
      <c r="CB172" s="413">
        <v>0</v>
      </c>
      <c r="CC172" s="413">
        <v>0</v>
      </c>
      <c r="CD172" s="413">
        <v>0</v>
      </c>
      <c r="CE172" s="413">
        <v>0</v>
      </c>
      <c r="CF172" s="413">
        <v>0</v>
      </c>
      <c r="CG172" s="413">
        <v>0</v>
      </c>
      <c r="CH172" s="413">
        <v>0</v>
      </c>
      <c r="CI172" s="413">
        <v>0</v>
      </c>
      <c r="CJ172" s="413">
        <v>0</v>
      </c>
      <c r="CK172" s="413">
        <v>0</v>
      </c>
      <c r="CL172" s="413">
        <v>0</v>
      </c>
      <c r="CM172" s="413">
        <v>1</v>
      </c>
      <c r="CN172" s="413">
        <v>0</v>
      </c>
      <c r="CO172" s="414">
        <f t="shared" si="6"/>
        <v>1</v>
      </c>
    </row>
    <row r="173" spans="1:93" s="415" customFormat="1" ht="25.5" customHeight="1" x14ac:dyDescent="0.25">
      <c r="A173" s="881" t="s">
        <v>168</v>
      </c>
      <c r="B173" s="862" t="s">
        <v>1626</v>
      </c>
      <c r="C173" s="861" t="s">
        <v>950</v>
      </c>
      <c r="D173" s="862"/>
      <c r="E173" s="861"/>
      <c r="F173" s="862"/>
      <c r="G173" s="861"/>
      <c r="H173" s="861" t="s">
        <v>654</v>
      </c>
      <c r="I173" s="861" t="s">
        <v>647</v>
      </c>
      <c r="J173" s="861" t="s">
        <v>671</v>
      </c>
      <c r="K173" s="861"/>
      <c r="L173" s="861" t="s">
        <v>107</v>
      </c>
      <c r="M173" s="861" t="s">
        <v>646</v>
      </c>
      <c r="N173" s="861" t="s">
        <v>645</v>
      </c>
      <c r="O173" s="861" t="s">
        <v>651</v>
      </c>
      <c r="P173" s="861" t="s">
        <v>823</v>
      </c>
      <c r="Q173" s="861" t="s">
        <v>656</v>
      </c>
      <c r="R173" s="861" t="s">
        <v>652</v>
      </c>
      <c r="S173" s="861" t="s">
        <v>649</v>
      </c>
      <c r="T173" s="861"/>
      <c r="U173" s="861"/>
      <c r="V173" s="861"/>
      <c r="W173" s="861"/>
      <c r="X173" s="863">
        <v>41663</v>
      </c>
      <c r="Y173" s="863">
        <v>42830</v>
      </c>
      <c r="Z173" s="864">
        <v>2018</v>
      </c>
      <c r="AA173" s="861"/>
      <c r="AB173" s="861"/>
      <c r="AC173" s="861"/>
      <c r="AD173" s="865"/>
      <c r="AE173" s="865"/>
      <c r="AF173" s="865"/>
      <c r="AG173" s="865"/>
      <c r="AH173" s="865"/>
      <c r="AI173" s="865"/>
      <c r="AJ173" s="865"/>
      <c r="AK173" s="865"/>
      <c r="AL173" s="865"/>
      <c r="AM173" s="865"/>
      <c r="AN173" s="865"/>
      <c r="AO173" s="865"/>
      <c r="AP173" s="865"/>
      <c r="AQ173" s="865"/>
      <c r="AR173" s="865"/>
      <c r="AS173" s="865"/>
      <c r="AT173" s="865"/>
      <c r="AU173" s="865"/>
      <c r="AV173" s="865"/>
      <c r="AW173" s="865"/>
      <c r="AX173" s="865"/>
      <c r="AY173" s="865"/>
      <c r="AZ173" s="865"/>
      <c r="BA173" s="865"/>
      <c r="BB173" s="865"/>
      <c r="BC173" s="865"/>
      <c r="BD173" s="865"/>
      <c r="BE173" s="865"/>
      <c r="BF173" s="865"/>
      <c r="BG173" s="865"/>
      <c r="BH173" s="865">
        <v>1686947.3399275341</v>
      </c>
      <c r="BI173" s="865"/>
      <c r="BJ173" s="865"/>
      <c r="BK173" s="865"/>
      <c r="BL173" s="865"/>
      <c r="BM173" s="865"/>
      <c r="BN173" s="865"/>
      <c r="BO173" s="865">
        <v>99999.999999999854</v>
      </c>
      <c r="BP173" s="865"/>
      <c r="BQ173" s="865"/>
      <c r="BR173" s="865"/>
      <c r="BS173" s="865">
        <v>1786947.3399275341</v>
      </c>
      <c r="BT173" s="412">
        <v>0</v>
      </c>
      <c r="BU173" s="413">
        <v>0</v>
      </c>
      <c r="BV173" s="413">
        <v>0</v>
      </c>
      <c r="BW173" s="413">
        <v>0</v>
      </c>
      <c r="BX173" s="413">
        <v>1</v>
      </c>
      <c r="BY173" s="413">
        <v>0</v>
      </c>
      <c r="BZ173" s="413">
        <v>0</v>
      </c>
      <c r="CA173" s="413">
        <v>0</v>
      </c>
      <c r="CB173" s="413">
        <v>0</v>
      </c>
      <c r="CC173" s="413">
        <v>0</v>
      </c>
      <c r="CD173" s="413">
        <v>0</v>
      </c>
      <c r="CE173" s="413">
        <v>0</v>
      </c>
      <c r="CF173" s="413">
        <v>0</v>
      </c>
      <c r="CG173" s="413">
        <v>0</v>
      </c>
      <c r="CH173" s="413">
        <v>0</v>
      </c>
      <c r="CI173" s="413">
        <v>0</v>
      </c>
      <c r="CJ173" s="413">
        <v>0</v>
      </c>
      <c r="CK173" s="413">
        <v>0</v>
      </c>
      <c r="CL173" s="413">
        <v>0</v>
      </c>
      <c r="CM173" s="413">
        <v>0</v>
      </c>
      <c r="CN173" s="413">
        <v>0</v>
      </c>
      <c r="CO173" s="414">
        <v>1</v>
      </c>
    </row>
    <row r="174" spans="1:93" s="415" customFormat="1" ht="25.5" customHeight="1" x14ac:dyDescent="0.25">
      <c r="A174" s="881" t="s">
        <v>183</v>
      </c>
      <c r="B174" s="862" t="s">
        <v>1774</v>
      </c>
      <c r="C174" s="861" t="s">
        <v>949</v>
      </c>
      <c r="D174" s="862"/>
      <c r="E174" s="861" t="s">
        <v>779</v>
      </c>
      <c r="F174" s="862"/>
      <c r="G174" s="861" t="s">
        <v>648</v>
      </c>
      <c r="H174" s="861" t="s">
        <v>654</v>
      </c>
      <c r="I174" s="861" t="s">
        <v>647</v>
      </c>
      <c r="J174" s="861" t="s">
        <v>671</v>
      </c>
      <c r="K174" s="861" t="s">
        <v>649</v>
      </c>
      <c r="L174" s="861" t="s">
        <v>36</v>
      </c>
      <c r="M174" s="861" t="s">
        <v>646</v>
      </c>
      <c r="N174" s="861"/>
      <c r="O174" s="861"/>
      <c r="P174" s="861"/>
      <c r="Q174" s="861" t="s">
        <v>656</v>
      </c>
      <c r="R174" s="861" t="s">
        <v>652</v>
      </c>
      <c r="S174" s="861" t="s">
        <v>649</v>
      </c>
      <c r="T174" s="861"/>
      <c r="U174" s="861"/>
      <c r="V174" s="861" t="s">
        <v>36</v>
      </c>
      <c r="W174" s="861" t="s">
        <v>677</v>
      </c>
      <c r="X174" s="863">
        <v>41456</v>
      </c>
      <c r="Y174" s="863">
        <v>41771</v>
      </c>
      <c r="Z174" s="864">
        <v>2014</v>
      </c>
      <c r="AA174" s="861" t="s">
        <v>676</v>
      </c>
      <c r="AB174" s="861" t="s">
        <v>675</v>
      </c>
      <c r="AC174" s="861" t="s">
        <v>663</v>
      </c>
      <c r="AD174" s="865"/>
      <c r="AE174" s="865"/>
      <c r="AF174" s="865"/>
      <c r="AG174" s="865"/>
      <c r="AH174" s="865"/>
      <c r="AI174" s="865"/>
      <c r="AJ174" s="865"/>
      <c r="AK174" s="865"/>
      <c r="AL174" s="865"/>
      <c r="AM174" s="865"/>
      <c r="AN174" s="865"/>
      <c r="AO174" s="865"/>
      <c r="AP174" s="865"/>
      <c r="AQ174" s="865"/>
      <c r="AR174" s="865"/>
      <c r="AS174" s="865"/>
      <c r="AT174" s="865"/>
      <c r="AU174" s="865"/>
      <c r="AV174" s="865">
        <v>75999.999999999985</v>
      </c>
      <c r="AW174" s="865"/>
      <c r="AX174" s="865"/>
      <c r="AY174" s="865">
        <v>114000</v>
      </c>
      <c r="AZ174" s="865"/>
      <c r="BA174" s="865"/>
      <c r="BB174" s="865"/>
      <c r="BC174" s="865"/>
      <c r="BD174" s="865"/>
      <c r="BE174" s="865"/>
      <c r="BF174" s="865"/>
      <c r="BG174" s="865"/>
      <c r="BH174" s="865"/>
      <c r="BI174" s="865"/>
      <c r="BJ174" s="865"/>
      <c r="BK174" s="865"/>
      <c r="BL174" s="865"/>
      <c r="BM174" s="865"/>
      <c r="BN174" s="865"/>
      <c r="BO174" s="865"/>
      <c r="BP174" s="865"/>
      <c r="BQ174" s="865"/>
      <c r="BR174" s="865"/>
      <c r="BS174" s="865">
        <v>190000</v>
      </c>
      <c r="BT174" s="412">
        <f t="shared" si="7"/>
        <v>190000</v>
      </c>
      <c r="BU174" s="413">
        <v>0.39999999999999991</v>
      </c>
      <c r="BV174" s="413">
        <v>0</v>
      </c>
      <c r="BW174" s="413">
        <v>0</v>
      </c>
      <c r="BX174" s="413">
        <v>0</v>
      </c>
      <c r="BY174" s="413">
        <v>0</v>
      </c>
      <c r="BZ174" s="413">
        <v>0</v>
      </c>
      <c r="CA174" s="413">
        <v>0</v>
      </c>
      <c r="CB174" s="413">
        <v>0.6</v>
      </c>
      <c r="CC174" s="413">
        <v>0</v>
      </c>
      <c r="CD174" s="413">
        <v>0</v>
      </c>
      <c r="CE174" s="413">
        <v>0</v>
      </c>
      <c r="CF174" s="413">
        <v>0</v>
      </c>
      <c r="CG174" s="413">
        <v>0</v>
      </c>
      <c r="CH174" s="413">
        <v>0</v>
      </c>
      <c r="CI174" s="413">
        <v>0</v>
      </c>
      <c r="CJ174" s="413">
        <v>0</v>
      </c>
      <c r="CK174" s="413">
        <v>0</v>
      </c>
      <c r="CL174" s="413">
        <v>0</v>
      </c>
      <c r="CM174" s="413">
        <v>0</v>
      </c>
      <c r="CN174" s="413">
        <v>0</v>
      </c>
      <c r="CO174" s="414">
        <f t="shared" si="6"/>
        <v>0.99999999999999989</v>
      </c>
    </row>
    <row r="175" spans="1:93" s="415" customFormat="1" ht="25.5" customHeight="1" x14ac:dyDescent="0.25">
      <c r="A175" s="881" t="s">
        <v>184</v>
      </c>
      <c r="B175" s="862" t="s">
        <v>1776</v>
      </c>
      <c r="C175" s="861" t="s">
        <v>948</v>
      </c>
      <c r="D175" s="862"/>
      <c r="E175" s="861" t="s">
        <v>779</v>
      </c>
      <c r="F175" s="862"/>
      <c r="G175" s="861" t="s">
        <v>648</v>
      </c>
      <c r="H175" s="861" t="s">
        <v>654</v>
      </c>
      <c r="I175" s="861" t="s">
        <v>647</v>
      </c>
      <c r="J175" s="861" t="s">
        <v>671</v>
      </c>
      <c r="K175" s="861" t="s">
        <v>649</v>
      </c>
      <c r="L175" s="861" t="s">
        <v>36</v>
      </c>
      <c r="M175" s="861" t="s">
        <v>646</v>
      </c>
      <c r="N175" s="861"/>
      <c r="O175" s="861"/>
      <c r="P175" s="861"/>
      <c r="Q175" s="861" t="s">
        <v>656</v>
      </c>
      <c r="R175" s="861" t="s">
        <v>652</v>
      </c>
      <c r="S175" s="861" t="s">
        <v>649</v>
      </c>
      <c r="T175" s="861"/>
      <c r="U175" s="861"/>
      <c r="V175" s="861" t="s">
        <v>36</v>
      </c>
      <c r="W175" s="861" t="s">
        <v>666</v>
      </c>
      <c r="X175" s="863">
        <v>41456</v>
      </c>
      <c r="Y175" s="863">
        <v>41771</v>
      </c>
      <c r="Z175" s="864">
        <v>2015</v>
      </c>
      <c r="AA175" s="861" t="s">
        <v>676</v>
      </c>
      <c r="AB175" s="861" t="s">
        <v>675</v>
      </c>
      <c r="AC175" s="861" t="s">
        <v>663</v>
      </c>
      <c r="AD175" s="865"/>
      <c r="AE175" s="865"/>
      <c r="AF175" s="865"/>
      <c r="AG175" s="865"/>
      <c r="AH175" s="865"/>
      <c r="AI175" s="865"/>
      <c r="AJ175" s="865"/>
      <c r="AK175" s="865"/>
      <c r="AL175" s="865"/>
      <c r="AM175" s="865"/>
      <c r="AN175" s="865"/>
      <c r="AO175" s="865"/>
      <c r="AP175" s="865"/>
      <c r="AQ175" s="865"/>
      <c r="AR175" s="865"/>
      <c r="AS175" s="865"/>
      <c r="AT175" s="865"/>
      <c r="AU175" s="865"/>
      <c r="AV175" s="865">
        <v>79100</v>
      </c>
      <c r="AW175" s="865"/>
      <c r="AX175" s="865"/>
      <c r="AY175" s="865">
        <v>33900</v>
      </c>
      <c r="AZ175" s="865"/>
      <c r="BA175" s="865"/>
      <c r="BB175" s="865"/>
      <c r="BC175" s="865"/>
      <c r="BD175" s="865"/>
      <c r="BE175" s="865"/>
      <c r="BF175" s="865"/>
      <c r="BG175" s="865"/>
      <c r="BH175" s="865"/>
      <c r="BI175" s="865"/>
      <c r="BJ175" s="865"/>
      <c r="BK175" s="865"/>
      <c r="BL175" s="865"/>
      <c r="BM175" s="865"/>
      <c r="BN175" s="865"/>
      <c r="BO175" s="865"/>
      <c r="BP175" s="865"/>
      <c r="BQ175" s="865"/>
      <c r="BR175" s="865"/>
      <c r="BS175" s="865">
        <v>113000</v>
      </c>
      <c r="BT175" s="412">
        <f t="shared" si="7"/>
        <v>113000</v>
      </c>
      <c r="BU175" s="413">
        <v>0.7</v>
      </c>
      <c r="BV175" s="413">
        <v>0</v>
      </c>
      <c r="BW175" s="413">
        <v>0</v>
      </c>
      <c r="BX175" s="413">
        <v>0</v>
      </c>
      <c r="BY175" s="413">
        <v>0</v>
      </c>
      <c r="BZ175" s="413">
        <v>0</v>
      </c>
      <c r="CA175" s="413">
        <v>0</v>
      </c>
      <c r="CB175" s="413">
        <v>0.3</v>
      </c>
      <c r="CC175" s="413">
        <v>0</v>
      </c>
      <c r="CD175" s="413">
        <v>0</v>
      </c>
      <c r="CE175" s="413">
        <v>0</v>
      </c>
      <c r="CF175" s="413">
        <v>0</v>
      </c>
      <c r="CG175" s="413">
        <v>0</v>
      </c>
      <c r="CH175" s="413">
        <v>0</v>
      </c>
      <c r="CI175" s="413">
        <v>0</v>
      </c>
      <c r="CJ175" s="413">
        <v>0</v>
      </c>
      <c r="CK175" s="413">
        <v>0</v>
      </c>
      <c r="CL175" s="413">
        <v>0</v>
      </c>
      <c r="CM175" s="413">
        <v>0</v>
      </c>
      <c r="CN175" s="413">
        <v>0</v>
      </c>
      <c r="CO175" s="414">
        <f t="shared" si="6"/>
        <v>1</v>
      </c>
    </row>
    <row r="176" spans="1:93" s="415" customFormat="1" ht="38.25" customHeight="1" x14ac:dyDescent="0.25">
      <c r="A176" s="881" t="s">
        <v>185</v>
      </c>
      <c r="B176" s="862" t="s">
        <v>1778</v>
      </c>
      <c r="C176" s="861" t="s">
        <v>947</v>
      </c>
      <c r="D176" s="862"/>
      <c r="E176" s="861" t="s">
        <v>779</v>
      </c>
      <c r="F176" s="862"/>
      <c r="G176" s="861" t="s">
        <v>722</v>
      </c>
      <c r="H176" s="861" t="s">
        <v>654</v>
      </c>
      <c r="I176" s="861" t="s">
        <v>647</v>
      </c>
      <c r="J176" s="861" t="s">
        <v>641</v>
      </c>
      <c r="K176" s="861" t="s">
        <v>649</v>
      </c>
      <c r="L176" s="861" t="s">
        <v>60</v>
      </c>
      <c r="M176" s="861" t="s">
        <v>646</v>
      </c>
      <c r="N176" s="861" t="s">
        <v>645</v>
      </c>
      <c r="O176" s="861"/>
      <c r="P176" s="861"/>
      <c r="Q176" s="861" t="s">
        <v>656</v>
      </c>
      <c r="R176" s="861" t="s">
        <v>652</v>
      </c>
      <c r="S176" s="861" t="s">
        <v>649</v>
      </c>
      <c r="T176" s="861"/>
      <c r="U176" s="861"/>
      <c r="V176" s="861" t="s">
        <v>59</v>
      </c>
      <c r="W176" s="861" t="s">
        <v>666</v>
      </c>
      <c r="X176" s="863">
        <v>41456</v>
      </c>
      <c r="Y176" s="863">
        <v>41926</v>
      </c>
      <c r="Z176" s="864">
        <v>2014</v>
      </c>
      <c r="AA176" s="861"/>
      <c r="AB176" s="861" t="s">
        <v>697</v>
      </c>
      <c r="AC176" s="861" t="s">
        <v>649</v>
      </c>
      <c r="AD176" s="865"/>
      <c r="AE176" s="865"/>
      <c r="AF176" s="865"/>
      <c r="AG176" s="865">
        <v>2000000.0000000047</v>
      </c>
      <c r="AH176" s="865"/>
      <c r="AI176" s="865"/>
      <c r="AJ176" s="865"/>
      <c r="AK176" s="865"/>
      <c r="AL176" s="865"/>
      <c r="AM176" s="865"/>
      <c r="AN176" s="865"/>
      <c r="AO176" s="865"/>
      <c r="AP176" s="865"/>
      <c r="AQ176" s="865"/>
      <c r="AR176" s="865"/>
      <c r="AS176" s="865"/>
      <c r="AT176" s="865"/>
      <c r="AU176" s="865"/>
      <c r="AV176" s="865"/>
      <c r="AW176" s="865"/>
      <c r="AX176" s="865"/>
      <c r="AY176" s="865"/>
      <c r="AZ176" s="865"/>
      <c r="BA176" s="865"/>
      <c r="BB176" s="865"/>
      <c r="BC176" s="865"/>
      <c r="BD176" s="865"/>
      <c r="BE176" s="865"/>
      <c r="BF176" s="865"/>
      <c r="BG176" s="865"/>
      <c r="BH176" s="865">
        <v>20000.000000000051</v>
      </c>
      <c r="BI176" s="865"/>
      <c r="BJ176" s="865"/>
      <c r="BK176" s="865">
        <v>42000.000000000102</v>
      </c>
      <c r="BL176" s="865"/>
      <c r="BM176" s="865"/>
      <c r="BN176" s="865"/>
      <c r="BO176" s="865"/>
      <c r="BP176" s="865"/>
      <c r="BQ176" s="865"/>
      <c r="BR176" s="865"/>
      <c r="BS176" s="865">
        <v>2062000.0000000051</v>
      </c>
      <c r="BT176" s="412">
        <f t="shared" si="7"/>
        <v>2000000.0000000047</v>
      </c>
      <c r="BU176" s="413">
        <v>0</v>
      </c>
      <c r="BV176" s="413">
        <v>0</v>
      </c>
      <c r="BW176" s="413">
        <v>0</v>
      </c>
      <c r="BX176" s="413">
        <v>0</v>
      </c>
      <c r="BY176" s="413">
        <v>0</v>
      </c>
      <c r="BZ176" s="413">
        <v>0</v>
      </c>
      <c r="CA176" s="413">
        <v>0</v>
      </c>
      <c r="CB176" s="413">
        <v>0</v>
      </c>
      <c r="CC176" s="413">
        <v>0</v>
      </c>
      <c r="CD176" s="413">
        <v>1</v>
      </c>
      <c r="CE176" s="413">
        <v>0</v>
      </c>
      <c r="CF176" s="413">
        <v>0</v>
      </c>
      <c r="CG176" s="413">
        <v>0</v>
      </c>
      <c r="CH176" s="413">
        <v>0</v>
      </c>
      <c r="CI176" s="413">
        <v>0</v>
      </c>
      <c r="CJ176" s="413">
        <v>0</v>
      </c>
      <c r="CK176" s="413">
        <v>0</v>
      </c>
      <c r="CL176" s="413">
        <v>0</v>
      </c>
      <c r="CM176" s="413">
        <v>0</v>
      </c>
      <c r="CN176" s="413">
        <v>0</v>
      </c>
      <c r="CO176" s="414">
        <f t="shared" si="6"/>
        <v>1</v>
      </c>
    </row>
    <row r="177" spans="1:93" s="415" customFormat="1" ht="38.25" x14ac:dyDescent="0.25">
      <c r="A177" s="881" t="s">
        <v>187</v>
      </c>
      <c r="B177" s="862" t="s">
        <v>1782</v>
      </c>
      <c r="C177" s="861" t="s">
        <v>946</v>
      </c>
      <c r="D177" s="862"/>
      <c r="E177" s="861"/>
      <c r="F177" s="862"/>
      <c r="G177" s="861" t="s">
        <v>681</v>
      </c>
      <c r="H177" s="861" t="s">
        <v>654</v>
      </c>
      <c r="I177" s="861" t="s">
        <v>647</v>
      </c>
      <c r="J177" s="861" t="s">
        <v>641</v>
      </c>
      <c r="K177" s="861" t="s">
        <v>649</v>
      </c>
      <c r="L177" s="861" t="s">
        <v>40</v>
      </c>
      <c r="M177" s="861" t="s">
        <v>646</v>
      </c>
      <c r="N177" s="861" t="s">
        <v>680</v>
      </c>
      <c r="O177" s="861" t="s">
        <v>945</v>
      </c>
      <c r="P177" s="861" t="s">
        <v>823</v>
      </c>
      <c r="Q177" s="861" t="s">
        <v>642</v>
      </c>
      <c r="R177" s="861" t="s">
        <v>652</v>
      </c>
      <c r="S177" s="861" t="s">
        <v>649</v>
      </c>
      <c r="T177" s="861"/>
      <c r="U177" s="861"/>
      <c r="V177" s="861" t="s">
        <v>641</v>
      </c>
      <c r="W177" s="861" t="s">
        <v>688</v>
      </c>
      <c r="X177" s="863"/>
      <c r="Y177" s="863"/>
      <c r="Z177" s="864">
        <v>2017</v>
      </c>
      <c r="AA177" s="861" t="s">
        <v>663</v>
      </c>
      <c r="AB177" s="861"/>
      <c r="AC177" s="861"/>
      <c r="AD177" s="865"/>
      <c r="AE177" s="865"/>
      <c r="AF177" s="865"/>
      <c r="AG177" s="865"/>
      <c r="AH177" s="865"/>
      <c r="AI177" s="865"/>
      <c r="AJ177" s="865"/>
      <c r="AK177" s="865"/>
      <c r="AL177" s="865"/>
      <c r="AM177" s="865"/>
      <c r="AN177" s="865"/>
      <c r="AO177" s="865"/>
      <c r="AP177" s="865"/>
      <c r="AQ177" s="865"/>
      <c r="AR177" s="865"/>
      <c r="AS177" s="865"/>
      <c r="AT177" s="865"/>
      <c r="AU177" s="865"/>
      <c r="AV177" s="865"/>
      <c r="AW177" s="865"/>
      <c r="AX177" s="865"/>
      <c r="AY177" s="865"/>
      <c r="AZ177" s="865"/>
      <c r="BA177" s="865"/>
      <c r="BB177" s="865"/>
      <c r="BC177" s="865"/>
      <c r="BD177" s="865"/>
      <c r="BE177" s="865"/>
      <c r="BF177" s="865"/>
      <c r="BG177" s="865"/>
      <c r="BH177" s="865"/>
      <c r="BI177" s="865"/>
      <c r="BJ177" s="865"/>
      <c r="BK177" s="865"/>
      <c r="BL177" s="865"/>
      <c r="BM177" s="865"/>
      <c r="BN177" s="865"/>
      <c r="BO177" s="865"/>
      <c r="BP177" s="865"/>
      <c r="BQ177" s="865"/>
      <c r="BR177" s="865"/>
      <c r="BS177" s="865"/>
      <c r="BT177" s="412">
        <f t="shared" si="7"/>
        <v>0</v>
      </c>
      <c r="BU177" s="413">
        <v>0</v>
      </c>
      <c r="BV177" s="413">
        <v>0</v>
      </c>
      <c r="BW177" s="413">
        <v>0</v>
      </c>
      <c r="BX177" s="413">
        <v>0</v>
      </c>
      <c r="BY177" s="413">
        <v>0</v>
      </c>
      <c r="BZ177" s="413">
        <v>0</v>
      </c>
      <c r="CA177" s="413">
        <v>0</v>
      </c>
      <c r="CB177" s="413">
        <v>0</v>
      </c>
      <c r="CC177" s="413">
        <v>0</v>
      </c>
      <c r="CD177" s="413">
        <v>0</v>
      </c>
      <c r="CE177" s="413">
        <v>0</v>
      </c>
      <c r="CF177" s="413">
        <v>0</v>
      </c>
      <c r="CG177" s="413">
        <v>0</v>
      </c>
      <c r="CH177" s="413">
        <v>0</v>
      </c>
      <c r="CI177" s="413">
        <v>0</v>
      </c>
      <c r="CJ177" s="413">
        <v>0</v>
      </c>
      <c r="CK177" s="413">
        <v>0</v>
      </c>
      <c r="CL177" s="413">
        <v>0</v>
      </c>
      <c r="CM177" s="413">
        <v>0</v>
      </c>
      <c r="CN177" s="413">
        <v>0</v>
      </c>
      <c r="CO177" s="414">
        <f t="shared" si="6"/>
        <v>0</v>
      </c>
    </row>
    <row r="178" spans="1:93" s="415" customFormat="1" ht="25.5" customHeight="1" x14ac:dyDescent="0.25">
      <c r="A178" s="881" t="s">
        <v>944</v>
      </c>
      <c r="B178" s="862" t="s">
        <v>1790</v>
      </c>
      <c r="C178" s="861" t="s">
        <v>943</v>
      </c>
      <c r="D178" s="862"/>
      <c r="E178" s="861" t="s">
        <v>942</v>
      </c>
      <c r="F178" s="862"/>
      <c r="G178" s="861" t="s">
        <v>648</v>
      </c>
      <c r="H178" s="861" t="s">
        <v>654</v>
      </c>
      <c r="I178" s="861" t="s">
        <v>647</v>
      </c>
      <c r="J178" s="861" t="s">
        <v>671</v>
      </c>
      <c r="K178" s="861" t="s">
        <v>649</v>
      </c>
      <c r="L178" s="861" t="s">
        <v>55</v>
      </c>
      <c r="M178" s="861" t="s">
        <v>646</v>
      </c>
      <c r="N178" s="861"/>
      <c r="O178" s="861"/>
      <c r="P178" s="861"/>
      <c r="Q178" s="861" t="s">
        <v>656</v>
      </c>
      <c r="R178" s="861" t="s">
        <v>652</v>
      </c>
      <c r="S178" s="861" t="s">
        <v>649</v>
      </c>
      <c r="T178" s="861"/>
      <c r="U178" s="861"/>
      <c r="V178" s="861" t="s">
        <v>683</v>
      </c>
      <c r="W178" s="861" t="s">
        <v>666</v>
      </c>
      <c r="X178" s="863">
        <v>42705</v>
      </c>
      <c r="Y178" s="863">
        <v>43461</v>
      </c>
      <c r="Z178" s="864">
        <v>2018</v>
      </c>
      <c r="AA178" s="861" t="s">
        <v>676</v>
      </c>
      <c r="AB178" s="861" t="s">
        <v>675</v>
      </c>
      <c r="AC178" s="861" t="s">
        <v>663</v>
      </c>
      <c r="AD178" s="865"/>
      <c r="AE178" s="865"/>
      <c r="AF178" s="865"/>
      <c r="AG178" s="865"/>
      <c r="AH178" s="865"/>
      <c r="AI178" s="865"/>
      <c r="AJ178" s="865"/>
      <c r="AK178" s="865"/>
      <c r="AL178" s="865"/>
      <c r="AM178" s="865"/>
      <c r="AN178" s="865"/>
      <c r="AO178" s="865"/>
      <c r="AP178" s="865"/>
      <c r="AQ178" s="865"/>
      <c r="AR178" s="865"/>
      <c r="AS178" s="865"/>
      <c r="AT178" s="865"/>
      <c r="AU178" s="865"/>
      <c r="AV178" s="865"/>
      <c r="AW178" s="865">
        <v>62445</v>
      </c>
      <c r="AX178" s="865">
        <v>594868</v>
      </c>
      <c r="AY178" s="865"/>
      <c r="AZ178" s="865"/>
      <c r="BA178" s="865"/>
      <c r="BB178" s="865"/>
      <c r="BC178" s="865"/>
      <c r="BD178" s="865"/>
      <c r="BE178" s="865"/>
      <c r="BF178" s="865"/>
      <c r="BG178" s="865"/>
      <c r="BH178" s="865"/>
      <c r="BI178" s="865"/>
      <c r="BJ178" s="865"/>
      <c r="BK178" s="865"/>
      <c r="BL178" s="865"/>
      <c r="BM178" s="865"/>
      <c r="BN178" s="865"/>
      <c r="BO178" s="865"/>
      <c r="BP178" s="865"/>
      <c r="BQ178" s="865"/>
      <c r="BR178" s="865"/>
      <c r="BS178" s="865">
        <v>657313</v>
      </c>
      <c r="BT178" s="412">
        <f t="shared" si="7"/>
        <v>657313</v>
      </c>
      <c r="BU178" s="413">
        <v>0</v>
      </c>
      <c r="BV178" s="413">
        <v>0</v>
      </c>
      <c r="BW178" s="413">
        <v>0</v>
      </c>
      <c r="BX178" s="413">
        <v>1</v>
      </c>
      <c r="BY178" s="413">
        <v>0</v>
      </c>
      <c r="BZ178" s="413">
        <v>0</v>
      </c>
      <c r="CA178" s="413">
        <v>0</v>
      </c>
      <c r="CB178" s="413">
        <v>0</v>
      </c>
      <c r="CC178" s="413">
        <v>0</v>
      </c>
      <c r="CD178" s="413">
        <v>0</v>
      </c>
      <c r="CE178" s="413">
        <v>0</v>
      </c>
      <c r="CF178" s="413">
        <v>0</v>
      </c>
      <c r="CG178" s="413">
        <v>0</v>
      </c>
      <c r="CH178" s="413">
        <v>0</v>
      </c>
      <c r="CI178" s="413">
        <v>0</v>
      </c>
      <c r="CJ178" s="413">
        <v>0</v>
      </c>
      <c r="CK178" s="413">
        <v>0</v>
      </c>
      <c r="CL178" s="413">
        <v>0</v>
      </c>
      <c r="CM178" s="413">
        <v>0</v>
      </c>
      <c r="CN178" s="413">
        <v>0</v>
      </c>
      <c r="CO178" s="414">
        <f t="shared" si="6"/>
        <v>1</v>
      </c>
    </row>
    <row r="179" spans="1:93" s="415" customFormat="1" ht="25.5" customHeight="1" x14ac:dyDescent="0.25">
      <c r="A179" s="881" t="s">
        <v>192</v>
      </c>
      <c r="B179" s="862" t="s">
        <v>1791</v>
      </c>
      <c r="C179" s="861" t="s">
        <v>941</v>
      </c>
      <c r="D179" s="862"/>
      <c r="E179" s="861" t="s">
        <v>692</v>
      </c>
      <c r="F179" s="862"/>
      <c r="G179" s="861"/>
      <c r="H179" s="861" t="s">
        <v>654</v>
      </c>
      <c r="I179" s="861" t="s">
        <v>647</v>
      </c>
      <c r="J179" s="861" t="s">
        <v>671</v>
      </c>
      <c r="K179" s="861" t="s">
        <v>649</v>
      </c>
      <c r="L179" s="861" t="s">
        <v>55</v>
      </c>
      <c r="M179" s="861" t="s">
        <v>646</v>
      </c>
      <c r="N179" s="861" t="s">
        <v>645</v>
      </c>
      <c r="O179" s="861"/>
      <c r="P179" s="861"/>
      <c r="Q179" s="861" t="s">
        <v>656</v>
      </c>
      <c r="R179" s="861" t="s">
        <v>652</v>
      </c>
      <c r="S179" s="861" t="s">
        <v>649</v>
      </c>
      <c r="T179" s="861"/>
      <c r="U179" s="861"/>
      <c r="V179" s="861" t="s">
        <v>683</v>
      </c>
      <c r="W179" s="861" t="s">
        <v>677</v>
      </c>
      <c r="X179" s="863">
        <v>42879</v>
      </c>
      <c r="Y179" s="863">
        <v>43644</v>
      </c>
      <c r="Z179" s="864">
        <v>2019</v>
      </c>
      <c r="AA179" s="861"/>
      <c r="AB179" s="861"/>
      <c r="AC179" s="861"/>
      <c r="AD179" s="865"/>
      <c r="AE179" s="865"/>
      <c r="AF179" s="865"/>
      <c r="AG179" s="865"/>
      <c r="AH179" s="865"/>
      <c r="AI179" s="865"/>
      <c r="AJ179" s="865"/>
      <c r="AK179" s="865"/>
      <c r="AL179" s="865"/>
      <c r="AM179" s="865"/>
      <c r="AN179" s="865"/>
      <c r="AO179" s="865"/>
      <c r="AP179" s="865"/>
      <c r="AQ179" s="865"/>
      <c r="AR179" s="865"/>
      <c r="AS179" s="865"/>
      <c r="AT179" s="865"/>
      <c r="AU179" s="865"/>
      <c r="AV179" s="865"/>
      <c r="AW179" s="865">
        <v>599999.99999999988</v>
      </c>
      <c r="AX179" s="865"/>
      <c r="AY179" s="865"/>
      <c r="AZ179" s="865"/>
      <c r="BA179" s="865"/>
      <c r="BB179" s="865"/>
      <c r="BC179" s="865"/>
      <c r="BD179" s="865"/>
      <c r="BE179" s="865"/>
      <c r="BF179" s="865"/>
      <c r="BG179" s="865"/>
      <c r="BH179" s="865">
        <v>2399999.9999999995</v>
      </c>
      <c r="BI179" s="865"/>
      <c r="BJ179" s="865"/>
      <c r="BK179" s="865"/>
      <c r="BL179" s="865"/>
      <c r="BM179" s="865"/>
      <c r="BN179" s="865"/>
      <c r="BO179" s="865"/>
      <c r="BP179" s="865"/>
      <c r="BQ179" s="865"/>
      <c r="BR179" s="865"/>
      <c r="BS179" s="865">
        <v>2999999.9999999995</v>
      </c>
      <c r="BT179" s="412">
        <f t="shared" si="7"/>
        <v>599999.99999999988</v>
      </c>
      <c r="BU179" s="413">
        <v>0</v>
      </c>
      <c r="BV179" s="413">
        <v>0</v>
      </c>
      <c r="BW179" s="413">
        <v>0</v>
      </c>
      <c r="BX179" s="413">
        <v>1</v>
      </c>
      <c r="BY179" s="413">
        <v>0</v>
      </c>
      <c r="BZ179" s="413">
        <v>0</v>
      </c>
      <c r="CA179" s="413">
        <v>0</v>
      </c>
      <c r="CB179" s="413">
        <v>0</v>
      </c>
      <c r="CC179" s="413">
        <v>0</v>
      </c>
      <c r="CD179" s="413">
        <v>0</v>
      </c>
      <c r="CE179" s="413">
        <v>0</v>
      </c>
      <c r="CF179" s="413">
        <v>0</v>
      </c>
      <c r="CG179" s="413">
        <v>0</v>
      </c>
      <c r="CH179" s="413">
        <v>0</v>
      </c>
      <c r="CI179" s="413">
        <v>0</v>
      </c>
      <c r="CJ179" s="413">
        <v>0</v>
      </c>
      <c r="CK179" s="413">
        <v>0</v>
      </c>
      <c r="CL179" s="413">
        <v>0</v>
      </c>
      <c r="CM179" s="413">
        <v>0</v>
      </c>
      <c r="CN179" s="413">
        <v>0</v>
      </c>
      <c r="CO179" s="414">
        <f t="shared" si="6"/>
        <v>1</v>
      </c>
    </row>
    <row r="180" spans="1:93" s="415" customFormat="1" ht="25.5" customHeight="1" x14ac:dyDescent="0.25">
      <c r="A180" s="881" t="s">
        <v>940</v>
      </c>
      <c r="B180" s="862" t="s">
        <v>1793</v>
      </c>
      <c r="C180" s="861" t="s">
        <v>939</v>
      </c>
      <c r="D180" s="862"/>
      <c r="E180" s="861" t="s">
        <v>938</v>
      </c>
      <c r="F180" s="862"/>
      <c r="G180" s="861" t="s">
        <v>648</v>
      </c>
      <c r="H180" s="861" t="s">
        <v>654</v>
      </c>
      <c r="I180" s="861" t="s">
        <v>647</v>
      </c>
      <c r="J180" s="861" t="s">
        <v>671</v>
      </c>
      <c r="K180" s="861" t="s">
        <v>649</v>
      </c>
      <c r="L180" s="861" t="s">
        <v>55</v>
      </c>
      <c r="M180" s="861" t="s">
        <v>646</v>
      </c>
      <c r="N180" s="861"/>
      <c r="O180" s="861"/>
      <c r="P180" s="861"/>
      <c r="Q180" s="861" t="s">
        <v>656</v>
      </c>
      <c r="R180" s="861" t="s">
        <v>652</v>
      </c>
      <c r="S180" s="861" t="s">
        <v>649</v>
      </c>
      <c r="T180" s="861"/>
      <c r="U180" s="861"/>
      <c r="V180" s="861" t="s">
        <v>683</v>
      </c>
      <c r="W180" s="861" t="s">
        <v>666</v>
      </c>
      <c r="X180" s="863">
        <v>42095</v>
      </c>
      <c r="Y180" s="863">
        <v>42490</v>
      </c>
      <c r="Z180" s="864">
        <v>2015</v>
      </c>
      <c r="AA180" s="861" t="s">
        <v>676</v>
      </c>
      <c r="AB180" s="861" t="s">
        <v>675</v>
      </c>
      <c r="AC180" s="861" t="s">
        <v>663</v>
      </c>
      <c r="AD180" s="865"/>
      <c r="AE180" s="865"/>
      <c r="AF180" s="865"/>
      <c r="AG180" s="865"/>
      <c r="AH180" s="865"/>
      <c r="AI180" s="865"/>
      <c r="AJ180" s="865"/>
      <c r="AK180" s="865"/>
      <c r="AL180" s="865"/>
      <c r="AM180" s="865"/>
      <c r="AN180" s="865"/>
      <c r="AO180" s="865"/>
      <c r="AP180" s="865"/>
      <c r="AQ180" s="865"/>
      <c r="AR180" s="865"/>
      <c r="AS180" s="865"/>
      <c r="AT180" s="865"/>
      <c r="AU180" s="865"/>
      <c r="AV180" s="865"/>
      <c r="AW180" s="865">
        <v>353875.00000000006</v>
      </c>
      <c r="AX180" s="865">
        <v>3371127.0000000009</v>
      </c>
      <c r="AY180" s="865"/>
      <c r="AZ180" s="865"/>
      <c r="BA180" s="865"/>
      <c r="BB180" s="865"/>
      <c r="BC180" s="865"/>
      <c r="BD180" s="865"/>
      <c r="BE180" s="865"/>
      <c r="BF180" s="865"/>
      <c r="BG180" s="865"/>
      <c r="BH180" s="865"/>
      <c r="BI180" s="865"/>
      <c r="BJ180" s="865"/>
      <c r="BK180" s="865"/>
      <c r="BL180" s="865"/>
      <c r="BM180" s="865"/>
      <c r="BN180" s="865"/>
      <c r="BO180" s="865"/>
      <c r="BP180" s="865"/>
      <c r="BQ180" s="865"/>
      <c r="BR180" s="865"/>
      <c r="BS180" s="865">
        <v>3725002.0000000014</v>
      </c>
      <c r="BT180" s="412">
        <f t="shared" si="7"/>
        <v>3725002.0000000009</v>
      </c>
      <c r="BU180" s="413">
        <v>0</v>
      </c>
      <c r="BV180" s="413">
        <v>0</v>
      </c>
      <c r="BW180" s="413">
        <v>0</v>
      </c>
      <c r="BX180" s="413">
        <v>1</v>
      </c>
      <c r="BY180" s="413">
        <v>0</v>
      </c>
      <c r="BZ180" s="413">
        <v>0</v>
      </c>
      <c r="CA180" s="413">
        <v>0</v>
      </c>
      <c r="CB180" s="413">
        <v>0</v>
      </c>
      <c r="CC180" s="413">
        <v>0</v>
      </c>
      <c r="CD180" s="413">
        <v>0</v>
      </c>
      <c r="CE180" s="413">
        <v>0</v>
      </c>
      <c r="CF180" s="413">
        <v>0</v>
      </c>
      <c r="CG180" s="413">
        <v>0</v>
      </c>
      <c r="CH180" s="413">
        <v>0</v>
      </c>
      <c r="CI180" s="413">
        <v>0</v>
      </c>
      <c r="CJ180" s="413">
        <v>0</v>
      </c>
      <c r="CK180" s="413">
        <v>0</v>
      </c>
      <c r="CL180" s="413">
        <v>0</v>
      </c>
      <c r="CM180" s="413">
        <v>0</v>
      </c>
      <c r="CN180" s="413">
        <v>0</v>
      </c>
      <c r="CO180" s="414">
        <f t="shared" si="6"/>
        <v>1</v>
      </c>
    </row>
    <row r="181" spans="1:93" s="415" customFormat="1" ht="25.5" customHeight="1" x14ac:dyDescent="0.25">
      <c r="A181" s="881" t="s">
        <v>193</v>
      </c>
      <c r="B181" s="862" t="s">
        <v>1796</v>
      </c>
      <c r="C181" s="861" t="s">
        <v>937</v>
      </c>
      <c r="D181" s="862"/>
      <c r="E181" s="861" t="s">
        <v>936</v>
      </c>
      <c r="F181" s="862"/>
      <c r="G181" s="861" t="s">
        <v>648</v>
      </c>
      <c r="H181" s="861" t="s">
        <v>654</v>
      </c>
      <c r="I181" s="861" t="s">
        <v>647</v>
      </c>
      <c r="J181" s="861" t="s">
        <v>671</v>
      </c>
      <c r="K181" s="861" t="s">
        <v>649</v>
      </c>
      <c r="L181" s="861" t="s">
        <v>55</v>
      </c>
      <c r="M181" s="861" t="s">
        <v>646</v>
      </c>
      <c r="N181" s="861"/>
      <c r="O181" s="861"/>
      <c r="P181" s="861"/>
      <c r="Q181" s="861" t="s">
        <v>656</v>
      </c>
      <c r="R181" s="861" t="s">
        <v>652</v>
      </c>
      <c r="S181" s="861" t="s">
        <v>649</v>
      </c>
      <c r="T181" s="861"/>
      <c r="U181" s="861"/>
      <c r="V181" s="861" t="s">
        <v>683</v>
      </c>
      <c r="W181" s="861" t="s">
        <v>677</v>
      </c>
      <c r="X181" s="863">
        <v>43525</v>
      </c>
      <c r="Y181" s="863">
        <v>43888</v>
      </c>
      <c r="Z181" s="864">
        <v>2020</v>
      </c>
      <c r="AA181" s="861" t="s">
        <v>676</v>
      </c>
      <c r="AB181" s="861" t="s">
        <v>675</v>
      </c>
      <c r="AC181" s="861" t="s">
        <v>663</v>
      </c>
      <c r="AD181" s="865"/>
      <c r="AE181" s="865"/>
      <c r="AF181" s="865"/>
      <c r="AG181" s="865"/>
      <c r="AH181" s="865"/>
      <c r="AI181" s="865"/>
      <c r="AJ181" s="865"/>
      <c r="AK181" s="865"/>
      <c r="AL181" s="865"/>
      <c r="AM181" s="865"/>
      <c r="AN181" s="865"/>
      <c r="AO181" s="865"/>
      <c r="AP181" s="865"/>
      <c r="AQ181" s="865"/>
      <c r="AR181" s="865"/>
      <c r="AS181" s="865"/>
      <c r="AT181" s="865"/>
      <c r="AU181" s="865"/>
      <c r="AV181" s="865"/>
      <c r="AW181" s="865">
        <v>421157</v>
      </c>
      <c r="AX181" s="865">
        <v>77843.999999999985</v>
      </c>
      <c r="AY181" s="865"/>
      <c r="AZ181" s="865"/>
      <c r="BA181" s="865"/>
      <c r="BB181" s="865"/>
      <c r="BC181" s="865"/>
      <c r="BD181" s="865"/>
      <c r="BE181" s="865"/>
      <c r="BF181" s="865"/>
      <c r="BG181" s="865"/>
      <c r="BH181" s="865"/>
      <c r="BI181" s="865"/>
      <c r="BJ181" s="865"/>
      <c r="BK181" s="865"/>
      <c r="BL181" s="865"/>
      <c r="BM181" s="865"/>
      <c r="BN181" s="865"/>
      <c r="BO181" s="865"/>
      <c r="BP181" s="865"/>
      <c r="BQ181" s="865"/>
      <c r="BR181" s="865"/>
      <c r="BS181" s="865">
        <v>499001</v>
      </c>
      <c r="BT181" s="412">
        <f t="shared" si="7"/>
        <v>499001</v>
      </c>
      <c r="BU181" s="413">
        <v>0</v>
      </c>
      <c r="BV181" s="413">
        <v>0</v>
      </c>
      <c r="BW181" s="413">
        <v>0</v>
      </c>
      <c r="BX181" s="413">
        <v>1</v>
      </c>
      <c r="BY181" s="413">
        <v>0</v>
      </c>
      <c r="BZ181" s="413">
        <v>0</v>
      </c>
      <c r="CA181" s="413">
        <v>0</v>
      </c>
      <c r="CB181" s="413">
        <v>0</v>
      </c>
      <c r="CC181" s="413">
        <v>0</v>
      </c>
      <c r="CD181" s="413">
        <v>0</v>
      </c>
      <c r="CE181" s="413">
        <v>0</v>
      </c>
      <c r="CF181" s="413">
        <v>0</v>
      </c>
      <c r="CG181" s="413">
        <v>0</v>
      </c>
      <c r="CH181" s="413">
        <v>0</v>
      </c>
      <c r="CI181" s="413">
        <v>0</v>
      </c>
      <c r="CJ181" s="413">
        <v>0</v>
      </c>
      <c r="CK181" s="413">
        <v>0</v>
      </c>
      <c r="CL181" s="413">
        <v>0</v>
      </c>
      <c r="CM181" s="413">
        <v>0</v>
      </c>
      <c r="CN181" s="413">
        <v>0</v>
      </c>
      <c r="CO181" s="414">
        <f t="shared" si="6"/>
        <v>1</v>
      </c>
    </row>
    <row r="182" spans="1:93" s="415" customFormat="1" ht="25.5" customHeight="1" x14ac:dyDescent="0.25">
      <c r="A182" s="881" t="s">
        <v>195</v>
      </c>
      <c r="B182" s="862" t="s">
        <v>1798</v>
      </c>
      <c r="C182" s="861" t="s">
        <v>935</v>
      </c>
      <c r="D182" s="862"/>
      <c r="E182" s="861" t="s">
        <v>934</v>
      </c>
      <c r="F182" s="862"/>
      <c r="G182" s="861" t="s">
        <v>648</v>
      </c>
      <c r="H182" s="861" t="s">
        <v>654</v>
      </c>
      <c r="I182" s="861" t="s">
        <v>647</v>
      </c>
      <c r="J182" s="861" t="s">
        <v>671</v>
      </c>
      <c r="K182" s="861" t="s">
        <v>649</v>
      </c>
      <c r="L182" s="861" t="s">
        <v>55</v>
      </c>
      <c r="M182" s="861" t="s">
        <v>646</v>
      </c>
      <c r="N182" s="861"/>
      <c r="O182" s="861"/>
      <c r="P182" s="861"/>
      <c r="Q182" s="861" t="s">
        <v>650</v>
      </c>
      <c r="R182" s="861" t="s">
        <v>652</v>
      </c>
      <c r="S182" s="861" t="s">
        <v>649</v>
      </c>
      <c r="T182" s="861"/>
      <c r="U182" s="861"/>
      <c r="V182" s="861" t="s">
        <v>683</v>
      </c>
      <c r="W182" s="861" t="s">
        <v>677</v>
      </c>
      <c r="X182" s="863">
        <v>41303</v>
      </c>
      <c r="Y182" s="863">
        <v>41893</v>
      </c>
      <c r="Z182" s="864">
        <v>2014</v>
      </c>
      <c r="AA182" s="861" t="s">
        <v>676</v>
      </c>
      <c r="AB182" s="861" t="s">
        <v>675</v>
      </c>
      <c r="AC182" s="861" t="s">
        <v>663</v>
      </c>
      <c r="AD182" s="865"/>
      <c r="AE182" s="865"/>
      <c r="AF182" s="865"/>
      <c r="AG182" s="865"/>
      <c r="AH182" s="865"/>
      <c r="AI182" s="865"/>
      <c r="AJ182" s="865"/>
      <c r="AK182" s="865"/>
      <c r="AL182" s="865"/>
      <c r="AM182" s="865"/>
      <c r="AN182" s="865"/>
      <c r="AO182" s="865"/>
      <c r="AP182" s="865"/>
      <c r="AQ182" s="865"/>
      <c r="AR182" s="865"/>
      <c r="AS182" s="865"/>
      <c r="AT182" s="865"/>
      <c r="AU182" s="865"/>
      <c r="AV182" s="865"/>
      <c r="AW182" s="865">
        <v>2144640</v>
      </c>
      <c r="AX182" s="865">
        <v>89360.000000000015</v>
      </c>
      <c r="AY182" s="865"/>
      <c r="AZ182" s="865"/>
      <c r="BA182" s="865"/>
      <c r="BB182" s="865"/>
      <c r="BC182" s="865"/>
      <c r="BD182" s="865"/>
      <c r="BE182" s="865"/>
      <c r="BF182" s="865"/>
      <c r="BG182" s="865"/>
      <c r="BH182" s="865"/>
      <c r="BI182" s="865"/>
      <c r="BJ182" s="865"/>
      <c r="BK182" s="865"/>
      <c r="BL182" s="865"/>
      <c r="BM182" s="865"/>
      <c r="BN182" s="865"/>
      <c r="BO182" s="865"/>
      <c r="BP182" s="865"/>
      <c r="BQ182" s="865"/>
      <c r="BR182" s="865"/>
      <c r="BS182" s="865">
        <v>2234000</v>
      </c>
      <c r="BT182" s="412">
        <f t="shared" si="7"/>
        <v>2234000</v>
      </c>
      <c r="BU182" s="413">
        <v>0</v>
      </c>
      <c r="BV182" s="413">
        <v>0</v>
      </c>
      <c r="BW182" s="413">
        <v>0</v>
      </c>
      <c r="BX182" s="413">
        <v>1</v>
      </c>
      <c r="BY182" s="413">
        <v>0</v>
      </c>
      <c r="BZ182" s="413">
        <v>0</v>
      </c>
      <c r="CA182" s="413">
        <v>0</v>
      </c>
      <c r="CB182" s="413">
        <v>0</v>
      </c>
      <c r="CC182" s="413">
        <v>0</v>
      </c>
      <c r="CD182" s="413">
        <v>0</v>
      </c>
      <c r="CE182" s="413">
        <v>0</v>
      </c>
      <c r="CF182" s="413">
        <v>0</v>
      </c>
      <c r="CG182" s="413">
        <v>0</v>
      </c>
      <c r="CH182" s="413">
        <v>0</v>
      </c>
      <c r="CI182" s="413">
        <v>0</v>
      </c>
      <c r="CJ182" s="413">
        <v>0</v>
      </c>
      <c r="CK182" s="413">
        <v>0</v>
      </c>
      <c r="CL182" s="413">
        <v>0</v>
      </c>
      <c r="CM182" s="413">
        <v>0</v>
      </c>
      <c r="CN182" s="413">
        <v>0</v>
      </c>
      <c r="CO182" s="414">
        <f t="shared" si="6"/>
        <v>1</v>
      </c>
    </row>
    <row r="183" spans="1:93" s="415" customFormat="1" ht="25.5" customHeight="1" x14ac:dyDescent="0.25">
      <c r="A183" s="881" t="s">
        <v>933</v>
      </c>
      <c r="B183" s="862" t="s">
        <v>1802</v>
      </c>
      <c r="C183" s="861" t="s">
        <v>932</v>
      </c>
      <c r="D183" s="862"/>
      <c r="E183" s="861" t="s">
        <v>779</v>
      </c>
      <c r="F183" s="862"/>
      <c r="G183" s="861" t="s">
        <v>648</v>
      </c>
      <c r="H183" s="861" t="s">
        <v>654</v>
      </c>
      <c r="I183" s="861" t="s">
        <v>647</v>
      </c>
      <c r="J183" s="861" t="s">
        <v>671</v>
      </c>
      <c r="K183" s="861" t="s">
        <v>649</v>
      </c>
      <c r="L183" s="861" t="s">
        <v>36</v>
      </c>
      <c r="M183" s="861" t="s">
        <v>646</v>
      </c>
      <c r="N183" s="861"/>
      <c r="O183" s="861"/>
      <c r="P183" s="861"/>
      <c r="Q183" s="861" t="s">
        <v>656</v>
      </c>
      <c r="R183" s="861" t="s">
        <v>652</v>
      </c>
      <c r="S183" s="861" t="s">
        <v>649</v>
      </c>
      <c r="T183" s="861"/>
      <c r="U183" s="861"/>
      <c r="V183" s="861" t="s">
        <v>36</v>
      </c>
      <c r="W183" s="861" t="s">
        <v>666</v>
      </c>
      <c r="X183" s="863">
        <v>41821</v>
      </c>
      <c r="Y183" s="863">
        <v>42184</v>
      </c>
      <c r="Z183" s="864">
        <v>2014</v>
      </c>
      <c r="AA183" s="861" t="s">
        <v>676</v>
      </c>
      <c r="AB183" s="861" t="s">
        <v>675</v>
      </c>
      <c r="AC183" s="861" t="s">
        <v>663</v>
      </c>
      <c r="AD183" s="865"/>
      <c r="AE183" s="865"/>
      <c r="AF183" s="865"/>
      <c r="AG183" s="865"/>
      <c r="AH183" s="865"/>
      <c r="AI183" s="865"/>
      <c r="AJ183" s="865"/>
      <c r="AK183" s="865"/>
      <c r="AL183" s="865"/>
      <c r="AM183" s="865"/>
      <c r="AN183" s="865"/>
      <c r="AO183" s="865"/>
      <c r="AP183" s="865"/>
      <c r="AQ183" s="865"/>
      <c r="AR183" s="865"/>
      <c r="AS183" s="865"/>
      <c r="AT183" s="865"/>
      <c r="AU183" s="865"/>
      <c r="AV183" s="865">
        <v>9200.0000000000036</v>
      </c>
      <c r="AW183" s="865"/>
      <c r="AX183" s="865"/>
      <c r="AY183" s="865"/>
      <c r="AZ183" s="865">
        <v>13800.000000000007</v>
      </c>
      <c r="BA183" s="865"/>
      <c r="BB183" s="865"/>
      <c r="BC183" s="865"/>
      <c r="BD183" s="865"/>
      <c r="BE183" s="865"/>
      <c r="BF183" s="865"/>
      <c r="BG183" s="865"/>
      <c r="BH183" s="865"/>
      <c r="BI183" s="865"/>
      <c r="BJ183" s="865"/>
      <c r="BK183" s="865"/>
      <c r="BL183" s="865"/>
      <c r="BM183" s="865"/>
      <c r="BN183" s="865"/>
      <c r="BO183" s="865"/>
      <c r="BP183" s="865"/>
      <c r="BQ183" s="865"/>
      <c r="BR183" s="865"/>
      <c r="BS183" s="865">
        <v>23000.000000000011</v>
      </c>
      <c r="BT183" s="412">
        <f t="shared" si="7"/>
        <v>23000.000000000011</v>
      </c>
      <c r="BU183" s="413">
        <v>0.39999999999999997</v>
      </c>
      <c r="BV183" s="413">
        <v>0</v>
      </c>
      <c r="BW183" s="413">
        <v>0</v>
      </c>
      <c r="BX183" s="413">
        <v>0</v>
      </c>
      <c r="BY183" s="413">
        <v>0</v>
      </c>
      <c r="BZ183" s="413">
        <v>0</v>
      </c>
      <c r="CA183" s="413">
        <v>0</v>
      </c>
      <c r="CB183" s="413">
        <v>0.6</v>
      </c>
      <c r="CC183" s="413">
        <v>0</v>
      </c>
      <c r="CD183" s="413">
        <v>0</v>
      </c>
      <c r="CE183" s="413">
        <v>0</v>
      </c>
      <c r="CF183" s="413">
        <v>0</v>
      </c>
      <c r="CG183" s="413">
        <v>0</v>
      </c>
      <c r="CH183" s="413">
        <v>0</v>
      </c>
      <c r="CI183" s="413">
        <v>0</v>
      </c>
      <c r="CJ183" s="413">
        <v>0</v>
      </c>
      <c r="CK183" s="413">
        <v>0</v>
      </c>
      <c r="CL183" s="413">
        <v>0</v>
      </c>
      <c r="CM183" s="413">
        <v>0</v>
      </c>
      <c r="CN183" s="413">
        <v>0</v>
      </c>
      <c r="CO183" s="414">
        <f t="shared" si="6"/>
        <v>1</v>
      </c>
    </row>
    <row r="184" spans="1:93" s="415" customFormat="1" ht="25.5" customHeight="1" x14ac:dyDescent="0.25">
      <c r="A184" s="881" t="s">
        <v>200</v>
      </c>
      <c r="B184" s="862" t="s">
        <v>1804</v>
      </c>
      <c r="C184" s="861" t="s">
        <v>931</v>
      </c>
      <c r="D184" s="862"/>
      <c r="E184" s="861" t="s">
        <v>930</v>
      </c>
      <c r="F184" s="862"/>
      <c r="G184" s="861" t="s">
        <v>648</v>
      </c>
      <c r="H184" s="861" t="s">
        <v>654</v>
      </c>
      <c r="I184" s="861" t="s">
        <v>647</v>
      </c>
      <c r="J184" s="861" t="s">
        <v>671</v>
      </c>
      <c r="K184" s="861" t="s">
        <v>649</v>
      </c>
      <c r="L184" s="861" t="s">
        <v>55</v>
      </c>
      <c r="M184" s="861" t="s">
        <v>646</v>
      </c>
      <c r="N184" s="861"/>
      <c r="O184" s="861"/>
      <c r="P184" s="861"/>
      <c r="Q184" s="861" t="s">
        <v>656</v>
      </c>
      <c r="R184" s="861" t="s">
        <v>652</v>
      </c>
      <c r="S184" s="861" t="s">
        <v>649</v>
      </c>
      <c r="T184" s="861"/>
      <c r="U184" s="861"/>
      <c r="V184" s="861" t="s">
        <v>683</v>
      </c>
      <c r="W184" s="861" t="s">
        <v>666</v>
      </c>
      <c r="X184" s="863">
        <v>42705</v>
      </c>
      <c r="Y184" s="863">
        <v>43432</v>
      </c>
      <c r="Z184" s="864">
        <v>2018</v>
      </c>
      <c r="AA184" s="861" t="s">
        <v>676</v>
      </c>
      <c r="AB184" s="861" t="s">
        <v>675</v>
      </c>
      <c r="AC184" s="861" t="s">
        <v>663</v>
      </c>
      <c r="AD184" s="865"/>
      <c r="AE184" s="865"/>
      <c r="AF184" s="865"/>
      <c r="AG184" s="865"/>
      <c r="AH184" s="865"/>
      <c r="AI184" s="865"/>
      <c r="AJ184" s="865"/>
      <c r="AK184" s="865"/>
      <c r="AL184" s="865"/>
      <c r="AM184" s="865"/>
      <c r="AN184" s="865"/>
      <c r="AO184" s="865"/>
      <c r="AP184" s="865"/>
      <c r="AQ184" s="865"/>
      <c r="AR184" s="865"/>
      <c r="AS184" s="865"/>
      <c r="AT184" s="865"/>
      <c r="AU184" s="865"/>
      <c r="AV184" s="865"/>
      <c r="AW184" s="865">
        <v>185249.9999999998</v>
      </c>
      <c r="AX184" s="865">
        <v>1764749.9999999977</v>
      </c>
      <c r="AY184" s="865"/>
      <c r="AZ184" s="865"/>
      <c r="BA184" s="865"/>
      <c r="BB184" s="865"/>
      <c r="BC184" s="865"/>
      <c r="BD184" s="865"/>
      <c r="BE184" s="865"/>
      <c r="BF184" s="865"/>
      <c r="BG184" s="865"/>
      <c r="BH184" s="865"/>
      <c r="BI184" s="865"/>
      <c r="BJ184" s="865"/>
      <c r="BK184" s="865"/>
      <c r="BL184" s="865"/>
      <c r="BM184" s="865"/>
      <c r="BN184" s="865"/>
      <c r="BO184" s="865"/>
      <c r="BP184" s="865"/>
      <c r="BQ184" s="865"/>
      <c r="BR184" s="865"/>
      <c r="BS184" s="865">
        <v>1949999.9999999972</v>
      </c>
      <c r="BT184" s="412">
        <f t="shared" si="7"/>
        <v>1949999.9999999974</v>
      </c>
      <c r="BU184" s="413">
        <v>0</v>
      </c>
      <c r="BV184" s="413">
        <v>0</v>
      </c>
      <c r="BW184" s="413">
        <v>0</v>
      </c>
      <c r="BX184" s="413">
        <v>1</v>
      </c>
      <c r="BY184" s="413">
        <v>0</v>
      </c>
      <c r="BZ184" s="413">
        <v>0</v>
      </c>
      <c r="CA184" s="413">
        <v>0</v>
      </c>
      <c r="CB184" s="413">
        <v>0</v>
      </c>
      <c r="CC184" s="413">
        <v>0</v>
      </c>
      <c r="CD184" s="413">
        <v>0</v>
      </c>
      <c r="CE184" s="413">
        <v>0</v>
      </c>
      <c r="CF184" s="413">
        <v>0</v>
      </c>
      <c r="CG184" s="413">
        <v>0</v>
      </c>
      <c r="CH184" s="413">
        <v>0</v>
      </c>
      <c r="CI184" s="413">
        <v>0</v>
      </c>
      <c r="CJ184" s="413">
        <v>0</v>
      </c>
      <c r="CK184" s="413">
        <v>0</v>
      </c>
      <c r="CL184" s="413">
        <v>0</v>
      </c>
      <c r="CM184" s="413">
        <v>0</v>
      </c>
      <c r="CN184" s="413">
        <v>0</v>
      </c>
      <c r="CO184" s="414">
        <f t="shared" si="6"/>
        <v>1</v>
      </c>
    </row>
    <row r="185" spans="1:93" s="415" customFormat="1" ht="38.25" customHeight="1" x14ac:dyDescent="0.25">
      <c r="A185" s="881" t="s">
        <v>202</v>
      </c>
      <c r="B185" s="862" t="s">
        <v>1806</v>
      </c>
      <c r="C185" s="861" t="s">
        <v>929</v>
      </c>
      <c r="D185" s="862"/>
      <c r="E185" s="861" t="s">
        <v>692</v>
      </c>
      <c r="F185" s="862"/>
      <c r="G185" s="861"/>
      <c r="H185" s="861" t="s">
        <v>654</v>
      </c>
      <c r="I185" s="861" t="s">
        <v>647</v>
      </c>
      <c r="J185" s="861" t="s">
        <v>671</v>
      </c>
      <c r="K185" s="861" t="s">
        <v>649</v>
      </c>
      <c r="L185" s="861" t="s">
        <v>55</v>
      </c>
      <c r="M185" s="861" t="s">
        <v>646</v>
      </c>
      <c r="N185" s="861" t="s">
        <v>645</v>
      </c>
      <c r="O185" s="861"/>
      <c r="P185" s="861"/>
      <c r="Q185" s="861" t="s">
        <v>656</v>
      </c>
      <c r="R185" s="861" t="s">
        <v>652</v>
      </c>
      <c r="S185" s="861" t="s">
        <v>649</v>
      </c>
      <c r="T185" s="861"/>
      <c r="U185" s="861"/>
      <c r="V185" s="861" t="s">
        <v>683</v>
      </c>
      <c r="W185" s="861" t="s">
        <v>640</v>
      </c>
      <c r="X185" s="863">
        <v>42948</v>
      </c>
      <c r="Y185" s="863">
        <v>43558</v>
      </c>
      <c r="Z185" s="864">
        <v>2019</v>
      </c>
      <c r="AA185" s="861"/>
      <c r="AB185" s="861"/>
      <c r="AC185" s="861"/>
      <c r="AD185" s="865"/>
      <c r="AE185" s="865"/>
      <c r="AF185" s="865"/>
      <c r="AG185" s="865"/>
      <c r="AH185" s="865"/>
      <c r="AI185" s="865"/>
      <c r="AJ185" s="865"/>
      <c r="AK185" s="865"/>
      <c r="AL185" s="865"/>
      <c r="AM185" s="865"/>
      <c r="AN185" s="865"/>
      <c r="AO185" s="865"/>
      <c r="AP185" s="865"/>
      <c r="AQ185" s="865"/>
      <c r="AR185" s="865"/>
      <c r="AS185" s="865"/>
      <c r="AT185" s="865"/>
      <c r="AU185" s="865"/>
      <c r="AV185" s="865"/>
      <c r="AW185" s="865">
        <v>232580.99999999983</v>
      </c>
      <c r="AX185" s="865"/>
      <c r="AY185" s="865"/>
      <c r="AZ185" s="865"/>
      <c r="BA185" s="865"/>
      <c r="BB185" s="865"/>
      <c r="BC185" s="865"/>
      <c r="BD185" s="865"/>
      <c r="BE185" s="865"/>
      <c r="BF185" s="865"/>
      <c r="BG185" s="865"/>
      <c r="BH185" s="865">
        <v>930519.08808333275</v>
      </c>
      <c r="BI185" s="865"/>
      <c r="BJ185" s="865"/>
      <c r="BK185" s="865"/>
      <c r="BL185" s="865"/>
      <c r="BM185" s="865"/>
      <c r="BN185" s="865"/>
      <c r="BO185" s="865"/>
      <c r="BP185" s="865"/>
      <c r="BQ185" s="865"/>
      <c r="BR185" s="865"/>
      <c r="BS185" s="865">
        <v>1163100.0880833326</v>
      </c>
      <c r="BT185" s="412">
        <f t="shared" si="7"/>
        <v>232580.99999999983</v>
      </c>
      <c r="BU185" s="413">
        <v>0</v>
      </c>
      <c r="BV185" s="413">
        <v>0</v>
      </c>
      <c r="BW185" s="413">
        <v>0</v>
      </c>
      <c r="BX185" s="413">
        <v>1</v>
      </c>
      <c r="BY185" s="413">
        <v>0</v>
      </c>
      <c r="BZ185" s="413">
        <v>0</v>
      </c>
      <c r="CA185" s="413">
        <v>0</v>
      </c>
      <c r="CB185" s="413">
        <v>0</v>
      </c>
      <c r="CC185" s="413">
        <v>0</v>
      </c>
      <c r="CD185" s="413">
        <v>0</v>
      </c>
      <c r="CE185" s="413">
        <v>0</v>
      </c>
      <c r="CF185" s="413">
        <v>0</v>
      </c>
      <c r="CG185" s="413">
        <v>0</v>
      </c>
      <c r="CH185" s="413">
        <v>0</v>
      </c>
      <c r="CI185" s="413">
        <v>0</v>
      </c>
      <c r="CJ185" s="413">
        <v>0</v>
      </c>
      <c r="CK185" s="413">
        <v>0</v>
      </c>
      <c r="CL185" s="413">
        <v>0</v>
      </c>
      <c r="CM185" s="413">
        <v>0</v>
      </c>
      <c r="CN185" s="413">
        <v>0</v>
      </c>
      <c r="CO185" s="414">
        <f t="shared" si="6"/>
        <v>1</v>
      </c>
    </row>
    <row r="186" spans="1:93" s="415" customFormat="1" ht="25.5" customHeight="1" x14ac:dyDescent="0.25">
      <c r="A186" s="881" t="s">
        <v>205</v>
      </c>
      <c r="B186" s="862" t="s">
        <v>1814</v>
      </c>
      <c r="C186" s="861" t="s">
        <v>928</v>
      </c>
      <c r="D186" s="862"/>
      <c r="E186" s="861" t="s">
        <v>55</v>
      </c>
      <c r="F186" s="862"/>
      <c r="G186" s="861" t="s">
        <v>648</v>
      </c>
      <c r="H186" s="861" t="s">
        <v>654</v>
      </c>
      <c r="I186" s="861" t="s">
        <v>647</v>
      </c>
      <c r="J186" s="861" t="s">
        <v>671</v>
      </c>
      <c r="K186" s="861" t="s">
        <v>649</v>
      </c>
      <c r="L186" s="861" t="s">
        <v>40</v>
      </c>
      <c r="M186" s="861" t="s">
        <v>646</v>
      </c>
      <c r="N186" s="861" t="s">
        <v>680</v>
      </c>
      <c r="O186" s="861" t="s">
        <v>927</v>
      </c>
      <c r="P186" s="861" t="s">
        <v>823</v>
      </c>
      <c r="Q186" s="861" t="s">
        <v>656</v>
      </c>
      <c r="R186" s="861" t="s">
        <v>652</v>
      </c>
      <c r="S186" s="861" t="s">
        <v>649</v>
      </c>
      <c r="T186" s="861" t="s">
        <v>107</v>
      </c>
      <c r="U186" s="861" t="s">
        <v>689</v>
      </c>
      <c r="V186" s="861" t="s">
        <v>683</v>
      </c>
      <c r="W186" s="861" t="s">
        <v>694</v>
      </c>
      <c r="X186" s="863"/>
      <c r="Y186" s="863"/>
      <c r="Z186" s="864">
        <v>2014</v>
      </c>
      <c r="AA186" s="861" t="s">
        <v>676</v>
      </c>
      <c r="AB186" s="861" t="s">
        <v>675</v>
      </c>
      <c r="AC186" s="861" t="s">
        <v>649</v>
      </c>
      <c r="AD186" s="865"/>
      <c r="AE186" s="865"/>
      <c r="AF186" s="865"/>
      <c r="AG186" s="865"/>
      <c r="AH186" s="865"/>
      <c r="AI186" s="865"/>
      <c r="AJ186" s="865"/>
      <c r="AK186" s="865"/>
      <c r="AL186" s="865"/>
      <c r="AM186" s="865"/>
      <c r="AN186" s="865"/>
      <c r="AO186" s="865"/>
      <c r="AP186" s="865"/>
      <c r="AQ186" s="865"/>
      <c r="AR186" s="865"/>
      <c r="AS186" s="865"/>
      <c r="AT186" s="865"/>
      <c r="AU186" s="865"/>
      <c r="AV186" s="865"/>
      <c r="AW186" s="865"/>
      <c r="AX186" s="865"/>
      <c r="AY186" s="865"/>
      <c r="AZ186" s="865"/>
      <c r="BA186" s="865"/>
      <c r="BB186" s="865"/>
      <c r="BC186" s="865"/>
      <c r="BD186" s="865"/>
      <c r="BE186" s="865"/>
      <c r="BF186" s="865"/>
      <c r="BG186" s="865"/>
      <c r="BH186" s="865"/>
      <c r="BI186" s="865"/>
      <c r="BJ186" s="865"/>
      <c r="BK186" s="865"/>
      <c r="BL186" s="865"/>
      <c r="BM186" s="865"/>
      <c r="BN186" s="865"/>
      <c r="BO186" s="865"/>
      <c r="BP186" s="865"/>
      <c r="BQ186" s="865"/>
      <c r="BR186" s="865"/>
      <c r="BS186" s="865"/>
      <c r="BT186" s="412">
        <f t="shared" si="7"/>
        <v>0</v>
      </c>
      <c r="BU186" s="413">
        <v>0</v>
      </c>
      <c r="BV186" s="413">
        <v>0</v>
      </c>
      <c r="BW186" s="413">
        <v>0</v>
      </c>
      <c r="BX186" s="413">
        <v>0</v>
      </c>
      <c r="BY186" s="413">
        <v>0</v>
      </c>
      <c r="BZ186" s="413">
        <v>0</v>
      </c>
      <c r="CA186" s="413">
        <v>0</v>
      </c>
      <c r="CB186" s="413">
        <v>0</v>
      </c>
      <c r="CC186" s="413">
        <v>0</v>
      </c>
      <c r="CD186" s="413">
        <v>0</v>
      </c>
      <c r="CE186" s="413">
        <v>0</v>
      </c>
      <c r="CF186" s="413">
        <v>0</v>
      </c>
      <c r="CG186" s="413">
        <v>0</v>
      </c>
      <c r="CH186" s="413">
        <v>0</v>
      </c>
      <c r="CI186" s="413">
        <v>0</v>
      </c>
      <c r="CJ186" s="413">
        <v>0</v>
      </c>
      <c r="CK186" s="413">
        <v>0</v>
      </c>
      <c r="CL186" s="413">
        <v>0</v>
      </c>
      <c r="CM186" s="413">
        <v>0</v>
      </c>
      <c r="CN186" s="413">
        <v>0</v>
      </c>
      <c r="CO186" s="414">
        <f t="shared" si="6"/>
        <v>0</v>
      </c>
    </row>
    <row r="187" spans="1:93" s="415" customFormat="1" ht="25.5" customHeight="1" x14ac:dyDescent="0.25">
      <c r="A187" s="881" t="s">
        <v>207</v>
      </c>
      <c r="B187" s="862" t="s">
        <v>1816</v>
      </c>
      <c r="C187" s="861" t="s">
        <v>926</v>
      </c>
      <c r="D187" s="862"/>
      <c r="E187" s="861" t="s">
        <v>925</v>
      </c>
      <c r="F187" s="862"/>
      <c r="G187" s="861" t="s">
        <v>648</v>
      </c>
      <c r="H187" s="861" t="s">
        <v>654</v>
      </c>
      <c r="I187" s="861" t="s">
        <v>647</v>
      </c>
      <c r="J187" s="861" t="s">
        <v>641</v>
      </c>
      <c r="K187" s="861" t="s">
        <v>649</v>
      </c>
      <c r="L187" s="861" t="s">
        <v>41</v>
      </c>
      <c r="M187" s="861" t="s">
        <v>646</v>
      </c>
      <c r="N187" s="861" t="s">
        <v>680</v>
      </c>
      <c r="O187" s="861"/>
      <c r="P187" s="861" t="s">
        <v>643</v>
      </c>
      <c r="Q187" s="861" t="s">
        <v>650</v>
      </c>
      <c r="R187" s="861" t="s">
        <v>652</v>
      </c>
      <c r="S187" s="861" t="s">
        <v>649</v>
      </c>
      <c r="T187" s="861"/>
      <c r="U187" s="861"/>
      <c r="V187" s="861" t="s">
        <v>59</v>
      </c>
      <c r="W187" s="861" t="s">
        <v>677</v>
      </c>
      <c r="X187" s="863">
        <v>42917</v>
      </c>
      <c r="Y187" s="863">
        <v>43279</v>
      </c>
      <c r="Z187" s="864">
        <v>2018</v>
      </c>
      <c r="AA187" s="861" t="s">
        <v>676</v>
      </c>
      <c r="AB187" s="861" t="s">
        <v>675</v>
      </c>
      <c r="AC187" s="861" t="s">
        <v>663</v>
      </c>
      <c r="AD187" s="865"/>
      <c r="AE187" s="865"/>
      <c r="AF187" s="865"/>
      <c r="AG187" s="865"/>
      <c r="AH187" s="865"/>
      <c r="AI187" s="865"/>
      <c r="AJ187" s="865"/>
      <c r="AK187" s="865"/>
      <c r="AL187" s="865"/>
      <c r="AM187" s="865"/>
      <c r="AN187" s="865"/>
      <c r="AO187" s="865"/>
      <c r="AP187" s="865"/>
      <c r="AQ187" s="865"/>
      <c r="AR187" s="865"/>
      <c r="AS187" s="865"/>
      <c r="AT187" s="865"/>
      <c r="AU187" s="865"/>
      <c r="AV187" s="865"/>
      <c r="AW187" s="865">
        <v>68400</v>
      </c>
      <c r="AX187" s="865"/>
      <c r="AY187" s="865"/>
      <c r="AZ187" s="865"/>
      <c r="BA187" s="865"/>
      <c r="BB187" s="865"/>
      <c r="BC187" s="865"/>
      <c r="BD187" s="865"/>
      <c r="BE187" s="865"/>
      <c r="BF187" s="865"/>
      <c r="BG187" s="865"/>
      <c r="BH187" s="865">
        <v>112068.93500000001</v>
      </c>
      <c r="BI187" s="865"/>
      <c r="BJ187" s="865"/>
      <c r="BK187" s="865"/>
      <c r="BL187" s="865"/>
      <c r="BM187" s="865"/>
      <c r="BN187" s="865"/>
      <c r="BO187" s="865"/>
      <c r="BP187" s="865"/>
      <c r="BQ187" s="865"/>
      <c r="BR187" s="865"/>
      <c r="BS187" s="865">
        <v>180468.935</v>
      </c>
      <c r="BT187" s="412">
        <f t="shared" si="7"/>
        <v>68400</v>
      </c>
      <c r="BU187" s="413">
        <v>0</v>
      </c>
      <c r="BV187" s="413">
        <v>0</v>
      </c>
      <c r="BW187" s="413">
        <v>0</v>
      </c>
      <c r="BX187" s="413">
        <v>1</v>
      </c>
      <c r="BY187" s="413">
        <v>0</v>
      </c>
      <c r="BZ187" s="413">
        <v>0</v>
      </c>
      <c r="CA187" s="413">
        <v>0</v>
      </c>
      <c r="CB187" s="413">
        <v>0</v>
      </c>
      <c r="CC187" s="413">
        <v>0</v>
      </c>
      <c r="CD187" s="413">
        <v>0</v>
      </c>
      <c r="CE187" s="413">
        <v>0</v>
      </c>
      <c r="CF187" s="413">
        <v>0</v>
      </c>
      <c r="CG187" s="413">
        <v>0</v>
      </c>
      <c r="CH187" s="413">
        <v>0</v>
      </c>
      <c r="CI187" s="413">
        <v>0</v>
      </c>
      <c r="CJ187" s="413">
        <v>0</v>
      </c>
      <c r="CK187" s="413">
        <v>0</v>
      </c>
      <c r="CL187" s="413">
        <v>0</v>
      </c>
      <c r="CM187" s="413">
        <v>0</v>
      </c>
      <c r="CN187" s="413">
        <v>0</v>
      </c>
      <c r="CO187" s="414">
        <f t="shared" si="6"/>
        <v>1</v>
      </c>
    </row>
    <row r="188" spans="1:93" s="415" customFormat="1" ht="25.5" customHeight="1" x14ac:dyDescent="0.25">
      <c r="A188" s="881" t="s">
        <v>209</v>
      </c>
      <c r="B188" s="862" t="s">
        <v>1820</v>
      </c>
      <c r="C188" s="861" t="s">
        <v>924</v>
      </c>
      <c r="D188" s="862"/>
      <c r="E188" s="861" t="s">
        <v>56</v>
      </c>
      <c r="F188" s="862"/>
      <c r="G188" s="861" t="s">
        <v>722</v>
      </c>
      <c r="H188" s="861" t="s">
        <v>654</v>
      </c>
      <c r="I188" s="861" t="s">
        <v>647</v>
      </c>
      <c r="J188" s="861" t="s">
        <v>641</v>
      </c>
      <c r="K188" s="861" t="s">
        <v>649</v>
      </c>
      <c r="L188" s="861" t="s">
        <v>40</v>
      </c>
      <c r="M188" s="861" t="s">
        <v>646</v>
      </c>
      <c r="N188" s="861"/>
      <c r="O188" s="861"/>
      <c r="P188" s="861"/>
      <c r="Q188" s="861" t="s">
        <v>642</v>
      </c>
      <c r="R188" s="861" t="s">
        <v>652</v>
      </c>
      <c r="S188" s="861" t="s">
        <v>649</v>
      </c>
      <c r="T188" s="861"/>
      <c r="U188" s="861"/>
      <c r="V188" s="861" t="s">
        <v>685</v>
      </c>
      <c r="W188" s="861" t="s">
        <v>684</v>
      </c>
      <c r="X188" s="863">
        <v>40990</v>
      </c>
      <c r="Y188" s="863">
        <v>43935</v>
      </c>
      <c r="Z188" s="864">
        <v>2020</v>
      </c>
      <c r="AA188" s="861" t="s">
        <v>663</v>
      </c>
      <c r="AB188" s="861" t="s">
        <v>675</v>
      </c>
      <c r="AC188" s="861" t="s">
        <v>663</v>
      </c>
      <c r="AD188" s="865"/>
      <c r="AE188" s="865"/>
      <c r="AF188" s="865"/>
      <c r="AG188" s="865"/>
      <c r="AH188" s="865"/>
      <c r="AI188" s="865"/>
      <c r="AJ188" s="865">
        <v>520405.69939999998</v>
      </c>
      <c r="AK188" s="865"/>
      <c r="AL188" s="865"/>
      <c r="AM188" s="865"/>
      <c r="AN188" s="865"/>
      <c r="AO188" s="865"/>
      <c r="AP188" s="865"/>
      <c r="AQ188" s="865"/>
      <c r="AR188" s="865">
        <v>2087099.1973933992</v>
      </c>
      <c r="AS188" s="865">
        <v>2923968.1343454998</v>
      </c>
      <c r="AT188" s="865"/>
      <c r="AU188" s="865"/>
      <c r="AV188" s="865"/>
      <c r="AW188" s="865"/>
      <c r="AX188" s="865"/>
      <c r="AY188" s="865"/>
      <c r="AZ188" s="865"/>
      <c r="BA188" s="865"/>
      <c r="BB188" s="865"/>
      <c r="BC188" s="865"/>
      <c r="BD188" s="865"/>
      <c r="BE188" s="865"/>
      <c r="BF188" s="865"/>
      <c r="BG188" s="865"/>
      <c r="BH188" s="865">
        <v>691434.12889236282</v>
      </c>
      <c r="BI188" s="865">
        <v>663776.76373666828</v>
      </c>
      <c r="BJ188" s="865">
        <v>55314.730311389023</v>
      </c>
      <c r="BK188" s="865">
        <v>165944.19093416704</v>
      </c>
      <c r="BL188" s="865">
        <v>82972.095467083505</v>
      </c>
      <c r="BM188" s="865">
        <v>165944.19093416707</v>
      </c>
      <c r="BN188" s="865">
        <v>110629.46062277802</v>
      </c>
      <c r="BO188" s="865"/>
      <c r="BP188" s="865"/>
      <c r="BQ188" s="865"/>
      <c r="BR188" s="865"/>
      <c r="BS188" s="865">
        <v>7467488.5920375157</v>
      </c>
      <c r="BT188" s="412">
        <f t="shared" si="7"/>
        <v>5531473.0311388988</v>
      </c>
      <c r="BU188" s="413">
        <v>0</v>
      </c>
      <c r="BV188" s="413">
        <v>0.52860569289324932</v>
      </c>
      <c r="BW188" s="413">
        <v>0.37731345441698327</v>
      </c>
      <c r="BX188" s="413">
        <v>0</v>
      </c>
      <c r="BY188" s="413">
        <v>0</v>
      </c>
      <c r="BZ188" s="413">
        <v>0</v>
      </c>
      <c r="CA188" s="413">
        <v>0</v>
      </c>
      <c r="CB188" s="413">
        <v>0</v>
      </c>
      <c r="CC188" s="413">
        <v>0</v>
      </c>
      <c r="CD188" s="413">
        <v>0</v>
      </c>
      <c r="CE188" s="413">
        <v>9.4080852689767416E-2</v>
      </c>
      <c r="CF188" s="413">
        <v>0</v>
      </c>
      <c r="CG188" s="413">
        <v>0</v>
      </c>
      <c r="CH188" s="413">
        <v>0</v>
      </c>
      <c r="CI188" s="413">
        <v>0</v>
      </c>
      <c r="CJ188" s="413">
        <v>0</v>
      </c>
      <c r="CK188" s="413">
        <v>0</v>
      </c>
      <c r="CL188" s="413">
        <v>0</v>
      </c>
      <c r="CM188" s="413">
        <v>0</v>
      </c>
      <c r="CN188" s="413">
        <v>0</v>
      </c>
      <c r="CO188" s="414">
        <f t="shared" si="6"/>
        <v>1</v>
      </c>
    </row>
    <row r="189" spans="1:93" s="415" customFormat="1" ht="25.5" customHeight="1" x14ac:dyDescent="0.25">
      <c r="A189" s="881" t="s">
        <v>211</v>
      </c>
      <c r="B189" s="862" t="s">
        <v>1822</v>
      </c>
      <c r="C189" s="861" t="s">
        <v>923</v>
      </c>
      <c r="D189" s="862"/>
      <c r="E189" s="861" t="s">
        <v>779</v>
      </c>
      <c r="F189" s="862"/>
      <c r="G189" s="861" t="s">
        <v>648</v>
      </c>
      <c r="H189" s="861" t="s">
        <v>654</v>
      </c>
      <c r="I189" s="861" t="s">
        <v>647</v>
      </c>
      <c r="J189" s="861" t="s">
        <v>671</v>
      </c>
      <c r="K189" s="861" t="s">
        <v>649</v>
      </c>
      <c r="L189" s="861" t="s">
        <v>36</v>
      </c>
      <c r="M189" s="861" t="s">
        <v>646</v>
      </c>
      <c r="N189" s="861" t="s">
        <v>699</v>
      </c>
      <c r="O189" s="861"/>
      <c r="P189" s="861"/>
      <c r="Q189" s="861" t="s">
        <v>650</v>
      </c>
      <c r="R189" s="861" t="s">
        <v>652</v>
      </c>
      <c r="S189" s="861"/>
      <c r="T189" s="861"/>
      <c r="U189" s="861"/>
      <c r="V189" s="861" t="s">
        <v>36</v>
      </c>
      <c r="W189" s="861" t="s">
        <v>677</v>
      </c>
      <c r="X189" s="863">
        <v>41456</v>
      </c>
      <c r="Y189" s="863">
        <v>41771</v>
      </c>
      <c r="Z189" s="864">
        <v>2014</v>
      </c>
      <c r="AA189" s="861" t="s">
        <v>676</v>
      </c>
      <c r="AB189" s="861" t="s">
        <v>675</v>
      </c>
      <c r="AC189" s="861" t="s">
        <v>663</v>
      </c>
      <c r="AD189" s="865"/>
      <c r="AE189" s="865"/>
      <c r="AF189" s="865"/>
      <c r="AG189" s="865"/>
      <c r="AH189" s="865"/>
      <c r="AI189" s="865"/>
      <c r="AJ189" s="865"/>
      <c r="AK189" s="865"/>
      <c r="AL189" s="865"/>
      <c r="AM189" s="865"/>
      <c r="AN189" s="865"/>
      <c r="AO189" s="865"/>
      <c r="AP189" s="865"/>
      <c r="AQ189" s="865"/>
      <c r="AR189" s="865"/>
      <c r="AS189" s="865"/>
      <c r="AT189" s="865"/>
      <c r="AU189" s="865"/>
      <c r="AV189" s="865"/>
      <c r="AW189" s="865"/>
      <c r="AX189" s="865"/>
      <c r="AY189" s="865"/>
      <c r="AZ189" s="865"/>
      <c r="BA189" s="865"/>
      <c r="BB189" s="865">
        <v>104999.99999999999</v>
      </c>
      <c r="BC189" s="865"/>
      <c r="BD189" s="865"/>
      <c r="BE189" s="865"/>
      <c r="BF189" s="865"/>
      <c r="BG189" s="865"/>
      <c r="BH189" s="865"/>
      <c r="BI189" s="865"/>
      <c r="BJ189" s="865"/>
      <c r="BK189" s="865"/>
      <c r="BL189" s="865"/>
      <c r="BM189" s="865"/>
      <c r="BN189" s="865"/>
      <c r="BO189" s="865"/>
      <c r="BP189" s="865"/>
      <c r="BQ189" s="865"/>
      <c r="BR189" s="865"/>
      <c r="BS189" s="865">
        <v>104999.99999999999</v>
      </c>
      <c r="BT189" s="412">
        <f t="shared" si="7"/>
        <v>104999.99999999999</v>
      </c>
      <c r="BU189" s="413">
        <v>0</v>
      </c>
      <c r="BV189" s="413">
        <v>0</v>
      </c>
      <c r="BW189" s="413">
        <v>0</v>
      </c>
      <c r="BX189" s="413">
        <v>0</v>
      </c>
      <c r="BY189" s="413">
        <v>0</v>
      </c>
      <c r="BZ189" s="413">
        <v>0</v>
      </c>
      <c r="CA189" s="413">
        <v>0</v>
      </c>
      <c r="CB189" s="413">
        <v>1</v>
      </c>
      <c r="CC189" s="413">
        <v>0</v>
      </c>
      <c r="CD189" s="413">
        <v>0</v>
      </c>
      <c r="CE189" s="413">
        <v>0</v>
      </c>
      <c r="CF189" s="413">
        <v>0</v>
      </c>
      <c r="CG189" s="413">
        <v>0</v>
      </c>
      <c r="CH189" s="413">
        <v>0</v>
      </c>
      <c r="CI189" s="413">
        <v>0</v>
      </c>
      <c r="CJ189" s="413">
        <v>0</v>
      </c>
      <c r="CK189" s="413">
        <v>0</v>
      </c>
      <c r="CL189" s="413">
        <v>0</v>
      </c>
      <c r="CM189" s="413">
        <v>0</v>
      </c>
      <c r="CN189" s="413">
        <v>0</v>
      </c>
      <c r="CO189" s="414">
        <f t="shared" si="6"/>
        <v>1</v>
      </c>
    </row>
    <row r="190" spans="1:93" s="415" customFormat="1" ht="25.5" customHeight="1" x14ac:dyDescent="0.25">
      <c r="A190" s="881" t="s">
        <v>212</v>
      </c>
      <c r="B190" s="862" t="s">
        <v>1824</v>
      </c>
      <c r="C190" s="861" t="s">
        <v>922</v>
      </c>
      <c r="D190" s="862"/>
      <c r="E190" s="861" t="s">
        <v>779</v>
      </c>
      <c r="F190" s="862"/>
      <c r="G190" s="861" t="s">
        <v>648</v>
      </c>
      <c r="H190" s="861" t="s">
        <v>654</v>
      </c>
      <c r="I190" s="861" t="s">
        <v>647</v>
      </c>
      <c r="J190" s="861" t="s">
        <v>671</v>
      </c>
      <c r="K190" s="861" t="s">
        <v>649</v>
      </c>
      <c r="L190" s="861" t="s">
        <v>36</v>
      </c>
      <c r="M190" s="861" t="s">
        <v>646</v>
      </c>
      <c r="N190" s="861" t="s">
        <v>668</v>
      </c>
      <c r="O190" s="861"/>
      <c r="P190" s="861"/>
      <c r="Q190" s="861" t="s">
        <v>650</v>
      </c>
      <c r="R190" s="861" t="s">
        <v>652</v>
      </c>
      <c r="S190" s="861"/>
      <c r="T190" s="861"/>
      <c r="U190" s="861"/>
      <c r="V190" s="861" t="s">
        <v>36</v>
      </c>
      <c r="W190" s="861" t="s">
        <v>666</v>
      </c>
      <c r="X190" s="863">
        <v>41821</v>
      </c>
      <c r="Y190" s="863">
        <v>42131</v>
      </c>
      <c r="Z190" s="864">
        <v>2015</v>
      </c>
      <c r="AA190" s="861" t="s">
        <v>676</v>
      </c>
      <c r="AB190" s="861" t="s">
        <v>675</v>
      </c>
      <c r="AC190" s="861" t="s">
        <v>663</v>
      </c>
      <c r="AD190" s="865"/>
      <c r="AE190" s="865"/>
      <c r="AF190" s="865"/>
      <c r="AG190" s="865"/>
      <c r="AH190" s="865"/>
      <c r="AI190" s="865"/>
      <c r="AJ190" s="865"/>
      <c r="AK190" s="865"/>
      <c r="AL190" s="865"/>
      <c r="AM190" s="865"/>
      <c r="AN190" s="865"/>
      <c r="AO190" s="865"/>
      <c r="AP190" s="865"/>
      <c r="AQ190" s="865"/>
      <c r="AR190" s="865"/>
      <c r="AS190" s="865"/>
      <c r="AT190" s="865"/>
      <c r="AU190" s="865"/>
      <c r="AV190" s="865">
        <v>4499.9999999999991</v>
      </c>
      <c r="AW190" s="865"/>
      <c r="AX190" s="865"/>
      <c r="AY190" s="865">
        <v>10499.999999999996</v>
      </c>
      <c r="AZ190" s="865"/>
      <c r="BA190" s="865"/>
      <c r="BB190" s="865"/>
      <c r="BC190" s="865"/>
      <c r="BD190" s="865"/>
      <c r="BE190" s="865"/>
      <c r="BF190" s="865"/>
      <c r="BG190" s="865"/>
      <c r="BH190" s="865"/>
      <c r="BI190" s="865"/>
      <c r="BJ190" s="865"/>
      <c r="BK190" s="865"/>
      <c r="BL190" s="865"/>
      <c r="BM190" s="865"/>
      <c r="BN190" s="865"/>
      <c r="BO190" s="865"/>
      <c r="BP190" s="865"/>
      <c r="BQ190" s="865"/>
      <c r="BR190" s="865"/>
      <c r="BS190" s="865">
        <v>14999.999999999996</v>
      </c>
      <c r="BT190" s="412">
        <f t="shared" si="7"/>
        <v>14999.999999999996</v>
      </c>
      <c r="BU190" s="413">
        <v>0.3</v>
      </c>
      <c r="BV190" s="413">
        <v>0</v>
      </c>
      <c r="BW190" s="413">
        <v>0</v>
      </c>
      <c r="BX190" s="413">
        <v>0</v>
      </c>
      <c r="BY190" s="413">
        <v>0</v>
      </c>
      <c r="BZ190" s="413">
        <v>0</v>
      </c>
      <c r="CA190" s="413">
        <v>0</v>
      </c>
      <c r="CB190" s="413">
        <v>0.7</v>
      </c>
      <c r="CC190" s="413">
        <v>0</v>
      </c>
      <c r="CD190" s="413">
        <v>0</v>
      </c>
      <c r="CE190" s="413">
        <v>0</v>
      </c>
      <c r="CF190" s="413">
        <v>0</v>
      </c>
      <c r="CG190" s="413">
        <v>0</v>
      </c>
      <c r="CH190" s="413">
        <v>0</v>
      </c>
      <c r="CI190" s="413">
        <v>0</v>
      </c>
      <c r="CJ190" s="413">
        <v>0</v>
      </c>
      <c r="CK190" s="413">
        <v>0</v>
      </c>
      <c r="CL190" s="413">
        <v>0</v>
      </c>
      <c r="CM190" s="413">
        <v>0</v>
      </c>
      <c r="CN190" s="413">
        <v>0</v>
      </c>
      <c r="CO190" s="414">
        <f t="shared" si="6"/>
        <v>1</v>
      </c>
    </row>
    <row r="191" spans="1:93" s="415" customFormat="1" ht="25.5" customHeight="1" x14ac:dyDescent="0.25">
      <c r="A191" s="881" t="s">
        <v>214</v>
      </c>
      <c r="B191" s="862" t="s">
        <v>1826</v>
      </c>
      <c r="C191" s="861" t="s">
        <v>921</v>
      </c>
      <c r="D191" s="862"/>
      <c r="E191" s="861" t="s">
        <v>779</v>
      </c>
      <c r="F191" s="862"/>
      <c r="G191" s="861" t="s">
        <v>648</v>
      </c>
      <c r="H191" s="861" t="s">
        <v>654</v>
      </c>
      <c r="I191" s="861" t="s">
        <v>647</v>
      </c>
      <c r="J191" s="861" t="s">
        <v>671</v>
      </c>
      <c r="K191" s="861" t="s">
        <v>649</v>
      </c>
      <c r="L191" s="861" t="s">
        <v>36</v>
      </c>
      <c r="M191" s="861" t="s">
        <v>646</v>
      </c>
      <c r="N191" s="861" t="s">
        <v>668</v>
      </c>
      <c r="O191" s="861"/>
      <c r="P191" s="861"/>
      <c r="Q191" s="861" t="s">
        <v>650</v>
      </c>
      <c r="R191" s="861" t="s">
        <v>652</v>
      </c>
      <c r="S191" s="861"/>
      <c r="T191" s="861"/>
      <c r="U191" s="861"/>
      <c r="V191" s="861" t="s">
        <v>36</v>
      </c>
      <c r="W191" s="861" t="s">
        <v>666</v>
      </c>
      <c r="X191" s="863">
        <v>41821</v>
      </c>
      <c r="Y191" s="863">
        <v>42131</v>
      </c>
      <c r="Z191" s="864">
        <v>2015</v>
      </c>
      <c r="AA191" s="861" t="s">
        <v>676</v>
      </c>
      <c r="AB191" s="861" t="s">
        <v>675</v>
      </c>
      <c r="AC191" s="861" t="s">
        <v>663</v>
      </c>
      <c r="AD191" s="865"/>
      <c r="AE191" s="865"/>
      <c r="AF191" s="865"/>
      <c r="AG191" s="865"/>
      <c r="AH191" s="865"/>
      <c r="AI191" s="865"/>
      <c r="AJ191" s="865"/>
      <c r="AK191" s="865"/>
      <c r="AL191" s="865"/>
      <c r="AM191" s="865"/>
      <c r="AN191" s="865"/>
      <c r="AO191" s="865"/>
      <c r="AP191" s="865"/>
      <c r="AQ191" s="865"/>
      <c r="AR191" s="865"/>
      <c r="AS191" s="865"/>
      <c r="AT191" s="865"/>
      <c r="AU191" s="865"/>
      <c r="AV191" s="865"/>
      <c r="AW191" s="865"/>
      <c r="AX191" s="865"/>
      <c r="AY191" s="865"/>
      <c r="AZ191" s="865"/>
      <c r="BA191" s="865">
        <v>169999.99999999997</v>
      </c>
      <c r="BB191" s="865"/>
      <c r="BC191" s="865"/>
      <c r="BD191" s="865"/>
      <c r="BE191" s="865"/>
      <c r="BF191" s="865"/>
      <c r="BG191" s="865"/>
      <c r="BH191" s="865"/>
      <c r="BI191" s="865"/>
      <c r="BJ191" s="865"/>
      <c r="BK191" s="865"/>
      <c r="BL191" s="865"/>
      <c r="BM191" s="865"/>
      <c r="BN191" s="865"/>
      <c r="BO191" s="865"/>
      <c r="BP191" s="865"/>
      <c r="BQ191" s="865"/>
      <c r="BR191" s="865"/>
      <c r="BS191" s="865">
        <v>169999.99999999997</v>
      </c>
      <c r="BT191" s="412">
        <f t="shared" si="7"/>
        <v>169999.99999999997</v>
      </c>
      <c r="BU191" s="413">
        <v>0</v>
      </c>
      <c r="BV191" s="413">
        <v>0</v>
      </c>
      <c r="BW191" s="413">
        <v>0</v>
      </c>
      <c r="BX191" s="413">
        <v>0</v>
      </c>
      <c r="BY191" s="413">
        <v>0</v>
      </c>
      <c r="BZ191" s="413">
        <v>0</v>
      </c>
      <c r="CA191" s="413">
        <v>0</v>
      </c>
      <c r="CB191" s="413">
        <v>1</v>
      </c>
      <c r="CC191" s="413">
        <v>0</v>
      </c>
      <c r="CD191" s="413">
        <v>0</v>
      </c>
      <c r="CE191" s="413">
        <v>0</v>
      </c>
      <c r="CF191" s="413">
        <v>0</v>
      </c>
      <c r="CG191" s="413">
        <v>0</v>
      </c>
      <c r="CH191" s="413">
        <v>0</v>
      </c>
      <c r="CI191" s="413">
        <v>0</v>
      </c>
      <c r="CJ191" s="413">
        <v>0</v>
      </c>
      <c r="CK191" s="413">
        <v>0</v>
      </c>
      <c r="CL191" s="413">
        <v>0</v>
      </c>
      <c r="CM191" s="413">
        <v>0</v>
      </c>
      <c r="CN191" s="413">
        <v>0</v>
      </c>
      <c r="CO191" s="414">
        <f t="shared" si="6"/>
        <v>1</v>
      </c>
    </row>
    <row r="192" spans="1:93" s="415" customFormat="1" ht="25.5" customHeight="1" x14ac:dyDescent="0.25">
      <c r="A192" s="881" t="s">
        <v>216</v>
      </c>
      <c r="B192" s="862" t="s">
        <v>1828</v>
      </c>
      <c r="C192" s="861" t="s">
        <v>920</v>
      </c>
      <c r="D192" s="862"/>
      <c r="E192" s="861" t="s">
        <v>779</v>
      </c>
      <c r="F192" s="862"/>
      <c r="G192" s="861" t="s">
        <v>648</v>
      </c>
      <c r="H192" s="861" t="s">
        <v>654</v>
      </c>
      <c r="I192" s="861" t="s">
        <v>647</v>
      </c>
      <c r="J192" s="861" t="s">
        <v>641</v>
      </c>
      <c r="K192" s="861" t="s">
        <v>649</v>
      </c>
      <c r="L192" s="861" t="s">
        <v>40</v>
      </c>
      <c r="M192" s="861" t="s">
        <v>646</v>
      </c>
      <c r="N192" s="861" t="s">
        <v>699</v>
      </c>
      <c r="O192" s="861"/>
      <c r="P192" s="861"/>
      <c r="Q192" s="861" t="s">
        <v>656</v>
      </c>
      <c r="R192" s="861" t="s">
        <v>652</v>
      </c>
      <c r="S192" s="861" t="s">
        <v>649</v>
      </c>
      <c r="T192" s="861"/>
      <c r="U192" s="861"/>
      <c r="V192" s="861" t="s">
        <v>641</v>
      </c>
      <c r="W192" s="861" t="s">
        <v>640</v>
      </c>
      <c r="X192" s="863">
        <v>41821</v>
      </c>
      <c r="Y192" s="863">
        <v>43136</v>
      </c>
      <c r="Z192" s="864">
        <v>2018</v>
      </c>
      <c r="AA192" s="861" t="s">
        <v>663</v>
      </c>
      <c r="AB192" s="861" t="s">
        <v>697</v>
      </c>
      <c r="AC192" s="861" t="s">
        <v>649</v>
      </c>
      <c r="AD192" s="865"/>
      <c r="AE192" s="865"/>
      <c r="AF192" s="865"/>
      <c r="AG192" s="865"/>
      <c r="AH192" s="865"/>
      <c r="AI192" s="865"/>
      <c r="AJ192" s="865"/>
      <c r="AK192" s="865"/>
      <c r="AL192" s="865"/>
      <c r="AM192" s="865"/>
      <c r="AN192" s="865">
        <v>743217.99999871629</v>
      </c>
      <c r="AO192" s="865"/>
      <c r="AP192" s="865"/>
      <c r="AQ192" s="865"/>
      <c r="AR192" s="865"/>
      <c r="AS192" s="865"/>
      <c r="AT192" s="865"/>
      <c r="AU192" s="865"/>
      <c r="AV192" s="865"/>
      <c r="AW192" s="865"/>
      <c r="AX192" s="865"/>
      <c r="AY192" s="865"/>
      <c r="AZ192" s="865"/>
      <c r="BA192" s="865"/>
      <c r="BB192" s="865"/>
      <c r="BC192" s="865">
        <v>111482.69999980745</v>
      </c>
      <c r="BD192" s="865">
        <v>74321.799999871626</v>
      </c>
      <c r="BE192" s="865">
        <v>125418.0374997834</v>
      </c>
      <c r="BF192" s="865">
        <v>2899.7114781199921</v>
      </c>
      <c r="BG192" s="865"/>
      <c r="BH192" s="865">
        <v>26433.506224407472</v>
      </c>
      <c r="BI192" s="865">
        <v>105734.02489762989</v>
      </c>
      <c r="BJ192" s="865">
        <v>12688.082987715587</v>
      </c>
      <c r="BK192" s="865">
        <v>21146.804979525979</v>
      </c>
      <c r="BL192" s="865">
        <v>15860.103734644483</v>
      </c>
      <c r="BM192" s="865">
        <v>95160.622407866889</v>
      </c>
      <c r="BN192" s="865">
        <v>21146.804979525979</v>
      </c>
      <c r="BO192" s="865"/>
      <c r="BP192" s="865"/>
      <c r="BQ192" s="865"/>
      <c r="BR192" s="865"/>
      <c r="BS192" s="865">
        <v>1355510.199187615</v>
      </c>
      <c r="BT192" s="412">
        <f t="shared" si="7"/>
        <v>743217.99999871629</v>
      </c>
      <c r="BU192" s="413">
        <v>0</v>
      </c>
      <c r="BV192" s="413">
        <v>0</v>
      </c>
      <c r="BW192" s="413">
        <v>0</v>
      </c>
      <c r="BX192" s="413">
        <v>0</v>
      </c>
      <c r="BY192" s="413">
        <v>0</v>
      </c>
      <c r="BZ192" s="413">
        <v>0</v>
      </c>
      <c r="CA192" s="413">
        <v>0</v>
      </c>
      <c r="CB192" s="413">
        <v>0</v>
      </c>
      <c r="CC192" s="413">
        <v>0</v>
      </c>
      <c r="CD192" s="413">
        <v>0</v>
      </c>
      <c r="CE192" s="413">
        <v>0</v>
      </c>
      <c r="CF192" s="413">
        <v>0</v>
      </c>
      <c r="CG192" s="413">
        <v>0</v>
      </c>
      <c r="CH192" s="413">
        <v>0</v>
      </c>
      <c r="CI192" s="413">
        <v>0</v>
      </c>
      <c r="CJ192" s="413">
        <v>0</v>
      </c>
      <c r="CK192" s="413">
        <v>1</v>
      </c>
      <c r="CL192" s="413">
        <v>0</v>
      </c>
      <c r="CM192" s="413">
        <v>0</v>
      </c>
      <c r="CN192" s="413">
        <v>0</v>
      </c>
      <c r="CO192" s="414">
        <f t="shared" si="6"/>
        <v>1</v>
      </c>
    </row>
    <row r="193" spans="1:93" s="415" customFormat="1" ht="25.5" customHeight="1" x14ac:dyDescent="0.25">
      <c r="A193" s="881" t="s">
        <v>919</v>
      </c>
      <c r="B193" s="862" t="s">
        <v>1830</v>
      </c>
      <c r="C193" s="861" t="s">
        <v>918</v>
      </c>
      <c r="D193" s="862"/>
      <c r="E193" s="861" t="s">
        <v>779</v>
      </c>
      <c r="F193" s="862"/>
      <c r="G193" s="861" t="s">
        <v>648</v>
      </c>
      <c r="H193" s="861" t="s">
        <v>654</v>
      </c>
      <c r="I193" s="861" t="s">
        <v>647</v>
      </c>
      <c r="J193" s="861" t="s">
        <v>641</v>
      </c>
      <c r="K193" s="861" t="s">
        <v>649</v>
      </c>
      <c r="L193" s="861" t="s">
        <v>40</v>
      </c>
      <c r="M193" s="861" t="s">
        <v>646</v>
      </c>
      <c r="N193" s="861" t="s">
        <v>699</v>
      </c>
      <c r="O193" s="861"/>
      <c r="P193" s="861"/>
      <c r="Q193" s="861" t="s">
        <v>650</v>
      </c>
      <c r="R193" s="861" t="s">
        <v>652</v>
      </c>
      <c r="S193" s="861" t="s">
        <v>649</v>
      </c>
      <c r="T193" s="861"/>
      <c r="U193" s="861"/>
      <c r="V193" s="861" t="s">
        <v>641</v>
      </c>
      <c r="W193" s="861" t="s">
        <v>640</v>
      </c>
      <c r="X193" s="863">
        <v>41821</v>
      </c>
      <c r="Y193" s="863">
        <v>43136</v>
      </c>
      <c r="Z193" s="864">
        <v>2018</v>
      </c>
      <c r="AA193" s="861" t="s">
        <v>663</v>
      </c>
      <c r="AB193" s="861" t="s">
        <v>675</v>
      </c>
      <c r="AC193" s="861" t="s">
        <v>663</v>
      </c>
      <c r="AD193" s="865"/>
      <c r="AE193" s="865"/>
      <c r="AF193" s="865"/>
      <c r="AG193" s="865"/>
      <c r="AH193" s="865"/>
      <c r="AI193" s="865"/>
      <c r="AJ193" s="865"/>
      <c r="AK193" s="865"/>
      <c r="AL193" s="865">
        <v>126030.00000515512</v>
      </c>
      <c r="AM193" s="865"/>
      <c r="AN193" s="865"/>
      <c r="AO193" s="865">
        <v>15000.000000000005</v>
      </c>
      <c r="AP193" s="865"/>
      <c r="AQ193" s="865"/>
      <c r="AR193" s="865"/>
      <c r="AS193" s="865"/>
      <c r="AT193" s="865"/>
      <c r="AU193" s="865"/>
      <c r="AV193" s="865"/>
      <c r="AW193" s="865"/>
      <c r="AX193" s="865"/>
      <c r="AY193" s="865"/>
      <c r="AZ193" s="865"/>
      <c r="BA193" s="865"/>
      <c r="BB193" s="865"/>
      <c r="BC193" s="865">
        <v>17248.500000448959</v>
      </c>
      <c r="BD193" s="865">
        <v>40798.800000359173</v>
      </c>
      <c r="BE193" s="865">
        <v>19715.035500513161</v>
      </c>
      <c r="BF193" s="865">
        <v>486.17892264281028</v>
      </c>
      <c r="BG193" s="865"/>
      <c r="BH193" s="865">
        <v>4431.962860727981</v>
      </c>
      <c r="BI193" s="865">
        <v>14182.281154329541</v>
      </c>
      <c r="BJ193" s="865">
        <v>1772.7851442911924</v>
      </c>
      <c r="BK193" s="865">
        <v>5318.3554328735772</v>
      </c>
      <c r="BL193" s="865">
        <v>2659.1777164367886</v>
      </c>
      <c r="BM193" s="865">
        <v>8863.925721455962</v>
      </c>
      <c r="BN193" s="865">
        <v>3545.5702885823848</v>
      </c>
      <c r="BO193" s="865"/>
      <c r="BP193" s="865"/>
      <c r="BQ193" s="865"/>
      <c r="BR193" s="865"/>
      <c r="BS193" s="865">
        <v>260052.57274781671</v>
      </c>
      <c r="BT193" s="412">
        <f t="shared" si="7"/>
        <v>141030.00000515513</v>
      </c>
      <c r="BU193" s="413">
        <v>0</v>
      </c>
      <c r="BV193" s="413">
        <v>0</v>
      </c>
      <c r="BW193" s="413">
        <v>0</v>
      </c>
      <c r="BX193" s="413">
        <v>0</v>
      </c>
      <c r="BY193" s="413">
        <v>0</v>
      </c>
      <c r="BZ193" s="413">
        <v>0</v>
      </c>
      <c r="CA193" s="413">
        <v>0</v>
      </c>
      <c r="CB193" s="413">
        <v>0</v>
      </c>
      <c r="CC193" s="413">
        <v>0</v>
      </c>
      <c r="CD193" s="413">
        <v>0</v>
      </c>
      <c r="CE193" s="413">
        <v>0</v>
      </c>
      <c r="CF193" s="413">
        <v>0</v>
      </c>
      <c r="CG193" s="413">
        <v>0</v>
      </c>
      <c r="CH193" s="413">
        <v>0</v>
      </c>
      <c r="CI193" s="413">
        <v>0.89363965114194344</v>
      </c>
      <c r="CJ193" s="413">
        <v>0.10636034885805647</v>
      </c>
      <c r="CK193" s="413">
        <v>0</v>
      </c>
      <c r="CL193" s="413">
        <v>0</v>
      </c>
      <c r="CM193" s="413">
        <v>0</v>
      </c>
      <c r="CN193" s="413">
        <v>0</v>
      </c>
      <c r="CO193" s="414">
        <f t="shared" si="6"/>
        <v>0.99999999999999989</v>
      </c>
    </row>
    <row r="194" spans="1:93" s="415" customFormat="1" ht="25.5" customHeight="1" x14ac:dyDescent="0.25">
      <c r="A194" s="881" t="s">
        <v>218</v>
      </c>
      <c r="B194" s="862" t="s">
        <v>1832</v>
      </c>
      <c r="C194" s="861" t="s">
        <v>917</v>
      </c>
      <c r="D194" s="862"/>
      <c r="E194" s="861" t="s">
        <v>55</v>
      </c>
      <c r="F194" s="862"/>
      <c r="G194" s="861"/>
      <c r="H194" s="861" t="s">
        <v>654</v>
      </c>
      <c r="I194" s="861" t="s">
        <v>647</v>
      </c>
      <c r="J194" s="861" t="s">
        <v>641</v>
      </c>
      <c r="K194" s="861" t="s">
        <v>649</v>
      </c>
      <c r="L194" s="861" t="s">
        <v>28</v>
      </c>
      <c r="M194" s="861" t="s">
        <v>646</v>
      </c>
      <c r="N194" s="861" t="s">
        <v>680</v>
      </c>
      <c r="O194" s="861"/>
      <c r="P194" s="861" t="s">
        <v>643</v>
      </c>
      <c r="Q194" s="861" t="s">
        <v>656</v>
      </c>
      <c r="R194" s="861" t="s">
        <v>652</v>
      </c>
      <c r="S194" s="861" t="s">
        <v>649</v>
      </c>
      <c r="T194" s="861"/>
      <c r="U194" s="861"/>
      <c r="V194" s="861" t="s">
        <v>683</v>
      </c>
      <c r="W194" s="861" t="s">
        <v>677</v>
      </c>
      <c r="X194" s="863">
        <v>42644</v>
      </c>
      <c r="Y194" s="863">
        <v>43640</v>
      </c>
      <c r="Z194" s="864">
        <v>2019</v>
      </c>
      <c r="AA194" s="861" t="s">
        <v>676</v>
      </c>
      <c r="AB194" s="861" t="s">
        <v>675</v>
      </c>
      <c r="AC194" s="861" t="s">
        <v>663</v>
      </c>
      <c r="AD194" s="865"/>
      <c r="AE194" s="865"/>
      <c r="AF194" s="865"/>
      <c r="AG194" s="865"/>
      <c r="AH194" s="865"/>
      <c r="AI194" s="865"/>
      <c r="AJ194" s="865"/>
      <c r="AK194" s="865"/>
      <c r="AL194" s="865"/>
      <c r="AM194" s="865"/>
      <c r="AN194" s="865"/>
      <c r="AO194" s="865"/>
      <c r="AP194" s="865"/>
      <c r="AQ194" s="865"/>
      <c r="AR194" s="865"/>
      <c r="AS194" s="865"/>
      <c r="AT194" s="865"/>
      <c r="AU194" s="865"/>
      <c r="AV194" s="865"/>
      <c r="AW194" s="865">
        <v>343869.99999999948</v>
      </c>
      <c r="AX194" s="865"/>
      <c r="AY194" s="865"/>
      <c r="AZ194" s="865"/>
      <c r="BA194" s="865"/>
      <c r="BB194" s="865"/>
      <c r="BC194" s="865"/>
      <c r="BD194" s="865"/>
      <c r="BE194" s="865"/>
      <c r="BF194" s="865"/>
      <c r="BG194" s="865"/>
      <c r="BH194" s="865">
        <v>1026197.455083332</v>
      </c>
      <c r="BI194" s="865"/>
      <c r="BJ194" s="865"/>
      <c r="BK194" s="865"/>
      <c r="BL194" s="865"/>
      <c r="BM194" s="865"/>
      <c r="BN194" s="865"/>
      <c r="BO194" s="865"/>
      <c r="BP194" s="865"/>
      <c r="BQ194" s="865"/>
      <c r="BR194" s="865"/>
      <c r="BS194" s="865">
        <v>1370067.4550833316</v>
      </c>
      <c r="BT194" s="412">
        <f t="shared" si="7"/>
        <v>343869.99999999948</v>
      </c>
      <c r="BU194" s="413">
        <v>0</v>
      </c>
      <c r="BV194" s="413">
        <v>0</v>
      </c>
      <c r="BW194" s="413">
        <v>0</v>
      </c>
      <c r="BX194" s="413">
        <v>1</v>
      </c>
      <c r="BY194" s="413">
        <v>0</v>
      </c>
      <c r="BZ194" s="413">
        <v>0</v>
      </c>
      <c r="CA194" s="413">
        <v>0</v>
      </c>
      <c r="CB194" s="413">
        <v>0</v>
      </c>
      <c r="CC194" s="413">
        <v>0</v>
      </c>
      <c r="CD194" s="413">
        <v>0</v>
      </c>
      <c r="CE194" s="413">
        <v>0</v>
      </c>
      <c r="CF194" s="413">
        <v>0</v>
      </c>
      <c r="CG194" s="413">
        <v>0</v>
      </c>
      <c r="CH194" s="413">
        <v>0</v>
      </c>
      <c r="CI194" s="413">
        <v>0</v>
      </c>
      <c r="CJ194" s="413">
        <v>0</v>
      </c>
      <c r="CK194" s="413">
        <v>0</v>
      </c>
      <c r="CL194" s="413">
        <v>0</v>
      </c>
      <c r="CM194" s="413">
        <v>0</v>
      </c>
      <c r="CN194" s="413">
        <v>0</v>
      </c>
      <c r="CO194" s="414">
        <f t="shared" si="6"/>
        <v>1</v>
      </c>
    </row>
    <row r="195" spans="1:93" s="415" customFormat="1" ht="25.5" customHeight="1" x14ac:dyDescent="0.25">
      <c r="A195" s="881" t="s">
        <v>916</v>
      </c>
      <c r="B195" s="862" t="s">
        <v>1834</v>
      </c>
      <c r="C195" s="861" t="s">
        <v>915</v>
      </c>
      <c r="D195" s="862"/>
      <c r="E195" s="861" t="s">
        <v>779</v>
      </c>
      <c r="F195" s="862"/>
      <c r="G195" s="861" t="s">
        <v>648</v>
      </c>
      <c r="H195" s="861" t="s">
        <v>654</v>
      </c>
      <c r="I195" s="861" t="s">
        <v>647</v>
      </c>
      <c r="J195" s="861" t="s">
        <v>641</v>
      </c>
      <c r="K195" s="861" t="s">
        <v>649</v>
      </c>
      <c r="L195" s="861" t="s">
        <v>54</v>
      </c>
      <c r="M195" s="861" t="s">
        <v>646</v>
      </c>
      <c r="N195" s="861" t="s">
        <v>699</v>
      </c>
      <c r="O195" s="861"/>
      <c r="P195" s="861"/>
      <c r="Q195" s="861" t="s">
        <v>656</v>
      </c>
      <c r="R195" s="861" t="s">
        <v>652</v>
      </c>
      <c r="S195" s="861" t="s">
        <v>649</v>
      </c>
      <c r="T195" s="861"/>
      <c r="U195" s="861"/>
      <c r="V195" s="861" t="s">
        <v>641</v>
      </c>
      <c r="W195" s="861" t="s">
        <v>640</v>
      </c>
      <c r="X195" s="863">
        <v>41821</v>
      </c>
      <c r="Y195" s="863">
        <v>43136</v>
      </c>
      <c r="Z195" s="864">
        <v>2018</v>
      </c>
      <c r="AA195" s="861" t="s">
        <v>663</v>
      </c>
      <c r="AB195" s="861" t="s">
        <v>675</v>
      </c>
      <c r="AC195" s="861" t="s">
        <v>663</v>
      </c>
      <c r="AD195" s="865"/>
      <c r="AE195" s="865"/>
      <c r="AF195" s="865"/>
      <c r="AG195" s="865"/>
      <c r="AH195" s="865"/>
      <c r="AI195" s="865"/>
      <c r="AJ195" s="865"/>
      <c r="AK195" s="865"/>
      <c r="AL195" s="865"/>
      <c r="AM195" s="865"/>
      <c r="AN195" s="865">
        <v>2593097.8478100002</v>
      </c>
      <c r="AO195" s="865"/>
      <c r="AP195" s="865"/>
      <c r="AQ195" s="865"/>
      <c r="AR195" s="865"/>
      <c r="AS195" s="865"/>
      <c r="AT195" s="865"/>
      <c r="AU195" s="865"/>
      <c r="AV195" s="865"/>
      <c r="AW195" s="865"/>
      <c r="AX195" s="865"/>
      <c r="AY195" s="865"/>
      <c r="AZ195" s="865"/>
      <c r="BA195" s="865"/>
      <c r="BB195" s="865"/>
      <c r="BC195" s="865">
        <v>353699.99999999994</v>
      </c>
      <c r="BD195" s="865">
        <v>235799.99999999997</v>
      </c>
      <c r="BE195" s="865">
        <v>397912.5</v>
      </c>
      <c r="BF195" s="865">
        <v>9340.6843750000007</v>
      </c>
      <c r="BG195" s="865"/>
      <c r="BH195" s="865">
        <v>85148.82960937501</v>
      </c>
      <c r="BI195" s="865">
        <v>119208.36145312502</v>
      </c>
      <c r="BJ195" s="865">
        <v>34059.531843750003</v>
      </c>
      <c r="BK195" s="865">
        <v>68119.063687500005</v>
      </c>
      <c r="BL195" s="865">
        <v>51089.297765625</v>
      </c>
      <c r="BM195" s="865">
        <v>238416.72290625004</v>
      </c>
      <c r="BN195" s="865">
        <v>68119.063687500005</v>
      </c>
      <c r="BO195" s="865"/>
      <c r="BP195" s="865"/>
      <c r="BQ195" s="865"/>
      <c r="BR195" s="865"/>
      <c r="BS195" s="865">
        <v>4254011.9031381253</v>
      </c>
      <c r="BT195" s="412">
        <f t="shared" si="7"/>
        <v>2593097.8478100002</v>
      </c>
      <c r="BU195" s="413">
        <v>0</v>
      </c>
      <c r="BV195" s="413">
        <v>0</v>
      </c>
      <c r="BW195" s="413">
        <v>0</v>
      </c>
      <c r="BX195" s="413">
        <v>0</v>
      </c>
      <c r="BY195" s="413">
        <v>0</v>
      </c>
      <c r="BZ195" s="413">
        <v>0</v>
      </c>
      <c r="CA195" s="413">
        <v>0</v>
      </c>
      <c r="CB195" s="413">
        <v>0</v>
      </c>
      <c r="CC195" s="413">
        <v>0</v>
      </c>
      <c r="CD195" s="413">
        <v>0</v>
      </c>
      <c r="CE195" s="413">
        <v>0</v>
      </c>
      <c r="CF195" s="413">
        <v>0</v>
      </c>
      <c r="CG195" s="413">
        <v>0</v>
      </c>
      <c r="CH195" s="413">
        <v>0</v>
      </c>
      <c r="CI195" s="413">
        <v>0</v>
      </c>
      <c r="CJ195" s="413">
        <v>0</v>
      </c>
      <c r="CK195" s="413">
        <v>1</v>
      </c>
      <c r="CL195" s="413">
        <v>0</v>
      </c>
      <c r="CM195" s="413">
        <v>0</v>
      </c>
      <c r="CN195" s="413">
        <v>0</v>
      </c>
      <c r="CO195" s="414">
        <f t="shared" si="6"/>
        <v>1</v>
      </c>
    </row>
    <row r="196" spans="1:93" s="415" customFormat="1" ht="25.5" customHeight="1" x14ac:dyDescent="0.25">
      <c r="A196" s="881" t="s">
        <v>220</v>
      </c>
      <c r="B196" s="862" t="s">
        <v>2200</v>
      </c>
      <c r="C196" s="861" t="s">
        <v>914</v>
      </c>
      <c r="D196" s="862"/>
      <c r="E196" s="861"/>
      <c r="F196" s="862"/>
      <c r="G196" s="861" t="s">
        <v>722</v>
      </c>
      <c r="H196" s="861" t="s">
        <v>654</v>
      </c>
      <c r="I196" s="861" t="s">
        <v>647</v>
      </c>
      <c r="J196" s="861" t="s">
        <v>671</v>
      </c>
      <c r="K196" s="861" t="s">
        <v>663</v>
      </c>
      <c r="L196" s="861" t="s">
        <v>55</v>
      </c>
      <c r="M196" s="861" t="s">
        <v>646</v>
      </c>
      <c r="N196" s="861" t="s">
        <v>680</v>
      </c>
      <c r="O196" s="861" t="s">
        <v>913</v>
      </c>
      <c r="P196" s="861" t="s">
        <v>643</v>
      </c>
      <c r="Q196" s="861" t="s">
        <v>650</v>
      </c>
      <c r="R196" s="861" t="s">
        <v>652</v>
      </c>
      <c r="S196" s="861" t="s">
        <v>649</v>
      </c>
      <c r="T196" s="861" t="s">
        <v>107</v>
      </c>
      <c r="U196" s="861" t="s">
        <v>678</v>
      </c>
      <c r="V196" s="861" t="s">
        <v>683</v>
      </c>
      <c r="W196" s="861" t="s">
        <v>666</v>
      </c>
      <c r="X196" s="863"/>
      <c r="Y196" s="863"/>
      <c r="Z196" s="864">
        <v>2016</v>
      </c>
      <c r="AA196" s="861" t="s">
        <v>676</v>
      </c>
      <c r="AB196" s="861"/>
      <c r="AC196" s="861" t="s">
        <v>663</v>
      </c>
      <c r="AD196" s="865"/>
      <c r="AE196" s="865"/>
      <c r="AF196" s="865"/>
      <c r="AG196" s="865"/>
      <c r="AH196" s="865"/>
      <c r="AI196" s="865"/>
      <c r="AJ196" s="865"/>
      <c r="AK196" s="865"/>
      <c r="AL196" s="865"/>
      <c r="AM196" s="865"/>
      <c r="AN196" s="865"/>
      <c r="AO196" s="865"/>
      <c r="AP196" s="865"/>
      <c r="AQ196" s="865"/>
      <c r="AR196" s="865"/>
      <c r="AS196" s="865"/>
      <c r="AT196" s="865"/>
      <c r="AU196" s="865"/>
      <c r="AV196" s="865"/>
      <c r="AW196" s="865"/>
      <c r="AX196" s="865"/>
      <c r="AY196" s="865"/>
      <c r="AZ196" s="865"/>
      <c r="BA196" s="865"/>
      <c r="BB196" s="865"/>
      <c r="BC196" s="865"/>
      <c r="BD196" s="865"/>
      <c r="BE196" s="865"/>
      <c r="BF196" s="865"/>
      <c r="BG196" s="865"/>
      <c r="BH196" s="865"/>
      <c r="BI196" s="865"/>
      <c r="BJ196" s="865"/>
      <c r="BK196" s="865"/>
      <c r="BL196" s="865"/>
      <c r="BM196" s="865"/>
      <c r="BN196" s="865"/>
      <c r="BO196" s="865"/>
      <c r="BP196" s="865"/>
      <c r="BQ196" s="865"/>
      <c r="BR196" s="865"/>
      <c r="BS196" s="865"/>
      <c r="BT196" s="412">
        <f t="shared" si="7"/>
        <v>0</v>
      </c>
      <c r="BU196" s="413">
        <v>0</v>
      </c>
      <c r="BV196" s="413">
        <v>0</v>
      </c>
      <c r="BW196" s="413">
        <v>0</v>
      </c>
      <c r="BX196" s="413">
        <v>1</v>
      </c>
      <c r="BY196" s="413">
        <v>0</v>
      </c>
      <c r="BZ196" s="413">
        <v>0</v>
      </c>
      <c r="CA196" s="413">
        <v>0</v>
      </c>
      <c r="CB196" s="413">
        <v>0</v>
      </c>
      <c r="CC196" s="413">
        <v>0</v>
      </c>
      <c r="CD196" s="413">
        <v>0</v>
      </c>
      <c r="CE196" s="413">
        <v>0</v>
      </c>
      <c r="CF196" s="413">
        <v>0</v>
      </c>
      <c r="CG196" s="413">
        <v>0</v>
      </c>
      <c r="CH196" s="413">
        <v>0</v>
      </c>
      <c r="CI196" s="413">
        <v>0</v>
      </c>
      <c r="CJ196" s="413">
        <v>0</v>
      </c>
      <c r="CK196" s="413">
        <v>0</v>
      </c>
      <c r="CL196" s="413">
        <v>0</v>
      </c>
      <c r="CM196" s="413">
        <v>0</v>
      </c>
      <c r="CN196" s="413">
        <v>0</v>
      </c>
      <c r="CO196" s="414">
        <f t="shared" si="6"/>
        <v>1</v>
      </c>
    </row>
    <row r="197" spans="1:93" s="415" customFormat="1" ht="25.5" customHeight="1" x14ac:dyDescent="0.25">
      <c r="A197" s="881" t="s">
        <v>221</v>
      </c>
      <c r="B197" s="862" t="s">
        <v>2190</v>
      </c>
      <c r="C197" s="861" t="s">
        <v>912</v>
      </c>
      <c r="D197" s="862"/>
      <c r="E197" s="861"/>
      <c r="F197" s="862"/>
      <c r="G197" s="861" t="s">
        <v>722</v>
      </c>
      <c r="H197" s="861" t="s">
        <v>654</v>
      </c>
      <c r="I197" s="861" t="s">
        <v>647</v>
      </c>
      <c r="J197" s="861" t="s">
        <v>671</v>
      </c>
      <c r="K197" s="861" t="s">
        <v>663</v>
      </c>
      <c r="L197" s="861" t="s">
        <v>107</v>
      </c>
      <c r="M197" s="861" t="s">
        <v>646</v>
      </c>
      <c r="N197" s="861" t="s">
        <v>680</v>
      </c>
      <c r="O197" s="861" t="s">
        <v>721</v>
      </c>
      <c r="P197" s="861" t="s">
        <v>720</v>
      </c>
      <c r="Q197" s="861" t="s">
        <v>650</v>
      </c>
      <c r="R197" s="861" t="s">
        <v>652</v>
      </c>
      <c r="S197" s="861" t="s">
        <v>649</v>
      </c>
      <c r="T197" s="861" t="s">
        <v>107</v>
      </c>
      <c r="U197" s="861" t="s">
        <v>689</v>
      </c>
      <c r="V197" s="861" t="s">
        <v>683</v>
      </c>
      <c r="W197" s="861" t="s">
        <v>694</v>
      </c>
      <c r="X197" s="863"/>
      <c r="Y197" s="863"/>
      <c r="Z197" s="864">
        <v>2015</v>
      </c>
      <c r="AA197" s="861" t="s">
        <v>663</v>
      </c>
      <c r="AB197" s="861" t="s">
        <v>675</v>
      </c>
      <c r="AC197" s="861" t="s">
        <v>663</v>
      </c>
      <c r="AD197" s="865"/>
      <c r="AE197" s="865"/>
      <c r="AF197" s="865"/>
      <c r="AG197" s="865"/>
      <c r="AH197" s="865"/>
      <c r="AI197" s="865"/>
      <c r="AJ197" s="865"/>
      <c r="AK197" s="865"/>
      <c r="AL197" s="865"/>
      <c r="AM197" s="865"/>
      <c r="AN197" s="865"/>
      <c r="AO197" s="865"/>
      <c r="AP197" s="865"/>
      <c r="AQ197" s="865"/>
      <c r="AR197" s="865"/>
      <c r="AS197" s="865"/>
      <c r="AT197" s="865"/>
      <c r="AU197" s="865"/>
      <c r="AV197" s="865"/>
      <c r="AW197" s="865"/>
      <c r="AX197" s="865"/>
      <c r="AY197" s="865"/>
      <c r="AZ197" s="865"/>
      <c r="BA197" s="865"/>
      <c r="BB197" s="865"/>
      <c r="BC197" s="865"/>
      <c r="BD197" s="865"/>
      <c r="BE197" s="865"/>
      <c r="BF197" s="865"/>
      <c r="BG197" s="865"/>
      <c r="BH197" s="865"/>
      <c r="BI197" s="865"/>
      <c r="BJ197" s="865"/>
      <c r="BK197" s="865"/>
      <c r="BL197" s="865"/>
      <c r="BM197" s="865"/>
      <c r="BN197" s="865"/>
      <c r="BO197" s="865"/>
      <c r="BP197" s="865"/>
      <c r="BQ197" s="865"/>
      <c r="BR197" s="865"/>
      <c r="BS197" s="865"/>
      <c r="BT197" s="412">
        <f t="shared" si="7"/>
        <v>0</v>
      </c>
      <c r="BU197" s="413">
        <v>0</v>
      </c>
      <c r="BV197" s="413">
        <v>0</v>
      </c>
      <c r="BW197" s="413">
        <v>0</v>
      </c>
      <c r="BX197" s="413">
        <v>0</v>
      </c>
      <c r="BY197" s="413">
        <v>0</v>
      </c>
      <c r="BZ197" s="413">
        <v>0</v>
      </c>
      <c r="CA197" s="413">
        <v>0</v>
      </c>
      <c r="CB197" s="413">
        <v>0</v>
      </c>
      <c r="CC197" s="413">
        <v>0</v>
      </c>
      <c r="CD197" s="413">
        <v>0</v>
      </c>
      <c r="CE197" s="413">
        <v>0</v>
      </c>
      <c r="CF197" s="413">
        <v>0</v>
      </c>
      <c r="CG197" s="413">
        <v>0</v>
      </c>
      <c r="CH197" s="413">
        <v>0</v>
      </c>
      <c r="CI197" s="413">
        <v>0</v>
      </c>
      <c r="CJ197" s="413">
        <v>0</v>
      </c>
      <c r="CK197" s="413">
        <v>0</v>
      </c>
      <c r="CL197" s="413">
        <v>0</v>
      </c>
      <c r="CM197" s="413">
        <v>0</v>
      </c>
      <c r="CN197" s="413">
        <v>0</v>
      </c>
      <c r="CO197" s="414">
        <f t="shared" si="6"/>
        <v>0</v>
      </c>
    </row>
    <row r="198" spans="1:93" s="415" customFormat="1" ht="25.5" customHeight="1" x14ac:dyDescent="0.25">
      <c r="A198" s="881" t="s">
        <v>227</v>
      </c>
      <c r="B198" s="862" t="s">
        <v>1838</v>
      </c>
      <c r="C198" s="861" t="s">
        <v>911</v>
      </c>
      <c r="D198" s="862"/>
      <c r="E198" s="861" t="s">
        <v>779</v>
      </c>
      <c r="F198" s="862"/>
      <c r="G198" s="861" t="s">
        <v>648</v>
      </c>
      <c r="H198" s="861" t="s">
        <v>654</v>
      </c>
      <c r="I198" s="861" t="s">
        <v>647</v>
      </c>
      <c r="J198" s="861" t="s">
        <v>671</v>
      </c>
      <c r="K198" s="861" t="s">
        <v>649</v>
      </c>
      <c r="L198" s="861" t="s">
        <v>36</v>
      </c>
      <c r="M198" s="861" t="s">
        <v>646</v>
      </c>
      <c r="N198" s="861"/>
      <c r="O198" s="861"/>
      <c r="P198" s="861"/>
      <c r="Q198" s="861" t="s">
        <v>656</v>
      </c>
      <c r="R198" s="861" t="s">
        <v>652</v>
      </c>
      <c r="S198" s="861" t="s">
        <v>649</v>
      </c>
      <c r="T198" s="861"/>
      <c r="U198" s="861"/>
      <c r="V198" s="861" t="s">
        <v>36</v>
      </c>
      <c r="W198" s="861" t="s">
        <v>677</v>
      </c>
      <c r="X198" s="863">
        <v>41821</v>
      </c>
      <c r="Y198" s="863">
        <v>42131</v>
      </c>
      <c r="Z198" s="864">
        <v>2015</v>
      </c>
      <c r="AA198" s="861" t="s">
        <v>676</v>
      </c>
      <c r="AB198" s="861" t="s">
        <v>675</v>
      </c>
      <c r="AC198" s="861" t="s">
        <v>663</v>
      </c>
      <c r="AD198" s="865"/>
      <c r="AE198" s="865"/>
      <c r="AF198" s="865"/>
      <c r="AG198" s="865"/>
      <c r="AH198" s="865"/>
      <c r="AI198" s="865"/>
      <c r="AJ198" s="865"/>
      <c r="AK198" s="865"/>
      <c r="AL198" s="865"/>
      <c r="AM198" s="865"/>
      <c r="AN198" s="865"/>
      <c r="AO198" s="865"/>
      <c r="AP198" s="865"/>
      <c r="AQ198" s="865"/>
      <c r="AR198" s="865"/>
      <c r="AS198" s="865"/>
      <c r="AT198" s="865"/>
      <c r="AU198" s="865"/>
      <c r="AV198" s="865">
        <v>78399.999999999971</v>
      </c>
      <c r="AW198" s="865"/>
      <c r="AX198" s="865"/>
      <c r="AY198" s="865">
        <v>117599.99999999997</v>
      </c>
      <c r="AZ198" s="865"/>
      <c r="BA198" s="865"/>
      <c r="BB198" s="865"/>
      <c r="BC198" s="865"/>
      <c r="BD198" s="865"/>
      <c r="BE198" s="865"/>
      <c r="BF198" s="865"/>
      <c r="BG198" s="865"/>
      <c r="BH198" s="865"/>
      <c r="BI198" s="865"/>
      <c r="BJ198" s="865"/>
      <c r="BK198" s="865"/>
      <c r="BL198" s="865"/>
      <c r="BM198" s="865"/>
      <c r="BN198" s="865"/>
      <c r="BO198" s="865"/>
      <c r="BP198" s="865"/>
      <c r="BQ198" s="865"/>
      <c r="BR198" s="865"/>
      <c r="BS198" s="865">
        <v>195999.99999999994</v>
      </c>
      <c r="BT198" s="412">
        <f t="shared" si="7"/>
        <v>195999.99999999994</v>
      </c>
      <c r="BU198" s="413">
        <v>0.39999999999999997</v>
      </c>
      <c r="BV198" s="413">
        <v>0</v>
      </c>
      <c r="BW198" s="413">
        <v>0</v>
      </c>
      <c r="BX198" s="413">
        <v>0</v>
      </c>
      <c r="BY198" s="413">
        <v>0</v>
      </c>
      <c r="BZ198" s="413">
        <v>0</v>
      </c>
      <c r="CA198" s="413">
        <v>0</v>
      </c>
      <c r="CB198" s="413">
        <v>0.6</v>
      </c>
      <c r="CC198" s="413">
        <v>0</v>
      </c>
      <c r="CD198" s="413">
        <v>0</v>
      </c>
      <c r="CE198" s="413">
        <v>0</v>
      </c>
      <c r="CF198" s="413">
        <v>0</v>
      </c>
      <c r="CG198" s="413">
        <v>0</v>
      </c>
      <c r="CH198" s="413">
        <v>0</v>
      </c>
      <c r="CI198" s="413">
        <v>0</v>
      </c>
      <c r="CJ198" s="413">
        <v>0</v>
      </c>
      <c r="CK198" s="413">
        <v>0</v>
      </c>
      <c r="CL198" s="413">
        <v>0</v>
      </c>
      <c r="CM198" s="413">
        <v>0</v>
      </c>
      <c r="CN198" s="413">
        <v>0</v>
      </c>
      <c r="CO198" s="414">
        <f t="shared" si="6"/>
        <v>1</v>
      </c>
    </row>
    <row r="199" spans="1:93" s="415" customFormat="1" ht="38.25" customHeight="1" x14ac:dyDescent="0.25">
      <c r="A199" s="881" t="s">
        <v>229</v>
      </c>
      <c r="B199" s="862" t="s">
        <v>1840</v>
      </c>
      <c r="C199" s="861" t="s">
        <v>910</v>
      </c>
      <c r="D199" s="862"/>
      <c r="E199" s="861" t="s">
        <v>779</v>
      </c>
      <c r="F199" s="862"/>
      <c r="G199" s="861" t="s">
        <v>722</v>
      </c>
      <c r="H199" s="861" t="s">
        <v>654</v>
      </c>
      <c r="I199" s="861" t="s">
        <v>647</v>
      </c>
      <c r="J199" s="861" t="s">
        <v>641</v>
      </c>
      <c r="K199" s="861" t="s">
        <v>649</v>
      </c>
      <c r="L199" s="861" t="s">
        <v>60</v>
      </c>
      <c r="M199" s="861" t="s">
        <v>646</v>
      </c>
      <c r="N199" s="861" t="s">
        <v>645</v>
      </c>
      <c r="O199" s="861"/>
      <c r="P199" s="861"/>
      <c r="Q199" s="861" t="s">
        <v>656</v>
      </c>
      <c r="R199" s="861" t="s">
        <v>652</v>
      </c>
      <c r="S199" s="861" t="s">
        <v>649</v>
      </c>
      <c r="T199" s="861"/>
      <c r="U199" s="861"/>
      <c r="V199" s="861"/>
      <c r="W199" s="861" t="s">
        <v>666</v>
      </c>
      <c r="X199" s="863">
        <v>41821</v>
      </c>
      <c r="Y199" s="863">
        <v>42255</v>
      </c>
      <c r="Z199" s="864">
        <v>2015</v>
      </c>
      <c r="AA199" s="861" t="s">
        <v>663</v>
      </c>
      <c r="AB199" s="861" t="s">
        <v>697</v>
      </c>
      <c r="AC199" s="861" t="s">
        <v>649</v>
      </c>
      <c r="AD199" s="865"/>
      <c r="AE199" s="865"/>
      <c r="AF199" s="865"/>
      <c r="AG199" s="865">
        <v>2000000.0000000005</v>
      </c>
      <c r="AH199" s="865"/>
      <c r="AI199" s="865"/>
      <c r="AJ199" s="865"/>
      <c r="AK199" s="865"/>
      <c r="AL199" s="865"/>
      <c r="AM199" s="865"/>
      <c r="AN199" s="865"/>
      <c r="AO199" s="865"/>
      <c r="AP199" s="865"/>
      <c r="AQ199" s="865"/>
      <c r="AR199" s="865"/>
      <c r="AS199" s="865"/>
      <c r="AT199" s="865"/>
      <c r="AU199" s="865"/>
      <c r="AV199" s="865"/>
      <c r="AW199" s="865"/>
      <c r="AX199" s="865"/>
      <c r="AY199" s="865"/>
      <c r="AZ199" s="865"/>
      <c r="BA199" s="865"/>
      <c r="BB199" s="865"/>
      <c r="BC199" s="865"/>
      <c r="BD199" s="865"/>
      <c r="BE199" s="865"/>
      <c r="BF199" s="865"/>
      <c r="BG199" s="865"/>
      <c r="BH199" s="865">
        <v>20000.000000000004</v>
      </c>
      <c r="BI199" s="865"/>
      <c r="BJ199" s="865"/>
      <c r="BK199" s="865">
        <v>42000.000000000015</v>
      </c>
      <c r="BL199" s="865"/>
      <c r="BM199" s="865"/>
      <c r="BN199" s="865"/>
      <c r="BO199" s="865"/>
      <c r="BP199" s="865"/>
      <c r="BQ199" s="865"/>
      <c r="BR199" s="865"/>
      <c r="BS199" s="865">
        <v>2062000.0000000005</v>
      </c>
      <c r="BT199" s="412">
        <f t="shared" si="7"/>
        <v>2000000.0000000005</v>
      </c>
      <c r="BU199" s="413">
        <v>0</v>
      </c>
      <c r="BV199" s="413">
        <v>0</v>
      </c>
      <c r="BW199" s="413">
        <v>0</v>
      </c>
      <c r="BX199" s="413">
        <v>0</v>
      </c>
      <c r="BY199" s="413">
        <v>0</v>
      </c>
      <c r="BZ199" s="413">
        <v>0</v>
      </c>
      <c r="CA199" s="413">
        <v>0</v>
      </c>
      <c r="CB199" s="413">
        <v>0</v>
      </c>
      <c r="CC199" s="413">
        <v>0</v>
      </c>
      <c r="CD199" s="413">
        <v>1</v>
      </c>
      <c r="CE199" s="413">
        <v>0</v>
      </c>
      <c r="CF199" s="413">
        <v>0</v>
      </c>
      <c r="CG199" s="413">
        <v>0</v>
      </c>
      <c r="CH199" s="413">
        <v>0</v>
      </c>
      <c r="CI199" s="413">
        <v>0</v>
      </c>
      <c r="CJ199" s="413">
        <v>0</v>
      </c>
      <c r="CK199" s="413">
        <v>0</v>
      </c>
      <c r="CL199" s="413">
        <v>0</v>
      </c>
      <c r="CM199" s="413">
        <v>0</v>
      </c>
      <c r="CN199" s="413">
        <v>0</v>
      </c>
      <c r="CO199" s="414">
        <f t="shared" si="6"/>
        <v>1</v>
      </c>
    </row>
    <row r="200" spans="1:93" s="415" customFormat="1" ht="25.5" customHeight="1" x14ac:dyDescent="0.25">
      <c r="A200" s="881" t="s">
        <v>231</v>
      </c>
      <c r="B200" s="862" t="s">
        <v>1844</v>
      </c>
      <c r="C200" s="861" t="s">
        <v>2793</v>
      </c>
      <c r="D200" s="862"/>
      <c r="E200" s="861"/>
      <c r="F200" s="862"/>
      <c r="G200" s="861"/>
      <c r="H200" s="861" t="s">
        <v>654</v>
      </c>
      <c r="I200" s="861" t="s">
        <v>647</v>
      </c>
      <c r="J200" s="861" t="s">
        <v>641</v>
      </c>
      <c r="K200" s="861" t="s">
        <v>649</v>
      </c>
      <c r="L200" s="861" t="s">
        <v>28</v>
      </c>
      <c r="M200" s="861" t="s">
        <v>646</v>
      </c>
      <c r="N200" s="861" t="s">
        <v>645</v>
      </c>
      <c r="O200" s="861" t="s">
        <v>908</v>
      </c>
      <c r="P200" s="861" t="s">
        <v>823</v>
      </c>
      <c r="Q200" s="861" t="s">
        <v>642</v>
      </c>
      <c r="R200" s="861" t="s">
        <v>652</v>
      </c>
      <c r="S200" s="861" t="s">
        <v>649</v>
      </c>
      <c r="T200" s="861"/>
      <c r="U200" s="861"/>
      <c r="V200" s="861" t="s">
        <v>641</v>
      </c>
      <c r="W200" s="861" t="s">
        <v>666</v>
      </c>
      <c r="X200" s="863"/>
      <c r="Y200" s="863"/>
      <c r="Z200" s="864"/>
      <c r="AA200" s="861"/>
      <c r="AB200" s="861"/>
      <c r="AC200" s="861"/>
      <c r="AD200" s="865"/>
      <c r="AE200" s="865"/>
      <c r="AF200" s="865"/>
      <c r="AG200" s="865"/>
      <c r="AH200" s="865"/>
      <c r="AI200" s="865"/>
      <c r="AJ200" s="865"/>
      <c r="AK200" s="865"/>
      <c r="AL200" s="865"/>
      <c r="AM200" s="865"/>
      <c r="AN200" s="865"/>
      <c r="AO200" s="865"/>
      <c r="AP200" s="865"/>
      <c r="AQ200" s="865"/>
      <c r="AR200" s="865"/>
      <c r="AS200" s="865"/>
      <c r="AT200" s="865"/>
      <c r="AU200" s="865"/>
      <c r="AV200" s="865"/>
      <c r="AW200" s="865"/>
      <c r="AX200" s="865"/>
      <c r="AY200" s="865"/>
      <c r="AZ200" s="865"/>
      <c r="BA200" s="865"/>
      <c r="BB200" s="865"/>
      <c r="BC200" s="865"/>
      <c r="BD200" s="865"/>
      <c r="BE200" s="865"/>
      <c r="BF200" s="865"/>
      <c r="BG200" s="865"/>
      <c r="BH200" s="865"/>
      <c r="BI200" s="865"/>
      <c r="BJ200" s="865"/>
      <c r="BK200" s="865"/>
      <c r="BL200" s="865"/>
      <c r="BM200" s="865"/>
      <c r="BN200" s="865"/>
      <c r="BO200" s="865"/>
      <c r="BP200" s="865"/>
      <c r="BQ200" s="865"/>
      <c r="BR200" s="865"/>
      <c r="BS200" s="865"/>
      <c r="BT200" s="412">
        <f t="shared" si="7"/>
        <v>0</v>
      </c>
      <c r="BU200" s="413">
        <v>0</v>
      </c>
      <c r="BV200" s="413">
        <v>0</v>
      </c>
      <c r="BW200" s="413">
        <v>0</v>
      </c>
      <c r="BX200" s="413">
        <v>0</v>
      </c>
      <c r="BY200" s="413">
        <v>0</v>
      </c>
      <c r="BZ200" s="413">
        <v>0</v>
      </c>
      <c r="CA200" s="413">
        <v>0</v>
      </c>
      <c r="CB200" s="413">
        <v>0</v>
      </c>
      <c r="CC200" s="413">
        <v>0</v>
      </c>
      <c r="CD200" s="413">
        <v>0</v>
      </c>
      <c r="CE200" s="413">
        <v>0</v>
      </c>
      <c r="CF200" s="413">
        <v>0</v>
      </c>
      <c r="CG200" s="413">
        <v>0</v>
      </c>
      <c r="CH200" s="413">
        <v>0</v>
      </c>
      <c r="CI200" s="413">
        <v>0</v>
      </c>
      <c r="CJ200" s="413">
        <v>0</v>
      </c>
      <c r="CK200" s="413">
        <v>0</v>
      </c>
      <c r="CL200" s="413">
        <v>0</v>
      </c>
      <c r="CM200" s="413">
        <v>0</v>
      </c>
      <c r="CN200" s="413">
        <v>0</v>
      </c>
      <c r="CO200" s="414">
        <f t="shared" si="6"/>
        <v>0</v>
      </c>
    </row>
    <row r="201" spans="1:93" s="415" customFormat="1" ht="25.5" customHeight="1" x14ac:dyDescent="0.25">
      <c r="A201" s="882" t="s">
        <v>231</v>
      </c>
      <c r="B201" s="862" t="s">
        <v>1844</v>
      </c>
      <c r="C201" s="861" t="s">
        <v>909</v>
      </c>
      <c r="D201" s="862"/>
      <c r="E201" s="861"/>
      <c r="F201" s="862"/>
      <c r="G201" s="861" t="s">
        <v>686</v>
      </c>
      <c r="H201" s="861" t="s">
        <v>654</v>
      </c>
      <c r="I201" s="861" t="s">
        <v>647</v>
      </c>
      <c r="J201" s="861" t="s">
        <v>641</v>
      </c>
      <c r="K201" s="861" t="s">
        <v>649</v>
      </c>
      <c r="L201" s="861" t="s">
        <v>41</v>
      </c>
      <c r="M201" s="861" t="s">
        <v>646</v>
      </c>
      <c r="N201" s="861" t="s">
        <v>645</v>
      </c>
      <c r="O201" s="861" t="s">
        <v>908</v>
      </c>
      <c r="P201" s="861" t="s">
        <v>720</v>
      </c>
      <c r="Q201" s="861" t="s">
        <v>642</v>
      </c>
      <c r="R201" s="861" t="s">
        <v>652</v>
      </c>
      <c r="S201" s="861" t="s">
        <v>649</v>
      </c>
      <c r="T201" s="861" t="s">
        <v>107</v>
      </c>
      <c r="U201" s="861"/>
      <c r="V201" s="861" t="s">
        <v>641</v>
      </c>
      <c r="W201" s="861"/>
      <c r="X201" s="863">
        <v>41645</v>
      </c>
      <c r="Y201" s="863">
        <v>43343</v>
      </c>
      <c r="Z201" s="864">
        <v>2018</v>
      </c>
      <c r="AA201" s="861" t="s">
        <v>649</v>
      </c>
      <c r="AB201" s="861"/>
      <c r="AC201" s="861"/>
      <c r="AD201" s="865"/>
      <c r="AE201" s="865"/>
      <c r="AF201" s="865"/>
      <c r="AG201" s="865">
        <v>9339202.4600000102</v>
      </c>
      <c r="AH201" s="865"/>
      <c r="AI201" s="865"/>
      <c r="AJ201" s="865"/>
      <c r="AK201" s="865"/>
      <c r="AL201" s="865"/>
      <c r="AM201" s="865"/>
      <c r="AN201" s="865"/>
      <c r="AO201" s="865"/>
      <c r="AP201" s="865"/>
      <c r="AQ201" s="865"/>
      <c r="AR201" s="865"/>
      <c r="AS201" s="865"/>
      <c r="AT201" s="865"/>
      <c r="AU201" s="865"/>
      <c r="AV201" s="865"/>
      <c r="AW201" s="865"/>
      <c r="AX201" s="865"/>
      <c r="AY201" s="865"/>
      <c r="AZ201" s="865"/>
      <c r="BA201" s="865"/>
      <c r="BB201" s="865"/>
      <c r="BC201" s="865"/>
      <c r="BD201" s="865"/>
      <c r="BE201" s="865"/>
      <c r="BF201" s="865"/>
      <c r="BG201" s="865">
        <v>0</v>
      </c>
      <c r="BH201" s="865"/>
      <c r="BI201" s="865"/>
      <c r="BJ201" s="865"/>
      <c r="BK201" s="865"/>
      <c r="BL201" s="865"/>
      <c r="BM201" s="865"/>
      <c r="BN201" s="865"/>
      <c r="BO201" s="865"/>
      <c r="BP201" s="865"/>
      <c r="BQ201" s="865"/>
      <c r="BR201" s="865"/>
      <c r="BS201" s="865">
        <v>9339202.4600000102</v>
      </c>
      <c r="BT201" s="412">
        <f t="shared" si="7"/>
        <v>9339202.4600000102</v>
      </c>
      <c r="BU201" s="413">
        <v>0</v>
      </c>
      <c r="BV201" s="413">
        <v>0</v>
      </c>
      <c r="BW201" s="413">
        <v>0</v>
      </c>
      <c r="BX201" s="413">
        <v>0</v>
      </c>
      <c r="BY201" s="413">
        <v>0</v>
      </c>
      <c r="BZ201" s="413">
        <v>0</v>
      </c>
      <c r="CA201" s="413">
        <v>0</v>
      </c>
      <c r="CB201" s="413">
        <v>0</v>
      </c>
      <c r="CC201" s="413">
        <v>0</v>
      </c>
      <c r="CD201" s="413">
        <v>1</v>
      </c>
      <c r="CE201" s="413">
        <v>0</v>
      </c>
      <c r="CF201" s="413">
        <v>0</v>
      </c>
      <c r="CG201" s="413">
        <v>0</v>
      </c>
      <c r="CH201" s="413">
        <v>0</v>
      </c>
      <c r="CI201" s="413">
        <v>0</v>
      </c>
      <c r="CJ201" s="413">
        <v>0</v>
      </c>
      <c r="CK201" s="413">
        <v>0</v>
      </c>
      <c r="CL201" s="413">
        <v>0</v>
      </c>
      <c r="CM201" s="413">
        <v>0</v>
      </c>
      <c r="CN201" s="413">
        <v>0</v>
      </c>
      <c r="CO201" s="414">
        <f t="shared" si="6"/>
        <v>1</v>
      </c>
    </row>
    <row r="202" spans="1:93" s="415" customFormat="1" ht="25.5" customHeight="1" x14ac:dyDescent="0.25">
      <c r="A202" s="881" t="s">
        <v>234</v>
      </c>
      <c r="B202" s="862" t="s">
        <v>1850</v>
      </c>
      <c r="C202" s="861" t="s">
        <v>907</v>
      </c>
      <c r="D202" s="862"/>
      <c r="E202" s="861" t="s">
        <v>906</v>
      </c>
      <c r="F202" s="862"/>
      <c r="G202" s="861" t="s">
        <v>648</v>
      </c>
      <c r="H202" s="861" t="s">
        <v>654</v>
      </c>
      <c r="I202" s="861" t="s">
        <v>647</v>
      </c>
      <c r="J202" s="861" t="s">
        <v>671</v>
      </c>
      <c r="K202" s="861" t="s">
        <v>649</v>
      </c>
      <c r="L202" s="861" t="s">
        <v>55</v>
      </c>
      <c r="M202" s="861" t="s">
        <v>646</v>
      </c>
      <c r="N202" s="861"/>
      <c r="O202" s="861"/>
      <c r="P202" s="861"/>
      <c r="Q202" s="861" t="s">
        <v>656</v>
      </c>
      <c r="R202" s="861" t="s">
        <v>652</v>
      </c>
      <c r="S202" s="861" t="s">
        <v>649</v>
      </c>
      <c r="T202" s="861"/>
      <c r="U202" s="861"/>
      <c r="V202" s="861" t="s">
        <v>683</v>
      </c>
      <c r="W202" s="861" t="s">
        <v>666</v>
      </c>
      <c r="X202" s="863">
        <v>41456</v>
      </c>
      <c r="Y202" s="863">
        <v>42237</v>
      </c>
      <c r="Z202" s="864">
        <v>2015</v>
      </c>
      <c r="AA202" s="861" t="s">
        <v>676</v>
      </c>
      <c r="AB202" s="861" t="s">
        <v>675</v>
      </c>
      <c r="AC202" s="861" t="s">
        <v>663</v>
      </c>
      <c r="AD202" s="865"/>
      <c r="AE202" s="865"/>
      <c r="AF202" s="865"/>
      <c r="AG202" s="865"/>
      <c r="AH202" s="865"/>
      <c r="AI202" s="865"/>
      <c r="AJ202" s="865"/>
      <c r="AK202" s="865"/>
      <c r="AL202" s="865"/>
      <c r="AM202" s="865"/>
      <c r="AN202" s="865"/>
      <c r="AO202" s="865"/>
      <c r="AP202" s="865"/>
      <c r="AQ202" s="865"/>
      <c r="AR202" s="865"/>
      <c r="AS202" s="865"/>
      <c r="AT202" s="865"/>
      <c r="AU202" s="865"/>
      <c r="AV202" s="865"/>
      <c r="AW202" s="865">
        <v>1056000.0000000005</v>
      </c>
      <c r="AX202" s="865">
        <v>44000.000000000029</v>
      </c>
      <c r="AY202" s="865"/>
      <c r="AZ202" s="865"/>
      <c r="BA202" s="865"/>
      <c r="BB202" s="865"/>
      <c r="BC202" s="865"/>
      <c r="BD202" s="865"/>
      <c r="BE202" s="865"/>
      <c r="BF202" s="865"/>
      <c r="BG202" s="865"/>
      <c r="BH202" s="865"/>
      <c r="BI202" s="865"/>
      <c r="BJ202" s="865"/>
      <c r="BK202" s="865"/>
      <c r="BL202" s="865"/>
      <c r="BM202" s="865"/>
      <c r="BN202" s="865"/>
      <c r="BO202" s="865"/>
      <c r="BP202" s="865"/>
      <c r="BQ202" s="865"/>
      <c r="BR202" s="865"/>
      <c r="BS202" s="865">
        <v>1100000.0000000005</v>
      </c>
      <c r="BT202" s="412">
        <f t="shared" si="7"/>
        <v>1100000.0000000005</v>
      </c>
      <c r="BU202" s="413">
        <v>0</v>
      </c>
      <c r="BV202" s="413">
        <v>0</v>
      </c>
      <c r="BW202" s="413">
        <v>0</v>
      </c>
      <c r="BX202" s="413">
        <v>1</v>
      </c>
      <c r="BY202" s="413">
        <v>0</v>
      </c>
      <c r="BZ202" s="413">
        <v>0</v>
      </c>
      <c r="CA202" s="413">
        <v>0</v>
      </c>
      <c r="CB202" s="413">
        <v>0</v>
      </c>
      <c r="CC202" s="413">
        <v>0</v>
      </c>
      <c r="CD202" s="413">
        <v>0</v>
      </c>
      <c r="CE202" s="413">
        <v>0</v>
      </c>
      <c r="CF202" s="413">
        <v>0</v>
      </c>
      <c r="CG202" s="413">
        <v>0</v>
      </c>
      <c r="CH202" s="413">
        <v>0</v>
      </c>
      <c r="CI202" s="413">
        <v>0</v>
      </c>
      <c r="CJ202" s="413">
        <v>0</v>
      </c>
      <c r="CK202" s="413">
        <v>0</v>
      </c>
      <c r="CL202" s="413">
        <v>0</v>
      </c>
      <c r="CM202" s="413">
        <v>0</v>
      </c>
      <c r="CN202" s="413">
        <v>0</v>
      </c>
      <c r="CO202" s="414">
        <f t="shared" si="6"/>
        <v>1</v>
      </c>
    </row>
    <row r="203" spans="1:93" s="415" customFormat="1" ht="25.5" customHeight="1" x14ac:dyDescent="0.25">
      <c r="A203" s="881" t="s">
        <v>235</v>
      </c>
      <c r="B203" s="862" t="s">
        <v>1852</v>
      </c>
      <c r="C203" s="861" t="s">
        <v>905</v>
      </c>
      <c r="D203" s="862"/>
      <c r="E203" s="861"/>
      <c r="F203" s="862"/>
      <c r="G203" s="861"/>
      <c r="H203" s="861" t="s">
        <v>654</v>
      </c>
      <c r="I203" s="861" t="s">
        <v>647</v>
      </c>
      <c r="J203" s="861" t="s">
        <v>671</v>
      </c>
      <c r="K203" s="861" t="s">
        <v>649</v>
      </c>
      <c r="L203" s="861" t="s">
        <v>107</v>
      </c>
      <c r="M203" s="861" t="s">
        <v>646</v>
      </c>
      <c r="N203" s="861" t="s">
        <v>645</v>
      </c>
      <c r="O203" s="861"/>
      <c r="P203" s="861" t="s">
        <v>720</v>
      </c>
      <c r="Q203" s="861" t="s">
        <v>656</v>
      </c>
      <c r="R203" s="861" t="s">
        <v>652</v>
      </c>
      <c r="S203" s="861" t="s">
        <v>649</v>
      </c>
      <c r="T203" s="861"/>
      <c r="U203" s="861"/>
      <c r="V203" s="861" t="s">
        <v>670</v>
      </c>
      <c r="W203" s="861" t="s">
        <v>677</v>
      </c>
      <c r="X203" s="863">
        <v>42101</v>
      </c>
      <c r="Y203" s="863">
        <v>43318</v>
      </c>
      <c r="Z203" s="864">
        <v>2018</v>
      </c>
      <c r="AA203" s="861"/>
      <c r="AB203" s="861"/>
      <c r="AC203" s="861"/>
      <c r="AD203" s="865"/>
      <c r="AE203" s="865"/>
      <c r="AF203" s="865"/>
      <c r="AG203" s="865"/>
      <c r="AH203" s="865"/>
      <c r="AI203" s="865"/>
      <c r="AJ203" s="865"/>
      <c r="AK203" s="865"/>
      <c r="AL203" s="865"/>
      <c r="AM203" s="865"/>
      <c r="AN203" s="865"/>
      <c r="AO203" s="865"/>
      <c r="AP203" s="865"/>
      <c r="AQ203" s="865"/>
      <c r="AR203" s="865"/>
      <c r="AS203" s="865"/>
      <c r="AT203" s="865"/>
      <c r="AU203" s="865"/>
      <c r="AV203" s="865"/>
      <c r="AW203" s="865">
        <v>0</v>
      </c>
      <c r="AX203" s="865"/>
      <c r="AY203" s="865"/>
      <c r="AZ203" s="865"/>
      <c r="BA203" s="865"/>
      <c r="BB203" s="865"/>
      <c r="BC203" s="865"/>
      <c r="BD203" s="865"/>
      <c r="BE203" s="865"/>
      <c r="BF203" s="865"/>
      <c r="BG203" s="865"/>
      <c r="BH203" s="865">
        <v>3139910.8611226729</v>
      </c>
      <c r="BI203" s="865"/>
      <c r="BJ203" s="865"/>
      <c r="BK203" s="865"/>
      <c r="BL203" s="865"/>
      <c r="BM203" s="865"/>
      <c r="BN203" s="865"/>
      <c r="BO203" s="865"/>
      <c r="BP203" s="865"/>
      <c r="BQ203" s="865"/>
      <c r="BR203" s="865"/>
      <c r="BS203" s="865">
        <v>3139910.8611226729</v>
      </c>
      <c r="BT203" s="412">
        <f t="shared" si="7"/>
        <v>0</v>
      </c>
      <c r="BU203" s="413">
        <v>0</v>
      </c>
      <c r="BV203" s="413">
        <v>0</v>
      </c>
      <c r="BW203" s="413">
        <v>0</v>
      </c>
      <c r="BX203" s="413">
        <v>0</v>
      </c>
      <c r="BY203" s="413">
        <v>0</v>
      </c>
      <c r="BZ203" s="413">
        <v>0</v>
      </c>
      <c r="CA203" s="413">
        <v>0</v>
      </c>
      <c r="CB203" s="413">
        <v>0</v>
      </c>
      <c r="CC203" s="413">
        <v>0</v>
      </c>
      <c r="CD203" s="413">
        <v>0</v>
      </c>
      <c r="CE203" s="413">
        <v>0</v>
      </c>
      <c r="CF203" s="413">
        <v>0</v>
      </c>
      <c r="CG203" s="413">
        <v>0</v>
      </c>
      <c r="CH203" s="413">
        <v>0</v>
      </c>
      <c r="CI203" s="413">
        <v>0</v>
      </c>
      <c r="CJ203" s="413">
        <v>0</v>
      </c>
      <c r="CK203" s="413">
        <v>0</v>
      </c>
      <c r="CL203" s="413">
        <v>0</v>
      </c>
      <c r="CM203" s="413">
        <v>0</v>
      </c>
      <c r="CN203" s="413">
        <v>0</v>
      </c>
      <c r="CO203" s="414">
        <f t="shared" si="6"/>
        <v>0</v>
      </c>
    </row>
    <row r="204" spans="1:93" s="415" customFormat="1" ht="25.5" customHeight="1" x14ac:dyDescent="0.25">
      <c r="A204" s="881" t="s">
        <v>237</v>
      </c>
      <c r="B204" s="862" t="s">
        <v>1856</v>
      </c>
      <c r="C204" s="861" t="s">
        <v>904</v>
      </c>
      <c r="D204" s="862"/>
      <c r="E204" s="861" t="s">
        <v>779</v>
      </c>
      <c r="F204" s="862"/>
      <c r="G204" s="861" t="s">
        <v>648</v>
      </c>
      <c r="H204" s="861" t="s">
        <v>654</v>
      </c>
      <c r="I204" s="861" t="s">
        <v>647</v>
      </c>
      <c r="J204" s="861" t="s">
        <v>671</v>
      </c>
      <c r="K204" s="861" t="s">
        <v>649</v>
      </c>
      <c r="L204" s="861" t="s">
        <v>36</v>
      </c>
      <c r="M204" s="861" t="s">
        <v>646</v>
      </c>
      <c r="N204" s="861"/>
      <c r="O204" s="861"/>
      <c r="P204" s="861"/>
      <c r="Q204" s="861" t="s">
        <v>650</v>
      </c>
      <c r="R204" s="861" t="s">
        <v>652</v>
      </c>
      <c r="S204" s="861"/>
      <c r="T204" s="861"/>
      <c r="U204" s="861"/>
      <c r="V204" s="861" t="s">
        <v>36</v>
      </c>
      <c r="W204" s="861" t="s">
        <v>677</v>
      </c>
      <c r="X204" s="863">
        <v>41821</v>
      </c>
      <c r="Y204" s="863">
        <v>42131</v>
      </c>
      <c r="Z204" s="864">
        <v>2015</v>
      </c>
      <c r="AA204" s="861" t="s">
        <v>676</v>
      </c>
      <c r="AB204" s="861" t="s">
        <v>675</v>
      </c>
      <c r="AC204" s="861" t="s">
        <v>663</v>
      </c>
      <c r="AD204" s="865"/>
      <c r="AE204" s="865"/>
      <c r="AF204" s="865"/>
      <c r="AG204" s="865"/>
      <c r="AH204" s="865"/>
      <c r="AI204" s="865"/>
      <c r="AJ204" s="865"/>
      <c r="AK204" s="865"/>
      <c r="AL204" s="865"/>
      <c r="AM204" s="865"/>
      <c r="AN204" s="865"/>
      <c r="AO204" s="865"/>
      <c r="AP204" s="865"/>
      <c r="AQ204" s="865"/>
      <c r="AR204" s="865"/>
      <c r="AS204" s="865"/>
      <c r="AT204" s="865"/>
      <c r="AU204" s="865"/>
      <c r="AV204" s="865">
        <v>46199.999999999985</v>
      </c>
      <c r="AW204" s="865"/>
      <c r="AX204" s="865"/>
      <c r="AY204" s="865">
        <v>163799.99999999994</v>
      </c>
      <c r="AZ204" s="865"/>
      <c r="BA204" s="865"/>
      <c r="BB204" s="865"/>
      <c r="BC204" s="865"/>
      <c r="BD204" s="865"/>
      <c r="BE204" s="865"/>
      <c r="BF204" s="865"/>
      <c r="BG204" s="865"/>
      <c r="BH204" s="865"/>
      <c r="BI204" s="865"/>
      <c r="BJ204" s="865"/>
      <c r="BK204" s="865"/>
      <c r="BL204" s="865"/>
      <c r="BM204" s="865"/>
      <c r="BN204" s="865"/>
      <c r="BO204" s="865"/>
      <c r="BP204" s="865"/>
      <c r="BQ204" s="865"/>
      <c r="BR204" s="865"/>
      <c r="BS204" s="865">
        <v>209999.99999999994</v>
      </c>
      <c r="BT204" s="412">
        <f t="shared" si="7"/>
        <v>209999.99999999994</v>
      </c>
      <c r="BU204" s="413">
        <v>0.22</v>
      </c>
      <c r="BV204" s="413">
        <v>0</v>
      </c>
      <c r="BW204" s="413">
        <v>0</v>
      </c>
      <c r="BX204" s="413">
        <v>0</v>
      </c>
      <c r="BY204" s="413">
        <v>0</v>
      </c>
      <c r="BZ204" s="413">
        <v>0</v>
      </c>
      <c r="CA204" s="413">
        <v>0</v>
      </c>
      <c r="CB204" s="413">
        <v>0.77999999999999992</v>
      </c>
      <c r="CC204" s="413">
        <v>0</v>
      </c>
      <c r="CD204" s="413">
        <v>0</v>
      </c>
      <c r="CE204" s="413">
        <v>0</v>
      </c>
      <c r="CF204" s="413">
        <v>0</v>
      </c>
      <c r="CG204" s="413">
        <v>0</v>
      </c>
      <c r="CH204" s="413">
        <v>0</v>
      </c>
      <c r="CI204" s="413">
        <v>0</v>
      </c>
      <c r="CJ204" s="413">
        <v>0</v>
      </c>
      <c r="CK204" s="413">
        <v>0</v>
      </c>
      <c r="CL204" s="413">
        <v>0</v>
      </c>
      <c r="CM204" s="413">
        <v>0</v>
      </c>
      <c r="CN204" s="413">
        <v>0</v>
      </c>
      <c r="CO204" s="414">
        <f t="shared" si="6"/>
        <v>0.99999999999999989</v>
      </c>
    </row>
    <row r="205" spans="1:93" s="415" customFormat="1" ht="25.5" customHeight="1" x14ac:dyDescent="0.25">
      <c r="A205" s="881" t="s">
        <v>239</v>
      </c>
      <c r="B205" s="862" t="s">
        <v>1858</v>
      </c>
      <c r="C205" s="861" t="s">
        <v>903</v>
      </c>
      <c r="D205" s="862"/>
      <c r="E205" s="861" t="s">
        <v>779</v>
      </c>
      <c r="F205" s="862"/>
      <c r="G205" s="861" t="s">
        <v>648</v>
      </c>
      <c r="H205" s="861" t="s">
        <v>654</v>
      </c>
      <c r="I205" s="861" t="s">
        <v>647</v>
      </c>
      <c r="J205" s="861" t="s">
        <v>671</v>
      </c>
      <c r="K205" s="861" t="s">
        <v>649</v>
      </c>
      <c r="L205" s="861" t="s">
        <v>36</v>
      </c>
      <c r="M205" s="861" t="s">
        <v>646</v>
      </c>
      <c r="N205" s="861" t="s">
        <v>680</v>
      </c>
      <c r="O205" s="861"/>
      <c r="P205" s="861" t="s">
        <v>643</v>
      </c>
      <c r="Q205" s="861" t="s">
        <v>650</v>
      </c>
      <c r="R205" s="861" t="s">
        <v>652</v>
      </c>
      <c r="S205" s="861" t="s">
        <v>649</v>
      </c>
      <c r="T205" s="861"/>
      <c r="U205" s="861"/>
      <c r="V205" s="861" t="s">
        <v>36</v>
      </c>
      <c r="W205" s="861" t="s">
        <v>677</v>
      </c>
      <c r="X205" s="863">
        <v>42186</v>
      </c>
      <c r="Y205" s="863">
        <v>42520</v>
      </c>
      <c r="Z205" s="864">
        <v>2016</v>
      </c>
      <c r="AA205" s="861" t="s">
        <v>676</v>
      </c>
      <c r="AB205" s="861" t="s">
        <v>675</v>
      </c>
      <c r="AC205" s="861" t="s">
        <v>663</v>
      </c>
      <c r="AD205" s="865"/>
      <c r="AE205" s="865"/>
      <c r="AF205" s="865"/>
      <c r="AG205" s="865"/>
      <c r="AH205" s="865"/>
      <c r="AI205" s="865"/>
      <c r="AJ205" s="865"/>
      <c r="AK205" s="865"/>
      <c r="AL205" s="865"/>
      <c r="AM205" s="865"/>
      <c r="AN205" s="865"/>
      <c r="AO205" s="865"/>
      <c r="AP205" s="865"/>
      <c r="AQ205" s="865"/>
      <c r="AR205" s="865"/>
      <c r="AS205" s="865"/>
      <c r="AT205" s="865"/>
      <c r="AU205" s="865"/>
      <c r="AV205" s="865">
        <v>33479.999999999985</v>
      </c>
      <c r="AW205" s="865"/>
      <c r="AX205" s="865"/>
      <c r="AY205" s="865"/>
      <c r="AZ205" s="865"/>
      <c r="BA205" s="865"/>
      <c r="BB205" s="865"/>
      <c r="BC205" s="865">
        <v>719.99999999999977</v>
      </c>
      <c r="BD205" s="865">
        <v>0</v>
      </c>
      <c r="BE205" s="865"/>
      <c r="BF205" s="865"/>
      <c r="BG205" s="865"/>
      <c r="BH205" s="865">
        <v>6167.2974078918814</v>
      </c>
      <c r="BI205" s="865"/>
      <c r="BJ205" s="865"/>
      <c r="BK205" s="865"/>
      <c r="BL205" s="865"/>
      <c r="BM205" s="865"/>
      <c r="BN205" s="865"/>
      <c r="BO205" s="865"/>
      <c r="BP205" s="865"/>
      <c r="BQ205" s="865"/>
      <c r="BR205" s="865"/>
      <c r="BS205" s="865">
        <v>40367.297407891863</v>
      </c>
      <c r="BT205" s="412">
        <f t="shared" si="7"/>
        <v>33479.999999999985</v>
      </c>
      <c r="BU205" s="413">
        <v>1</v>
      </c>
      <c r="BV205" s="413">
        <v>0</v>
      </c>
      <c r="BW205" s="413">
        <v>0</v>
      </c>
      <c r="BX205" s="413">
        <v>0</v>
      </c>
      <c r="BY205" s="413">
        <v>0</v>
      </c>
      <c r="BZ205" s="413">
        <v>0</v>
      </c>
      <c r="CA205" s="413">
        <v>0</v>
      </c>
      <c r="CB205" s="413">
        <v>0</v>
      </c>
      <c r="CC205" s="413">
        <v>0</v>
      </c>
      <c r="CD205" s="413">
        <v>0</v>
      </c>
      <c r="CE205" s="413">
        <v>0</v>
      </c>
      <c r="CF205" s="413">
        <v>0</v>
      </c>
      <c r="CG205" s="413">
        <v>0</v>
      </c>
      <c r="CH205" s="413">
        <v>0</v>
      </c>
      <c r="CI205" s="413">
        <v>0</v>
      </c>
      <c r="CJ205" s="413">
        <v>0</v>
      </c>
      <c r="CK205" s="413">
        <v>0</v>
      </c>
      <c r="CL205" s="413">
        <v>0</v>
      </c>
      <c r="CM205" s="413">
        <v>0</v>
      </c>
      <c r="CN205" s="413">
        <v>0</v>
      </c>
      <c r="CO205" s="414">
        <f t="shared" si="6"/>
        <v>1</v>
      </c>
    </row>
    <row r="206" spans="1:93" s="415" customFormat="1" ht="25.5" customHeight="1" x14ac:dyDescent="0.25">
      <c r="A206" s="881" t="s">
        <v>902</v>
      </c>
      <c r="B206" s="862" t="s">
        <v>1870</v>
      </c>
      <c r="C206" s="861" t="s">
        <v>901</v>
      </c>
      <c r="D206" s="862"/>
      <c r="E206" s="861" t="s">
        <v>55</v>
      </c>
      <c r="F206" s="862"/>
      <c r="G206" s="861" t="s">
        <v>648</v>
      </c>
      <c r="H206" s="861" t="s">
        <v>654</v>
      </c>
      <c r="I206" s="861" t="s">
        <v>647</v>
      </c>
      <c r="J206" s="861" t="s">
        <v>641</v>
      </c>
      <c r="K206" s="861" t="s">
        <v>649</v>
      </c>
      <c r="L206" s="861" t="s">
        <v>28</v>
      </c>
      <c r="M206" s="861" t="s">
        <v>646</v>
      </c>
      <c r="N206" s="861"/>
      <c r="O206" s="861"/>
      <c r="P206" s="861"/>
      <c r="Q206" s="861" t="s">
        <v>656</v>
      </c>
      <c r="R206" s="861" t="s">
        <v>652</v>
      </c>
      <c r="S206" s="861" t="s">
        <v>649</v>
      </c>
      <c r="T206" s="861"/>
      <c r="U206" s="861"/>
      <c r="V206" s="861" t="s">
        <v>683</v>
      </c>
      <c r="W206" s="861" t="s">
        <v>677</v>
      </c>
      <c r="X206" s="863">
        <v>41763</v>
      </c>
      <c r="Y206" s="863">
        <v>42494</v>
      </c>
      <c r="Z206" s="864">
        <v>2015</v>
      </c>
      <c r="AA206" s="861" t="s">
        <v>676</v>
      </c>
      <c r="AB206" s="861" t="s">
        <v>675</v>
      </c>
      <c r="AC206" s="861" t="s">
        <v>663</v>
      </c>
      <c r="AD206" s="865"/>
      <c r="AE206" s="865"/>
      <c r="AF206" s="865"/>
      <c r="AG206" s="865"/>
      <c r="AH206" s="865"/>
      <c r="AI206" s="865"/>
      <c r="AJ206" s="865"/>
      <c r="AK206" s="865"/>
      <c r="AL206" s="865"/>
      <c r="AM206" s="865"/>
      <c r="AN206" s="865"/>
      <c r="AO206" s="865"/>
      <c r="AP206" s="865"/>
      <c r="AQ206" s="865"/>
      <c r="AR206" s="865">
        <v>1775999.9999999991</v>
      </c>
      <c r="AS206" s="865"/>
      <c r="AT206" s="865"/>
      <c r="AU206" s="865"/>
      <c r="AV206" s="865"/>
      <c r="AW206" s="865"/>
      <c r="AX206" s="865"/>
      <c r="AY206" s="865"/>
      <c r="AZ206" s="865"/>
      <c r="BA206" s="865"/>
      <c r="BB206" s="865"/>
      <c r="BC206" s="865"/>
      <c r="BD206" s="865"/>
      <c r="BE206" s="865"/>
      <c r="BF206" s="865"/>
      <c r="BG206" s="865"/>
      <c r="BH206" s="865"/>
      <c r="BI206" s="865"/>
      <c r="BJ206" s="865"/>
      <c r="BK206" s="865"/>
      <c r="BL206" s="865"/>
      <c r="BM206" s="865"/>
      <c r="BN206" s="865"/>
      <c r="BO206" s="865"/>
      <c r="BP206" s="865"/>
      <c r="BQ206" s="865"/>
      <c r="BR206" s="865"/>
      <c r="BS206" s="865">
        <v>1775999.9999999991</v>
      </c>
      <c r="BT206" s="412">
        <f t="shared" si="7"/>
        <v>1775999.9999999991</v>
      </c>
      <c r="BU206" s="413">
        <v>0</v>
      </c>
      <c r="BV206" s="413">
        <v>0</v>
      </c>
      <c r="BW206" s="413">
        <v>1</v>
      </c>
      <c r="BX206" s="413">
        <v>0</v>
      </c>
      <c r="BY206" s="413">
        <v>0</v>
      </c>
      <c r="BZ206" s="413">
        <v>0</v>
      </c>
      <c r="CA206" s="413">
        <v>0</v>
      </c>
      <c r="CB206" s="413">
        <v>0</v>
      </c>
      <c r="CC206" s="413">
        <v>0</v>
      </c>
      <c r="CD206" s="413">
        <v>0</v>
      </c>
      <c r="CE206" s="413">
        <v>0</v>
      </c>
      <c r="CF206" s="413">
        <v>0</v>
      </c>
      <c r="CG206" s="413">
        <v>0</v>
      </c>
      <c r="CH206" s="413">
        <v>0</v>
      </c>
      <c r="CI206" s="413">
        <v>0</v>
      </c>
      <c r="CJ206" s="413">
        <v>0</v>
      </c>
      <c r="CK206" s="413">
        <v>0</v>
      </c>
      <c r="CL206" s="413">
        <v>0</v>
      </c>
      <c r="CM206" s="413">
        <v>0</v>
      </c>
      <c r="CN206" s="413">
        <v>0</v>
      </c>
      <c r="CO206" s="414">
        <f t="shared" si="6"/>
        <v>1</v>
      </c>
    </row>
    <row r="207" spans="1:93" s="415" customFormat="1" ht="25.5" customHeight="1" x14ac:dyDescent="0.25">
      <c r="A207" s="881" t="s">
        <v>247</v>
      </c>
      <c r="B207" s="862" t="s">
        <v>1876</v>
      </c>
      <c r="C207" s="861" t="s">
        <v>900</v>
      </c>
      <c r="D207" s="862"/>
      <c r="E207" s="861" t="s">
        <v>55</v>
      </c>
      <c r="F207" s="862"/>
      <c r="G207" s="861" t="s">
        <v>648</v>
      </c>
      <c r="H207" s="861" t="s">
        <v>654</v>
      </c>
      <c r="I207" s="861" t="s">
        <v>647</v>
      </c>
      <c r="J207" s="861" t="s">
        <v>641</v>
      </c>
      <c r="K207" s="861" t="s">
        <v>649</v>
      </c>
      <c r="L207" s="861" t="s">
        <v>40</v>
      </c>
      <c r="M207" s="861" t="s">
        <v>646</v>
      </c>
      <c r="N207" s="861"/>
      <c r="O207" s="861"/>
      <c r="P207" s="861" t="s">
        <v>643</v>
      </c>
      <c r="Q207" s="861" t="s">
        <v>656</v>
      </c>
      <c r="R207" s="861" t="s">
        <v>652</v>
      </c>
      <c r="S207" s="861" t="s">
        <v>649</v>
      </c>
      <c r="T207" s="861"/>
      <c r="U207" s="861"/>
      <c r="V207" s="861" t="s">
        <v>683</v>
      </c>
      <c r="W207" s="861" t="s">
        <v>640</v>
      </c>
      <c r="X207" s="863">
        <v>42005</v>
      </c>
      <c r="Y207" s="863">
        <v>42914</v>
      </c>
      <c r="Z207" s="864">
        <v>2017</v>
      </c>
      <c r="AA207" s="861" t="s">
        <v>676</v>
      </c>
      <c r="AB207" s="861"/>
      <c r="AC207" s="861"/>
      <c r="AD207" s="865"/>
      <c r="AE207" s="865"/>
      <c r="AF207" s="865"/>
      <c r="AG207" s="865"/>
      <c r="AH207" s="865"/>
      <c r="AI207" s="865"/>
      <c r="AJ207" s="865"/>
      <c r="AK207" s="865"/>
      <c r="AL207" s="865"/>
      <c r="AM207" s="865"/>
      <c r="AN207" s="865"/>
      <c r="AO207" s="865"/>
      <c r="AP207" s="865"/>
      <c r="AQ207" s="865"/>
      <c r="AR207" s="865"/>
      <c r="AS207" s="865"/>
      <c r="AT207" s="865"/>
      <c r="AU207" s="865"/>
      <c r="AV207" s="865"/>
      <c r="AW207" s="865">
        <v>37000.000000000036</v>
      </c>
      <c r="AX207" s="865"/>
      <c r="AY207" s="865"/>
      <c r="AZ207" s="865"/>
      <c r="BA207" s="865"/>
      <c r="BB207" s="865"/>
      <c r="BC207" s="865"/>
      <c r="BD207" s="865"/>
      <c r="BE207" s="865"/>
      <c r="BF207" s="865"/>
      <c r="BG207" s="865"/>
      <c r="BH207" s="865">
        <v>702941.20916666766</v>
      </c>
      <c r="BI207" s="865"/>
      <c r="BJ207" s="865"/>
      <c r="BK207" s="865"/>
      <c r="BL207" s="865"/>
      <c r="BM207" s="865"/>
      <c r="BN207" s="865"/>
      <c r="BO207" s="865"/>
      <c r="BP207" s="865"/>
      <c r="BQ207" s="865"/>
      <c r="BR207" s="865"/>
      <c r="BS207" s="865">
        <v>739941.20916666766</v>
      </c>
      <c r="BT207" s="412">
        <f t="shared" si="7"/>
        <v>37000.000000000036</v>
      </c>
      <c r="BU207" s="413">
        <v>0</v>
      </c>
      <c r="BV207" s="413">
        <v>0</v>
      </c>
      <c r="BW207" s="413">
        <v>0</v>
      </c>
      <c r="BX207" s="413">
        <v>1</v>
      </c>
      <c r="BY207" s="413">
        <v>0</v>
      </c>
      <c r="BZ207" s="413">
        <v>0</v>
      </c>
      <c r="CA207" s="413">
        <v>0</v>
      </c>
      <c r="CB207" s="413">
        <v>0</v>
      </c>
      <c r="CC207" s="413">
        <v>0</v>
      </c>
      <c r="CD207" s="413">
        <v>0</v>
      </c>
      <c r="CE207" s="413">
        <v>0</v>
      </c>
      <c r="CF207" s="413">
        <v>0</v>
      </c>
      <c r="CG207" s="413">
        <v>0</v>
      </c>
      <c r="CH207" s="413">
        <v>0</v>
      </c>
      <c r="CI207" s="413">
        <v>0</v>
      </c>
      <c r="CJ207" s="413">
        <v>0</v>
      </c>
      <c r="CK207" s="413">
        <v>0</v>
      </c>
      <c r="CL207" s="413">
        <v>0</v>
      </c>
      <c r="CM207" s="413">
        <v>0</v>
      </c>
      <c r="CN207" s="413">
        <v>0</v>
      </c>
      <c r="CO207" s="414">
        <f t="shared" si="6"/>
        <v>1</v>
      </c>
    </row>
    <row r="208" spans="1:93" s="415" customFormat="1" ht="25.5" customHeight="1" x14ac:dyDescent="0.25">
      <c r="A208" s="881" t="s">
        <v>248</v>
      </c>
      <c r="B208" s="862" t="s">
        <v>1884</v>
      </c>
      <c r="C208" s="861" t="s">
        <v>899</v>
      </c>
      <c r="D208" s="862"/>
      <c r="E208" s="861" t="s">
        <v>779</v>
      </c>
      <c r="F208" s="862"/>
      <c r="G208" s="861" t="s">
        <v>691</v>
      </c>
      <c r="H208" s="861" t="s">
        <v>654</v>
      </c>
      <c r="I208" s="861" t="s">
        <v>647</v>
      </c>
      <c r="J208" s="861" t="s">
        <v>641</v>
      </c>
      <c r="K208" s="861" t="s">
        <v>649</v>
      </c>
      <c r="L208" s="861" t="s">
        <v>28</v>
      </c>
      <c r="M208" s="861" t="s">
        <v>646</v>
      </c>
      <c r="N208" s="861" t="s">
        <v>699</v>
      </c>
      <c r="O208" s="861"/>
      <c r="P208" s="861"/>
      <c r="Q208" s="861" t="s">
        <v>642</v>
      </c>
      <c r="R208" s="861" t="s">
        <v>652</v>
      </c>
      <c r="S208" s="861"/>
      <c r="T208" s="861"/>
      <c r="U208" s="861"/>
      <c r="V208" s="861" t="s">
        <v>641</v>
      </c>
      <c r="W208" s="861" t="s">
        <v>690</v>
      </c>
      <c r="X208" s="863">
        <v>41821</v>
      </c>
      <c r="Y208" s="863">
        <v>42859</v>
      </c>
      <c r="Z208" s="864">
        <v>2017</v>
      </c>
      <c r="AA208" s="861" t="s">
        <v>649</v>
      </c>
      <c r="AB208" s="861" t="s">
        <v>697</v>
      </c>
      <c r="AC208" s="861" t="s">
        <v>649</v>
      </c>
      <c r="AD208" s="865"/>
      <c r="AE208" s="865"/>
      <c r="AF208" s="865"/>
      <c r="AG208" s="865"/>
      <c r="AH208" s="865"/>
      <c r="AI208" s="865"/>
      <c r="AJ208" s="865"/>
      <c r="AK208" s="865"/>
      <c r="AL208" s="865">
        <v>1460800.030015887</v>
      </c>
      <c r="AM208" s="865"/>
      <c r="AN208" s="865"/>
      <c r="AO208" s="865"/>
      <c r="AP208" s="865"/>
      <c r="AQ208" s="865"/>
      <c r="AR208" s="865"/>
      <c r="AS208" s="865"/>
      <c r="AT208" s="865"/>
      <c r="AU208" s="865"/>
      <c r="AV208" s="865"/>
      <c r="AW208" s="865"/>
      <c r="AX208" s="865">
        <v>850000.00000000023</v>
      </c>
      <c r="AY208" s="865"/>
      <c r="AZ208" s="865"/>
      <c r="BA208" s="865"/>
      <c r="BB208" s="865"/>
      <c r="BC208" s="865">
        <v>219120.004502383</v>
      </c>
      <c r="BD208" s="865">
        <v>146080.00300158869</v>
      </c>
      <c r="BE208" s="865">
        <v>246510.00506518086</v>
      </c>
      <c r="BF208" s="865">
        <v>5699.4026171088562</v>
      </c>
      <c r="BG208" s="865">
        <v>118220.00200105891</v>
      </c>
      <c r="BH208" s="865">
        <v>54910.736180080181</v>
      </c>
      <c r="BI208" s="865">
        <v>43928.58894406414</v>
      </c>
      <c r="BJ208" s="865">
        <v>21964.29447203207</v>
      </c>
      <c r="BK208" s="865">
        <v>65892.883416096185</v>
      </c>
      <c r="BL208" s="865">
        <v>32946.4417080481</v>
      </c>
      <c r="BM208" s="865">
        <v>65892.8834160962</v>
      </c>
      <c r="BN208" s="865">
        <v>98839.325124144321</v>
      </c>
      <c r="BO208" s="865"/>
      <c r="BP208" s="865"/>
      <c r="BQ208" s="865"/>
      <c r="BR208" s="865"/>
      <c r="BS208" s="865">
        <v>3430804.6004637689</v>
      </c>
      <c r="BT208" s="412">
        <f t="shared" si="7"/>
        <v>2310800.0300158872</v>
      </c>
      <c r="BU208" s="413">
        <v>0</v>
      </c>
      <c r="BV208" s="413">
        <v>0</v>
      </c>
      <c r="BW208" s="413">
        <v>0</v>
      </c>
      <c r="BX208" s="413">
        <v>0.36783797341138008</v>
      </c>
      <c r="BY208" s="413">
        <v>0</v>
      </c>
      <c r="BZ208" s="413">
        <v>0</v>
      </c>
      <c r="CA208" s="413">
        <v>0</v>
      </c>
      <c r="CB208" s="413">
        <v>0</v>
      </c>
      <c r="CC208" s="413">
        <v>0</v>
      </c>
      <c r="CD208" s="413">
        <v>0</v>
      </c>
      <c r="CE208" s="413">
        <v>0</v>
      </c>
      <c r="CF208" s="413">
        <v>0</v>
      </c>
      <c r="CG208" s="413">
        <v>0</v>
      </c>
      <c r="CH208" s="413">
        <v>0</v>
      </c>
      <c r="CI208" s="413">
        <v>0.63216202658861986</v>
      </c>
      <c r="CJ208" s="413">
        <v>0</v>
      </c>
      <c r="CK208" s="413">
        <v>0</v>
      </c>
      <c r="CL208" s="413">
        <v>0</v>
      </c>
      <c r="CM208" s="413">
        <v>0</v>
      </c>
      <c r="CN208" s="413">
        <v>0</v>
      </c>
      <c r="CO208" s="414">
        <f t="shared" si="6"/>
        <v>1</v>
      </c>
    </row>
    <row r="209" spans="1:93" s="415" customFormat="1" ht="25.5" customHeight="1" x14ac:dyDescent="0.25">
      <c r="A209" s="881" t="s">
        <v>250</v>
      </c>
      <c r="B209" s="862" t="s">
        <v>1886</v>
      </c>
      <c r="C209" s="861" t="s">
        <v>898</v>
      </c>
      <c r="D209" s="862"/>
      <c r="E209" s="861" t="s">
        <v>779</v>
      </c>
      <c r="F209" s="862"/>
      <c r="G209" s="861" t="s">
        <v>681</v>
      </c>
      <c r="H209" s="861" t="s">
        <v>654</v>
      </c>
      <c r="I209" s="861" t="s">
        <v>647</v>
      </c>
      <c r="J209" s="861" t="s">
        <v>641</v>
      </c>
      <c r="K209" s="861" t="s">
        <v>649</v>
      </c>
      <c r="L209" s="861" t="s">
        <v>54</v>
      </c>
      <c r="M209" s="861" t="s">
        <v>646</v>
      </c>
      <c r="N209" s="861" t="s">
        <v>680</v>
      </c>
      <c r="O209" s="861" t="s">
        <v>897</v>
      </c>
      <c r="P209" s="861" t="s">
        <v>643</v>
      </c>
      <c r="Q209" s="861" t="s">
        <v>656</v>
      </c>
      <c r="R209" s="861" t="s">
        <v>652</v>
      </c>
      <c r="S209" s="861"/>
      <c r="T209" s="861"/>
      <c r="U209" s="861"/>
      <c r="V209" s="861" t="s">
        <v>641</v>
      </c>
      <c r="W209" s="861" t="s">
        <v>690</v>
      </c>
      <c r="X209" s="863">
        <v>41518</v>
      </c>
      <c r="Y209" s="863">
        <v>43028</v>
      </c>
      <c r="Z209" s="864">
        <v>2017</v>
      </c>
      <c r="AA209" s="861" t="s">
        <v>663</v>
      </c>
      <c r="AB209" s="861" t="s">
        <v>675</v>
      </c>
      <c r="AC209" s="861" t="s">
        <v>649</v>
      </c>
      <c r="AD209" s="865"/>
      <c r="AE209" s="865"/>
      <c r="AF209" s="865"/>
      <c r="AG209" s="865">
        <v>377835.5377101957</v>
      </c>
      <c r="AH209" s="865"/>
      <c r="AI209" s="865">
        <v>7499.9999999999973</v>
      </c>
      <c r="AJ209" s="865"/>
      <c r="AK209" s="865"/>
      <c r="AL209" s="865">
        <v>772200.01981059241</v>
      </c>
      <c r="AM209" s="865"/>
      <c r="AN209" s="865"/>
      <c r="AO209" s="865"/>
      <c r="AP209" s="865"/>
      <c r="AQ209" s="865"/>
      <c r="AR209" s="865">
        <v>599999.99990849977</v>
      </c>
      <c r="AS209" s="865"/>
      <c r="AT209" s="865">
        <v>24999.999999999993</v>
      </c>
      <c r="AU209" s="865"/>
      <c r="AV209" s="865"/>
      <c r="AW209" s="865"/>
      <c r="AX209" s="865">
        <v>499999.99999999983</v>
      </c>
      <c r="AY209" s="865"/>
      <c r="AZ209" s="865"/>
      <c r="BA209" s="865"/>
      <c r="BB209" s="865"/>
      <c r="BC209" s="865">
        <v>135581.3356916394</v>
      </c>
      <c r="BD209" s="865">
        <v>90387.557127759603</v>
      </c>
      <c r="BE209" s="865">
        <v>152529.00265309433</v>
      </c>
      <c r="BF209" s="865">
        <v>5647.2169954798992</v>
      </c>
      <c r="BG209" s="865">
        <v>0</v>
      </c>
      <c r="BH209" s="865">
        <v>226509.87368869878</v>
      </c>
      <c r="BI209" s="865">
        <v>172979.41299404955</v>
      </c>
      <c r="BJ209" s="865">
        <v>158556.91158208915</v>
      </c>
      <c r="BK209" s="865">
        <v>51479.516747431546</v>
      </c>
      <c r="BL209" s="865">
        <v>20591.806698972614</v>
      </c>
      <c r="BM209" s="865"/>
      <c r="BN209" s="865">
        <v>169867.22679589046</v>
      </c>
      <c r="BO209" s="865">
        <v>364999.99999999994</v>
      </c>
      <c r="BP209" s="865"/>
      <c r="BQ209" s="865"/>
      <c r="BR209" s="865">
        <v>177999.99999999997</v>
      </c>
      <c r="BS209" s="865">
        <v>4009665.418404392</v>
      </c>
      <c r="BT209" s="412">
        <f t="shared" si="7"/>
        <v>2282535.557429288</v>
      </c>
      <c r="BU209" s="413">
        <v>0</v>
      </c>
      <c r="BV209" s="413">
        <v>0</v>
      </c>
      <c r="BW209" s="413">
        <v>0.26286556542595613</v>
      </c>
      <c r="BX209" s="413">
        <v>0.21905463788836929</v>
      </c>
      <c r="BY209" s="413">
        <v>0</v>
      </c>
      <c r="BZ209" s="413">
        <v>1.0952731894418465E-2</v>
      </c>
      <c r="CA209" s="413">
        <v>0</v>
      </c>
      <c r="CB209" s="413">
        <v>0</v>
      </c>
      <c r="CC209" s="413">
        <v>0</v>
      </c>
      <c r="CD209" s="413">
        <v>0.1655332537889285</v>
      </c>
      <c r="CE209" s="413">
        <v>0</v>
      </c>
      <c r="CF209" s="413">
        <v>3.2858195683255391E-3</v>
      </c>
      <c r="CG209" s="413">
        <v>0</v>
      </c>
      <c r="CH209" s="413">
        <v>0</v>
      </c>
      <c r="CI209" s="413">
        <v>0.33830799143400192</v>
      </c>
      <c r="CJ209" s="413">
        <v>0</v>
      </c>
      <c r="CK209" s="413">
        <v>0</v>
      </c>
      <c r="CL209" s="413">
        <v>0</v>
      </c>
      <c r="CM209" s="413">
        <v>0</v>
      </c>
      <c r="CN209" s="413">
        <v>0</v>
      </c>
      <c r="CO209" s="414">
        <f t="shared" si="6"/>
        <v>0.99999999999999978</v>
      </c>
    </row>
    <row r="210" spans="1:93" s="415" customFormat="1" ht="25.5" customHeight="1" x14ac:dyDescent="0.25">
      <c r="A210" s="881" t="s">
        <v>896</v>
      </c>
      <c r="B210" s="862" t="s">
        <v>1888</v>
      </c>
      <c r="C210" s="861" t="s">
        <v>895</v>
      </c>
      <c r="D210" s="862"/>
      <c r="E210" s="861" t="s">
        <v>894</v>
      </c>
      <c r="F210" s="862"/>
      <c r="G210" s="861" t="s">
        <v>807</v>
      </c>
      <c r="H210" s="861" t="s">
        <v>654</v>
      </c>
      <c r="I210" s="861" t="s">
        <v>647</v>
      </c>
      <c r="J210" s="861" t="s">
        <v>641</v>
      </c>
      <c r="K210" s="861" t="s">
        <v>649</v>
      </c>
      <c r="L210" s="861" t="s">
        <v>54</v>
      </c>
      <c r="M210" s="861" t="s">
        <v>646</v>
      </c>
      <c r="N210" s="861" t="s">
        <v>668</v>
      </c>
      <c r="O210" s="861"/>
      <c r="P210" s="861"/>
      <c r="Q210" s="861" t="s">
        <v>650</v>
      </c>
      <c r="R210" s="861" t="s">
        <v>652</v>
      </c>
      <c r="S210" s="861"/>
      <c r="T210" s="861"/>
      <c r="U210" s="861"/>
      <c r="V210" s="861" t="s">
        <v>641</v>
      </c>
      <c r="W210" s="861" t="s">
        <v>684</v>
      </c>
      <c r="X210" s="863">
        <v>41518</v>
      </c>
      <c r="Y210" s="863">
        <v>42543</v>
      </c>
      <c r="Z210" s="864">
        <v>2016</v>
      </c>
      <c r="AA210" s="861"/>
      <c r="AB210" s="861" t="s">
        <v>675</v>
      </c>
      <c r="AC210" s="861" t="s">
        <v>663</v>
      </c>
      <c r="AD210" s="865"/>
      <c r="AE210" s="865"/>
      <c r="AF210" s="865"/>
      <c r="AG210" s="865"/>
      <c r="AH210" s="865"/>
      <c r="AI210" s="865"/>
      <c r="AJ210" s="865"/>
      <c r="AK210" s="865"/>
      <c r="AL210" s="865">
        <v>125000</v>
      </c>
      <c r="AM210" s="865"/>
      <c r="AN210" s="865"/>
      <c r="AO210" s="865"/>
      <c r="AP210" s="865"/>
      <c r="AQ210" s="865"/>
      <c r="AR210" s="865"/>
      <c r="AS210" s="865"/>
      <c r="AT210" s="865"/>
      <c r="AU210" s="865"/>
      <c r="AV210" s="865"/>
      <c r="AW210" s="865"/>
      <c r="AX210" s="865">
        <v>249999.99999999997</v>
      </c>
      <c r="AY210" s="865"/>
      <c r="AZ210" s="865"/>
      <c r="BA210" s="865"/>
      <c r="BB210" s="865"/>
      <c r="BC210" s="865">
        <v>8250</v>
      </c>
      <c r="BD210" s="865">
        <v>5500</v>
      </c>
      <c r="BE210" s="865">
        <v>9281.25</v>
      </c>
      <c r="BF210" s="865">
        <v>214.5859375</v>
      </c>
      <c r="BG210" s="865"/>
      <c r="BH210" s="865">
        <v>1956.1458984375004</v>
      </c>
      <c r="BI210" s="865">
        <v>1564.9167187500002</v>
      </c>
      <c r="BJ210" s="865">
        <v>782.45835937500021</v>
      </c>
      <c r="BK210" s="865">
        <v>2347.3750781250001</v>
      </c>
      <c r="BL210" s="865">
        <v>1173.6875390625</v>
      </c>
      <c r="BM210" s="865">
        <v>2347.3750781250001</v>
      </c>
      <c r="BN210" s="865">
        <v>51564.916718750006</v>
      </c>
      <c r="BO210" s="865"/>
      <c r="BP210" s="865"/>
      <c r="BQ210" s="865"/>
      <c r="BR210" s="865"/>
      <c r="BS210" s="865">
        <v>459982.71132812486</v>
      </c>
      <c r="BT210" s="412">
        <f t="shared" si="7"/>
        <v>375000</v>
      </c>
      <c r="BU210" s="413">
        <v>0</v>
      </c>
      <c r="BV210" s="413">
        <v>0</v>
      </c>
      <c r="BW210" s="413">
        <v>0</v>
      </c>
      <c r="BX210" s="413">
        <v>0.66666666666666663</v>
      </c>
      <c r="BY210" s="413">
        <v>0</v>
      </c>
      <c r="BZ210" s="413">
        <v>0</v>
      </c>
      <c r="CA210" s="413">
        <v>0</v>
      </c>
      <c r="CB210" s="413">
        <v>0</v>
      </c>
      <c r="CC210" s="413">
        <v>0</v>
      </c>
      <c r="CD210" s="413">
        <v>0</v>
      </c>
      <c r="CE210" s="413">
        <v>0</v>
      </c>
      <c r="CF210" s="413">
        <v>0</v>
      </c>
      <c r="CG210" s="413">
        <v>0</v>
      </c>
      <c r="CH210" s="413">
        <v>0</v>
      </c>
      <c r="CI210" s="413">
        <v>0.33333333333333331</v>
      </c>
      <c r="CJ210" s="413">
        <v>0</v>
      </c>
      <c r="CK210" s="413">
        <v>0</v>
      </c>
      <c r="CL210" s="413">
        <v>0</v>
      </c>
      <c r="CM210" s="413">
        <v>0</v>
      </c>
      <c r="CN210" s="413">
        <v>0</v>
      </c>
      <c r="CO210" s="414">
        <f t="shared" si="6"/>
        <v>1</v>
      </c>
    </row>
    <row r="211" spans="1:93" s="415" customFormat="1" ht="25.5" customHeight="1" x14ac:dyDescent="0.25">
      <c r="A211" s="881" t="s">
        <v>252</v>
      </c>
      <c r="B211" s="862" t="s">
        <v>1890</v>
      </c>
      <c r="C211" s="861" t="s">
        <v>893</v>
      </c>
      <c r="D211" s="862"/>
      <c r="E211" s="861" t="s">
        <v>779</v>
      </c>
      <c r="F211" s="862"/>
      <c r="G211" s="861" t="s">
        <v>648</v>
      </c>
      <c r="H211" s="861" t="s">
        <v>654</v>
      </c>
      <c r="I211" s="861" t="s">
        <v>647</v>
      </c>
      <c r="J211" s="861" t="s">
        <v>671</v>
      </c>
      <c r="K211" s="861" t="s">
        <v>649</v>
      </c>
      <c r="L211" s="861" t="s">
        <v>36</v>
      </c>
      <c r="M211" s="861" t="s">
        <v>646</v>
      </c>
      <c r="N211" s="861" t="s">
        <v>680</v>
      </c>
      <c r="O211" s="861"/>
      <c r="P211" s="861" t="s">
        <v>643</v>
      </c>
      <c r="Q211" s="861" t="s">
        <v>650</v>
      </c>
      <c r="R211" s="861" t="s">
        <v>652</v>
      </c>
      <c r="S211" s="861" t="s">
        <v>649</v>
      </c>
      <c r="T211" s="861"/>
      <c r="U211" s="861"/>
      <c r="V211" s="861" t="s">
        <v>36</v>
      </c>
      <c r="W211" s="861" t="s">
        <v>677</v>
      </c>
      <c r="X211" s="863">
        <v>42186</v>
      </c>
      <c r="Y211" s="863">
        <v>42520</v>
      </c>
      <c r="Z211" s="864">
        <v>2016</v>
      </c>
      <c r="AA211" s="861" t="s">
        <v>676</v>
      </c>
      <c r="AB211" s="861" t="s">
        <v>675</v>
      </c>
      <c r="AC211" s="861" t="s">
        <v>663</v>
      </c>
      <c r="AD211" s="865"/>
      <c r="AE211" s="865"/>
      <c r="AF211" s="865"/>
      <c r="AG211" s="865"/>
      <c r="AH211" s="865"/>
      <c r="AI211" s="865"/>
      <c r="AJ211" s="865"/>
      <c r="AK211" s="865"/>
      <c r="AL211" s="865"/>
      <c r="AM211" s="865"/>
      <c r="AN211" s="865"/>
      <c r="AO211" s="865"/>
      <c r="AP211" s="865"/>
      <c r="AQ211" s="865"/>
      <c r="AR211" s="865"/>
      <c r="AS211" s="865"/>
      <c r="AT211" s="865"/>
      <c r="AU211" s="865"/>
      <c r="AV211" s="865">
        <v>39999.999999999985</v>
      </c>
      <c r="AW211" s="865"/>
      <c r="AX211" s="865"/>
      <c r="AY211" s="865">
        <v>3999.9999999999991</v>
      </c>
      <c r="AZ211" s="865"/>
      <c r="BA211" s="865"/>
      <c r="BB211" s="865"/>
      <c r="BC211" s="865">
        <v>999.99999999999955</v>
      </c>
      <c r="BD211" s="865">
        <v>0</v>
      </c>
      <c r="BE211" s="865"/>
      <c r="BF211" s="865"/>
      <c r="BG211" s="865"/>
      <c r="BH211" s="865">
        <v>8114.8650103840537</v>
      </c>
      <c r="BI211" s="865"/>
      <c r="BJ211" s="865"/>
      <c r="BK211" s="865"/>
      <c r="BL211" s="865"/>
      <c r="BM211" s="865"/>
      <c r="BN211" s="865"/>
      <c r="BO211" s="865"/>
      <c r="BP211" s="865"/>
      <c r="BQ211" s="865"/>
      <c r="BR211" s="865"/>
      <c r="BS211" s="865">
        <v>53114.865010384034</v>
      </c>
      <c r="BT211" s="412">
        <f t="shared" si="7"/>
        <v>43999.999999999985</v>
      </c>
      <c r="BU211" s="413">
        <v>0.90909090909090906</v>
      </c>
      <c r="BV211" s="413">
        <v>0</v>
      </c>
      <c r="BW211" s="413">
        <v>0</v>
      </c>
      <c r="BX211" s="413">
        <v>0</v>
      </c>
      <c r="BY211" s="413">
        <v>0</v>
      </c>
      <c r="BZ211" s="413">
        <v>0</v>
      </c>
      <c r="CA211" s="413">
        <v>0</v>
      </c>
      <c r="CB211" s="413">
        <v>9.0909090909090912E-2</v>
      </c>
      <c r="CC211" s="413">
        <v>0</v>
      </c>
      <c r="CD211" s="413">
        <v>0</v>
      </c>
      <c r="CE211" s="413">
        <v>0</v>
      </c>
      <c r="CF211" s="413">
        <v>0</v>
      </c>
      <c r="CG211" s="413">
        <v>0</v>
      </c>
      <c r="CH211" s="413">
        <v>0</v>
      </c>
      <c r="CI211" s="413">
        <v>0</v>
      </c>
      <c r="CJ211" s="413">
        <v>0</v>
      </c>
      <c r="CK211" s="413">
        <v>0</v>
      </c>
      <c r="CL211" s="413">
        <v>0</v>
      </c>
      <c r="CM211" s="413">
        <v>0</v>
      </c>
      <c r="CN211" s="413">
        <v>0</v>
      </c>
      <c r="CO211" s="414">
        <f t="shared" si="6"/>
        <v>1</v>
      </c>
    </row>
    <row r="212" spans="1:93" s="415" customFormat="1" ht="25.5" customHeight="1" x14ac:dyDescent="0.25">
      <c r="A212" s="881" t="s">
        <v>254</v>
      </c>
      <c r="B212" s="862" t="s">
        <v>1892</v>
      </c>
      <c r="C212" s="861" t="s">
        <v>892</v>
      </c>
      <c r="D212" s="862"/>
      <c r="E212" s="861"/>
      <c r="F212" s="862"/>
      <c r="G212" s="861" t="s">
        <v>648</v>
      </c>
      <c r="H212" s="861" t="s">
        <v>654</v>
      </c>
      <c r="I212" s="861" t="s">
        <v>647</v>
      </c>
      <c r="J212" s="861" t="s">
        <v>671</v>
      </c>
      <c r="K212" s="861" t="s">
        <v>649</v>
      </c>
      <c r="L212" s="861" t="s">
        <v>36</v>
      </c>
      <c r="M212" s="861" t="s">
        <v>646</v>
      </c>
      <c r="N212" s="861" t="s">
        <v>680</v>
      </c>
      <c r="O212" s="861"/>
      <c r="P212" s="861" t="s">
        <v>643</v>
      </c>
      <c r="Q212" s="861" t="s">
        <v>650</v>
      </c>
      <c r="R212" s="861" t="s">
        <v>652</v>
      </c>
      <c r="S212" s="861" t="s">
        <v>649</v>
      </c>
      <c r="T212" s="861"/>
      <c r="U212" s="861"/>
      <c r="V212" s="861" t="s">
        <v>36</v>
      </c>
      <c r="W212" s="861" t="s">
        <v>677</v>
      </c>
      <c r="X212" s="863">
        <v>42186</v>
      </c>
      <c r="Y212" s="863">
        <v>42520</v>
      </c>
      <c r="Z212" s="864">
        <v>2016</v>
      </c>
      <c r="AA212" s="861" t="s">
        <v>676</v>
      </c>
      <c r="AB212" s="861" t="s">
        <v>675</v>
      </c>
      <c r="AC212" s="861" t="s">
        <v>663</v>
      </c>
      <c r="AD212" s="865"/>
      <c r="AE212" s="865"/>
      <c r="AF212" s="865"/>
      <c r="AG212" s="865"/>
      <c r="AH212" s="865"/>
      <c r="AI212" s="865"/>
      <c r="AJ212" s="865"/>
      <c r="AK212" s="865"/>
      <c r="AL212" s="865"/>
      <c r="AM212" s="865"/>
      <c r="AN212" s="865"/>
      <c r="AO212" s="865"/>
      <c r="AP212" s="865"/>
      <c r="AQ212" s="865"/>
      <c r="AR212" s="865"/>
      <c r="AS212" s="865"/>
      <c r="AT212" s="865"/>
      <c r="AU212" s="865"/>
      <c r="AV212" s="865">
        <v>14299.999999999995</v>
      </c>
      <c r="AW212" s="865"/>
      <c r="AX212" s="865"/>
      <c r="AY212" s="865">
        <v>44199.999999999985</v>
      </c>
      <c r="AZ212" s="865"/>
      <c r="BA212" s="865"/>
      <c r="BB212" s="865"/>
      <c r="BC212" s="865">
        <v>1299.9999999999995</v>
      </c>
      <c r="BD212" s="865">
        <v>0</v>
      </c>
      <c r="BE212" s="865"/>
      <c r="BF212" s="865"/>
      <c r="BG212" s="865"/>
      <c r="BH212" s="865">
        <v>10783.753947132589</v>
      </c>
      <c r="BI212" s="865"/>
      <c r="BJ212" s="865"/>
      <c r="BK212" s="865"/>
      <c r="BL212" s="865"/>
      <c r="BM212" s="865"/>
      <c r="BN212" s="865"/>
      <c r="BO212" s="865"/>
      <c r="BP212" s="865"/>
      <c r="BQ212" s="865"/>
      <c r="BR212" s="865"/>
      <c r="BS212" s="865">
        <v>70583.753947132573</v>
      </c>
      <c r="BT212" s="412">
        <f t="shared" si="7"/>
        <v>58499.999999999978</v>
      </c>
      <c r="BU212" s="413">
        <v>0.24444444444444444</v>
      </c>
      <c r="BV212" s="413">
        <v>0</v>
      </c>
      <c r="BW212" s="413">
        <v>0</v>
      </c>
      <c r="BX212" s="413">
        <v>0</v>
      </c>
      <c r="BY212" s="413">
        <v>0</v>
      </c>
      <c r="BZ212" s="413">
        <v>0</v>
      </c>
      <c r="CA212" s="413">
        <v>0</v>
      </c>
      <c r="CB212" s="413">
        <v>0.75555555555555554</v>
      </c>
      <c r="CC212" s="413">
        <v>0</v>
      </c>
      <c r="CD212" s="413">
        <v>0</v>
      </c>
      <c r="CE212" s="413">
        <v>0</v>
      </c>
      <c r="CF212" s="413">
        <v>0</v>
      </c>
      <c r="CG212" s="413">
        <v>0</v>
      </c>
      <c r="CH212" s="413">
        <v>0</v>
      </c>
      <c r="CI212" s="413">
        <v>0</v>
      </c>
      <c r="CJ212" s="413">
        <v>0</v>
      </c>
      <c r="CK212" s="413">
        <v>0</v>
      </c>
      <c r="CL212" s="413">
        <v>0</v>
      </c>
      <c r="CM212" s="413">
        <v>0</v>
      </c>
      <c r="CN212" s="413">
        <v>0</v>
      </c>
      <c r="CO212" s="414">
        <f t="shared" si="6"/>
        <v>1</v>
      </c>
    </row>
    <row r="213" spans="1:93" s="415" customFormat="1" ht="25.5" customHeight="1" x14ac:dyDescent="0.25">
      <c r="A213" s="881" t="s">
        <v>255</v>
      </c>
      <c r="B213" s="862" t="s">
        <v>1894</v>
      </c>
      <c r="C213" s="861" t="s">
        <v>891</v>
      </c>
      <c r="D213" s="862"/>
      <c r="E213" s="861"/>
      <c r="F213" s="862"/>
      <c r="G213" s="861" t="s">
        <v>648</v>
      </c>
      <c r="H213" s="861" t="s">
        <v>654</v>
      </c>
      <c r="I213" s="861" t="s">
        <v>647</v>
      </c>
      <c r="J213" s="861" t="s">
        <v>671</v>
      </c>
      <c r="K213" s="861" t="s">
        <v>649</v>
      </c>
      <c r="L213" s="861" t="s">
        <v>36</v>
      </c>
      <c r="M213" s="861" t="s">
        <v>646</v>
      </c>
      <c r="N213" s="861" t="s">
        <v>680</v>
      </c>
      <c r="O213" s="861"/>
      <c r="P213" s="861" t="s">
        <v>643</v>
      </c>
      <c r="Q213" s="861" t="s">
        <v>650</v>
      </c>
      <c r="R213" s="861" t="s">
        <v>652</v>
      </c>
      <c r="S213" s="861" t="s">
        <v>649</v>
      </c>
      <c r="T213" s="861"/>
      <c r="U213" s="861"/>
      <c r="V213" s="861" t="s">
        <v>36</v>
      </c>
      <c r="W213" s="861" t="s">
        <v>677</v>
      </c>
      <c r="X213" s="863">
        <v>42186</v>
      </c>
      <c r="Y213" s="863">
        <v>42520</v>
      </c>
      <c r="Z213" s="864">
        <v>2016</v>
      </c>
      <c r="AA213" s="861" t="s">
        <v>676</v>
      </c>
      <c r="AB213" s="861" t="s">
        <v>675</v>
      </c>
      <c r="AC213" s="861" t="s">
        <v>663</v>
      </c>
      <c r="AD213" s="865"/>
      <c r="AE213" s="865"/>
      <c r="AF213" s="865"/>
      <c r="AG213" s="865"/>
      <c r="AH213" s="865"/>
      <c r="AI213" s="865"/>
      <c r="AJ213" s="865"/>
      <c r="AK213" s="865"/>
      <c r="AL213" s="865"/>
      <c r="AM213" s="865"/>
      <c r="AN213" s="865"/>
      <c r="AO213" s="865"/>
      <c r="AP213" s="865"/>
      <c r="AQ213" s="865"/>
      <c r="AR213" s="865"/>
      <c r="AS213" s="865"/>
      <c r="AT213" s="865"/>
      <c r="AU213" s="865"/>
      <c r="AV213" s="865">
        <v>16999.999999999993</v>
      </c>
      <c r="AW213" s="865"/>
      <c r="AX213" s="865"/>
      <c r="AY213" s="865">
        <v>50999.999999999978</v>
      </c>
      <c r="AZ213" s="865"/>
      <c r="BA213" s="865"/>
      <c r="BB213" s="865"/>
      <c r="BC213" s="865">
        <v>8499.9999999999964</v>
      </c>
      <c r="BD213" s="865">
        <v>0</v>
      </c>
      <c r="BE213" s="865"/>
      <c r="BF213" s="865"/>
      <c r="BG213" s="865"/>
      <c r="BH213" s="865">
        <v>13795.270517652891</v>
      </c>
      <c r="BI213" s="865"/>
      <c r="BJ213" s="865"/>
      <c r="BK213" s="865"/>
      <c r="BL213" s="865"/>
      <c r="BM213" s="865"/>
      <c r="BN213" s="865"/>
      <c r="BO213" s="865"/>
      <c r="BP213" s="865"/>
      <c r="BQ213" s="865"/>
      <c r="BR213" s="865"/>
      <c r="BS213" s="865">
        <v>90295.270517652854</v>
      </c>
      <c r="BT213" s="412">
        <f t="shared" si="7"/>
        <v>67999.999999999971</v>
      </c>
      <c r="BU213" s="413">
        <v>0.25</v>
      </c>
      <c r="BV213" s="413">
        <v>0</v>
      </c>
      <c r="BW213" s="413">
        <v>0</v>
      </c>
      <c r="BX213" s="413">
        <v>0</v>
      </c>
      <c r="BY213" s="413">
        <v>0</v>
      </c>
      <c r="BZ213" s="413">
        <v>0</v>
      </c>
      <c r="CA213" s="413">
        <v>0</v>
      </c>
      <c r="CB213" s="413">
        <v>0.75</v>
      </c>
      <c r="CC213" s="413">
        <v>0</v>
      </c>
      <c r="CD213" s="413">
        <v>0</v>
      </c>
      <c r="CE213" s="413">
        <v>0</v>
      </c>
      <c r="CF213" s="413">
        <v>0</v>
      </c>
      <c r="CG213" s="413">
        <v>0</v>
      </c>
      <c r="CH213" s="413">
        <v>0</v>
      </c>
      <c r="CI213" s="413">
        <v>0</v>
      </c>
      <c r="CJ213" s="413">
        <v>0</v>
      </c>
      <c r="CK213" s="413">
        <v>0</v>
      </c>
      <c r="CL213" s="413">
        <v>0</v>
      </c>
      <c r="CM213" s="413">
        <v>0</v>
      </c>
      <c r="CN213" s="413">
        <v>0</v>
      </c>
      <c r="CO213" s="414">
        <f t="shared" si="6"/>
        <v>1</v>
      </c>
    </row>
    <row r="214" spans="1:93" s="415" customFormat="1" ht="25.5" customHeight="1" x14ac:dyDescent="0.25">
      <c r="A214" s="881" t="s">
        <v>890</v>
      </c>
      <c r="B214" s="862" t="s">
        <v>1896</v>
      </c>
      <c r="C214" s="861" t="s">
        <v>889</v>
      </c>
      <c r="D214" s="862"/>
      <c r="E214" s="861" t="s">
        <v>779</v>
      </c>
      <c r="F214" s="862"/>
      <c r="G214" s="861" t="s">
        <v>648</v>
      </c>
      <c r="H214" s="861" t="s">
        <v>654</v>
      </c>
      <c r="I214" s="861" t="s">
        <v>647</v>
      </c>
      <c r="J214" s="861" t="s">
        <v>671</v>
      </c>
      <c r="K214" s="861" t="s">
        <v>649</v>
      </c>
      <c r="L214" s="861" t="s">
        <v>36</v>
      </c>
      <c r="M214" s="861" t="s">
        <v>646</v>
      </c>
      <c r="N214" s="861" t="s">
        <v>668</v>
      </c>
      <c r="O214" s="861"/>
      <c r="P214" s="861"/>
      <c r="Q214" s="861" t="s">
        <v>650</v>
      </c>
      <c r="R214" s="861" t="s">
        <v>652</v>
      </c>
      <c r="S214" s="861"/>
      <c r="T214" s="861"/>
      <c r="U214" s="861"/>
      <c r="V214" s="861" t="s">
        <v>36</v>
      </c>
      <c r="W214" s="861" t="s">
        <v>666</v>
      </c>
      <c r="X214" s="863">
        <v>42186</v>
      </c>
      <c r="Y214" s="863">
        <v>42520</v>
      </c>
      <c r="Z214" s="864">
        <v>2016</v>
      </c>
      <c r="AA214" s="861" t="s">
        <v>676</v>
      </c>
      <c r="AB214" s="861" t="s">
        <v>675</v>
      </c>
      <c r="AC214" s="861" t="s">
        <v>663</v>
      </c>
      <c r="AD214" s="865"/>
      <c r="AE214" s="865"/>
      <c r="AF214" s="865"/>
      <c r="AG214" s="865"/>
      <c r="AH214" s="865"/>
      <c r="AI214" s="865"/>
      <c r="AJ214" s="865"/>
      <c r="AK214" s="865"/>
      <c r="AL214" s="865"/>
      <c r="AM214" s="865"/>
      <c r="AN214" s="865"/>
      <c r="AO214" s="865"/>
      <c r="AP214" s="865"/>
      <c r="AQ214" s="865"/>
      <c r="AR214" s="865"/>
      <c r="AS214" s="865"/>
      <c r="AT214" s="865"/>
      <c r="AU214" s="865"/>
      <c r="AV214" s="865">
        <v>7649.9999999999973</v>
      </c>
      <c r="AW214" s="865"/>
      <c r="AX214" s="865"/>
      <c r="AY214" s="865">
        <v>37349.999999999985</v>
      </c>
      <c r="AZ214" s="865"/>
      <c r="BA214" s="865"/>
      <c r="BB214" s="865"/>
      <c r="BC214" s="865"/>
      <c r="BD214" s="865"/>
      <c r="BE214" s="865"/>
      <c r="BF214" s="865"/>
      <c r="BG214" s="865"/>
      <c r="BH214" s="865"/>
      <c r="BI214" s="865"/>
      <c r="BJ214" s="865"/>
      <c r="BK214" s="865"/>
      <c r="BL214" s="865"/>
      <c r="BM214" s="865"/>
      <c r="BN214" s="865"/>
      <c r="BO214" s="865"/>
      <c r="BP214" s="865"/>
      <c r="BQ214" s="865"/>
      <c r="BR214" s="865"/>
      <c r="BS214" s="865">
        <v>44999.999999999985</v>
      </c>
      <c r="BT214" s="412">
        <f t="shared" si="7"/>
        <v>44999.999999999985</v>
      </c>
      <c r="BU214" s="413">
        <v>0.16999999999999998</v>
      </c>
      <c r="BV214" s="413">
        <v>0</v>
      </c>
      <c r="BW214" s="413">
        <v>0</v>
      </c>
      <c r="BX214" s="413">
        <v>0</v>
      </c>
      <c r="BY214" s="413">
        <v>0</v>
      </c>
      <c r="BZ214" s="413">
        <v>0</v>
      </c>
      <c r="CA214" s="413">
        <v>0</v>
      </c>
      <c r="CB214" s="413">
        <v>0.83</v>
      </c>
      <c r="CC214" s="413">
        <v>0</v>
      </c>
      <c r="CD214" s="413">
        <v>0</v>
      </c>
      <c r="CE214" s="413">
        <v>0</v>
      </c>
      <c r="CF214" s="413">
        <v>0</v>
      </c>
      <c r="CG214" s="413">
        <v>0</v>
      </c>
      <c r="CH214" s="413">
        <v>0</v>
      </c>
      <c r="CI214" s="413">
        <v>0</v>
      </c>
      <c r="CJ214" s="413">
        <v>0</v>
      </c>
      <c r="CK214" s="413">
        <v>0</v>
      </c>
      <c r="CL214" s="413">
        <v>0</v>
      </c>
      <c r="CM214" s="413">
        <v>0</v>
      </c>
      <c r="CN214" s="413">
        <v>0</v>
      </c>
      <c r="CO214" s="414">
        <f t="shared" ref="CO214:CO277" si="8">SUM(BU214:CN214)</f>
        <v>1</v>
      </c>
    </row>
    <row r="215" spans="1:93" s="415" customFormat="1" ht="25.5" customHeight="1" x14ac:dyDescent="0.25">
      <c r="A215" s="881" t="s">
        <v>257</v>
      </c>
      <c r="B215" s="862" t="s">
        <v>1898</v>
      </c>
      <c r="C215" s="861" t="s">
        <v>888</v>
      </c>
      <c r="D215" s="862"/>
      <c r="E215" s="861" t="s">
        <v>779</v>
      </c>
      <c r="F215" s="862"/>
      <c r="G215" s="861" t="s">
        <v>648</v>
      </c>
      <c r="H215" s="861" t="s">
        <v>654</v>
      </c>
      <c r="I215" s="861" t="s">
        <v>647</v>
      </c>
      <c r="J215" s="861" t="s">
        <v>671</v>
      </c>
      <c r="K215" s="861" t="s">
        <v>649</v>
      </c>
      <c r="L215" s="861" t="s">
        <v>36</v>
      </c>
      <c r="M215" s="861" t="s">
        <v>646</v>
      </c>
      <c r="N215" s="861" t="s">
        <v>680</v>
      </c>
      <c r="O215" s="861"/>
      <c r="P215" s="861" t="s">
        <v>643</v>
      </c>
      <c r="Q215" s="861" t="s">
        <v>650</v>
      </c>
      <c r="R215" s="861" t="s">
        <v>652</v>
      </c>
      <c r="S215" s="861" t="s">
        <v>649</v>
      </c>
      <c r="T215" s="861"/>
      <c r="U215" s="861"/>
      <c r="V215" s="861" t="s">
        <v>36</v>
      </c>
      <c r="W215" s="861" t="s">
        <v>640</v>
      </c>
      <c r="X215" s="863">
        <v>42186</v>
      </c>
      <c r="Y215" s="863">
        <v>42520</v>
      </c>
      <c r="Z215" s="864">
        <v>2016</v>
      </c>
      <c r="AA215" s="861" t="s">
        <v>676</v>
      </c>
      <c r="AB215" s="861" t="s">
        <v>675</v>
      </c>
      <c r="AC215" s="861" t="s">
        <v>663</v>
      </c>
      <c r="AD215" s="865"/>
      <c r="AE215" s="865"/>
      <c r="AF215" s="865"/>
      <c r="AG215" s="865"/>
      <c r="AH215" s="865"/>
      <c r="AI215" s="865"/>
      <c r="AJ215" s="865"/>
      <c r="AK215" s="865"/>
      <c r="AL215" s="865"/>
      <c r="AM215" s="865"/>
      <c r="AN215" s="865"/>
      <c r="AO215" s="865"/>
      <c r="AP215" s="865"/>
      <c r="AQ215" s="865"/>
      <c r="AR215" s="865"/>
      <c r="AS215" s="865"/>
      <c r="AT215" s="865"/>
      <c r="AU215" s="865"/>
      <c r="AV215" s="865"/>
      <c r="AW215" s="865"/>
      <c r="AX215" s="865"/>
      <c r="AY215" s="865"/>
      <c r="AZ215" s="865"/>
      <c r="BA215" s="865">
        <v>93999.999999999956</v>
      </c>
      <c r="BB215" s="865"/>
      <c r="BC215" s="865"/>
      <c r="BD215" s="865"/>
      <c r="BE215" s="865"/>
      <c r="BF215" s="865"/>
      <c r="BG215" s="865"/>
      <c r="BH215" s="865">
        <v>13506.235898154795</v>
      </c>
      <c r="BI215" s="865"/>
      <c r="BJ215" s="865"/>
      <c r="BK215" s="865"/>
      <c r="BL215" s="865"/>
      <c r="BM215" s="865"/>
      <c r="BN215" s="865"/>
      <c r="BO215" s="865"/>
      <c r="BP215" s="865"/>
      <c r="BQ215" s="865"/>
      <c r="BR215" s="865"/>
      <c r="BS215" s="865">
        <v>107506.23589815476</v>
      </c>
      <c r="BT215" s="412">
        <f t="shared" ref="BT215:BT278" si="9">SUM(AD215:BB215)</f>
        <v>93999.999999999956</v>
      </c>
      <c r="BU215" s="413">
        <v>0</v>
      </c>
      <c r="BV215" s="413">
        <v>0</v>
      </c>
      <c r="BW215" s="413">
        <v>0</v>
      </c>
      <c r="BX215" s="413">
        <v>0</v>
      </c>
      <c r="BY215" s="413">
        <v>0</v>
      </c>
      <c r="BZ215" s="413">
        <v>0</v>
      </c>
      <c r="CA215" s="413">
        <v>0</v>
      </c>
      <c r="CB215" s="413">
        <v>1</v>
      </c>
      <c r="CC215" s="413">
        <v>0</v>
      </c>
      <c r="CD215" s="413">
        <v>0</v>
      </c>
      <c r="CE215" s="413">
        <v>0</v>
      </c>
      <c r="CF215" s="413">
        <v>0</v>
      </c>
      <c r="CG215" s="413">
        <v>0</v>
      </c>
      <c r="CH215" s="413">
        <v>0</v>
      </c>
      <c r="CI215" s="413">
        <v>0</v>
      </c>
      <c r="CJ215" s="413">
        <v>0</v>
      </c>
      <c r="CK215" s="413">
        <v>0</v>
      </c>
      <c r="CL215" s="413">
        <v>0</v>
      </c>
      <c r="CM215" s="413">
        <v>0</v>
      </c>
      <c r="CN215" s="413">
        <v>0</v>
      </c>
      <c r="CO215" s="414">
        <f t="shared" si="8"/>
        <v>1</v>
      </c>
    </row>
    <row r="216" spans="1:93" s="415" customFormat="1" ht="25.5" customHeight="1" x14ac:dyDescent="0.25">
      <c r="A216" s="881" t="s">
        <v>258</v>
      </c>
      <c r="B216" s="862" t="s">
        <v>1902</v>
      </c>
      <c r="C216" s="861" t="s">
        <v>887</v>
      </c>
      <c r="D216" s="862"/>
      <c r="E216" s="861" t="s">
        <v>55</v>
      </c>
      <c r="F216" s="862"/>
      <c r="G216" s="861"/>
      <c r="H216" s="861" t="s">
        <v>654</v>
      </c>
      <c r="I216" s="861" t="s">
        <v>647</v>
      </c>
      <c r="J216" s="861" t="s">
        <v>641</v>
      </c>
      <c r="K216" s="861"/>
      <c r="L216" s="861" t="s">
        <v>28</v>
      </c>
      <c r="M216" s="861" t="s">
        <v>646</v>
      </c>
      <c r="N216" s="861" t="s">
        <v>680</v>
      </c>
      <c r="O216" s="861"/>
      <c r="P216" s="861" t="s">
        <v>643</v>
      </c>
      <c r="Q216" s="861" t="s">
        <v>656</v>
      </c>
      <c r="R216" s="861" t="s">
        <v>652</v>
      </c>
      <c r="S216" s="861"/>
      <c r="T216" s="861"/>
      <c r="U216" s="861"/>
      <c r="V216" s="861" t="s">
        <v>683</v>
      </c>
      <c r="W216" s="861" t="s">
        <v>677</v>
      </c>
      <c r="X216" s="863">
        <v>41548</v>
      </c>
      <c r="Y216" s="863">
        <v>42787</v>
      </c>
      <c r="Z216" s="864">
        <v>2017</v>
      </c>
      <c r="AA216" s="861" t="s">
        <v>676</v>
      </c>
      <c r="AB216" s="861" t="s">
        <v>675</v>
      </c>
      <c r="AC216" s="861" t="s">
        <v>663</v>
      </c>
      <c r="AD216" s="865"/>
      <c r="AE216" s="865"/>
      <c r="AF216" s="865"/>
      <c r="AG216" s="865"/>
      <c r="AH216" s="865"/>
      <c r="AI216" s="865"/>
      <c r="AJ216" s="865"/>
      <c r="AK216" s="865"/>
      <c r="AL216" s="865"/>
      <c r="AM216" s="865"/>
      <c r="AN216" s="865"/>
      <c r="AO216" s="865"/>
      <c r="AP216" s="865"/>
      <c r="AQ216" s="865"/>
      <c r="AR216" s="865"/>
      <c r="AS216" s="865"/>
      <c r="AT216" s="865"/>
      <c r="AU216" s="865"/>
      <c r="AV216" s="865"/>
      <c r="AW216" s="865">
        <v>178838.00000000006</v>
      </c>
      <c r="AX216" s="865"/>
      <c r="AY216" s="865"/>
      <c r="AZ216" s="865"/>
      <c r="BA216" s="865"/>
      <c r="BB216" s="865"/>
      <c r="BC216" s="865"/>
      <c r="BD216" s="865"/>
      <c r="BE216" s="865"/>
      <c r="BF216" s="865"/>
      <c r="BG216" s="865"/>
      <c r="BH216" s="865">
        <v>533772.45083333342</v>
      </c>
      <c r="BI216" s="865"/>
      <c r="BJ216" s="865"/>
      <c r="BK216" s="865"/>
      <c r="BL216" s="865"/>
      <c r="BM216" s="865"/>
      <c r="BN216" s="865"/>
      <c r="BO216" s="865"/>
      <c r="BP216" s="865"/>
      <c r="BQ216" s="865"/>
      <c r="BR216" s="865"/>
      <c r="BS216" s="865">
        <v>712610.45083333342</v>
      </c>
      <c r="BT216" s="412">
        <f t="shared" si="9"/>
        <v>178838.00000000006</v>
      </c>
      <c r="BU216" s="413">
        <v>0</v>
      </c>
      <c r="BV216" s="413">
        <v>0</v>
      </c>
      <c r="BW216" s="413">
        <v>0</v>
      </c>
      <c r="BX216" s="413">
        <v>1</v>
      </c>
      <c r="BY216" s="413">
        <v>0</v>
      </c>
      <c r="BZ216" s="413">
        <v>0</v>
      </c>
      <c r="CA216" s="413">
        <v>0</v>
      </c>
      <c r="CB216" s="413">
        <v>0</v>
      </c>
      <c r="CC216" s="413">
        <v>0</v>
      </c>
      <c r="CD216" s="413">
        <v>0</v>
      </c>
      <c r="CE216" s="413">
        <v>0</v>
      </c>
      <c r="CF216" s="413">
        <v>0</v>
      </c>
      <c r="CG216" s="413">
        <v>0</v>
      </c>
      <c r="CH216" s="413">
        <v>0</v>
      </c>
      <c r="CI216" s="413">
        <v>0</v>
      </c>
      <c r="CJ216" s="413">
        <v>0</v>
      </c>
      <c r="CK216" s="413">
        <v>0</v>
      </c>
      <c r="CL216" s="413">
        <v>0</v>
      </c>
      <c r="CM216" s="413">
        <v>0</v>
      </c>
      <c r="CN216" s="413">
        <v>0</v>
      </c>
      <c r="CO216" s="414">
        <f t="shared" si="8"/>
        <v>1</v>
      </c>
    </row>
    <row r="217" spans="1:93" s="415" customFormat="1" ht="25.5" customHeight="1" x14ac:dyDescent="0.25">
      <c r="A217" s="881" t="s">
        <v>886</v>
      </c>
      <c r="B217" s="862" t="s">
        <v>1904</v>
      </c>
      <c r="C217" s="861" t="s">
        <v>885</v>
      </c>
      <c r="D217" s="862"/>
      <c r="E217" s="861" t="s">
        <v>779</v>
      </c>
      <c r="F217" s="862"/>
      <c r="G217" s="861" t="s">
        <v>648</v>
      </c>
      <c r="H217" s="861" t="s">
        <v>654</v>
      </c>
      <c r="I217" s="861" t="s">
        <v>647</v>
      </c>
      <c r="J217" s="861" t="s">
        <v>671</v>
      </c>
      <c r="K217" s="861" t="s">
        <v>649</v>
      </c>
      <c r="L217" s="861" t="s">
        <v>36</v>
      </c>
      <c r="M217" s="861" t="s">
        <v>646</v>
      </c>
      <c r="N217" s="861"/>
      <c r="O217" s="861"/>
      <c r="P217" s="861"/>
      <c r="Q217" s="861" t="s">
        <v>656</v>
      </c>
      <c r="R217" s="861" t="s">
        <v>652</v>
      </c>
      <c r="S217" s="861" t="s">
        <v>663</v>
      </c>
      <c r="T217" s="861"/>
      <c r="U217" s="861"/>
      <c r="V217" s="861" t="s">
        <v>36</v>
      </c>
      <c r="W217" s="861"/>
      <c r="X217" s="863">
        <v>42035</v>
      </c>
      <c r="Y217" s="863">
        <v>42400</v>
      </c>
      <c r="Z217" s="864">
        <v>2015</v>
      </c>
      <c r="AA217" s="861" t="s">
        <v>676</v>
      </c>
      <c r="AB217" s="861" t="s">
        <v>675</v>
      </c>
      <c r="AC217" s="861" t="s">
        <v>663</v>
      </c>
      <c r="AD217" s="865"/>
      <c r="AE217" s="865"/>
      <c r="AF217" s="865"/>
      <c r="AG217" s="865"/>
      <c r="AH217" s="865"/>
      <c r="AI217" s="865"/>
      <c r="AJ217" s="865"/>
      <c r="AK217" s="865"/>
      <c r="AL217" s="865"/>
      <c r="AM217" s="865"/>
      <c r="AN217" s="865"/>
      <c r="AO217" s="865"/>
      <c r="AP217" s="865"/>
      <c r="AQ217" s="865"/>
      <c r="AR217" s="865"/>
      <c r="AS217" s="865"/>
      <c r="AT217" s="865"/>
      <c r="AU217" s="865"/>
      <c r="AV217" s="865">
        <v>2149999.9999999991</v>
      </c>
      <c r="AW217" s="865"/>
      <c r="AX217" s="865"/>
      <c r="AY217" s="865"/>
      <c r="AZ217" s="865"/>
      <c r="BA217" s="865"/>
      <c r="BB217" s="865"/>
      <c r="BC217" s="865"/>
      <c r="BD217" s="865"/>
      <c r="BE217" s="865"/>
      <c r="BF217" s="865"/>
      <c r="BG217" s="865"/>
      <c r="BH217" s="865"/>
      <c r="BI217" s="865"/>
      <c r="BJ217" s="865"/>
      <c r="BK217" s="865"/>
      <c r="BL217" s="865"/>
      <c r="BM217" s="865"/>
      <c r="BN217" s="865"/>
      <c r="BO217" s="865"/>
      <c r="BP217" s="865"/>
      <c r="BQ217" s="865"/>
      <c r="BR217" s="865"/>
      <c r="BS217" s="865">
        <v>2149999.9999999991</v>
      </c>
      <c r="BT217" s="412">
        <f t="shared" si="9"/>
        <v>2149999.9999999991</v>
      </c>
      <c r="BU217" s="413">
        <v>1</v>
      </c>
      <c r="BV217" s="413">
        <v>0</v>
      </c>
      <c r="BW217" s="413">
        <v>0</v>
      </c>
      <c r="BX217" s="413">
        <v>0</v>
      </c>
      <c r="BY217" s="413">
        <v>0</v>
      </c>
      <c r="BZ217" s="413">
        <v>0</v>
      </c>
      <c r="CA217" s="413">
        <v>0</v>
      </c>
      <c r="CB217" s="413">
        <v>0</v>
      </c>
      <c r="CC217" s="413">
        <v>0</v>
      </c>
      <c r="CD217" s="413">
        <v>0</v>
      </c>
      <c r="CE217" s="413">
        <v>0</v>
      </c>
      <c r="CF217" s="413">
        <v>0</v>
      </c>
      <c r="CG217" s="413">
        <v>0</v>
      </c>
      <c r="CH217" s="413">
        <v>0</v>
      </c>
      <c r="CI217" s="413">
        <v>0</v>
      </c>
      <c r="CJ217" s="413">
        <v>0</v>
      </c>
      <c r="CK217" s="413">
        <v>0</v>
      </c>
      <c r="CL217" s="413">
        <v>0</v>
      </c>
      <c r="CM217" s="413">
        <v>0</v>
      </c>
      <c r="CN217" s="413">
        <v>0</v>
      </c>
      <c r="CO217" s="414">
        <f t="shared" si="8"/>
        <v>1</v>
      </c>
    </row>
    <row r="218" spans="1:93" s="415" customFormat="1" ht="25.5" customHeight="1" x14ac:dyDescent="0.25">
      <c r="A218" s="881" t="s">
        <v>260</v>
      </c>
      <c r="B218" s="862" t="s">
        <v>2196</v>
      </c>
      <c r="C218" s="861" t="s">
        <v>884</v>
      </c>
      <c r="D218" s="862"/>
      <c r="E218" s="861" t="s">
        <v>883</v>
      </c>
      <c r="F218" s="862"/>
      <c r="G218" s="861" t="s">
        <v>722</v>
      </c>
      <c r="H218" s="861" t="s">
        <v>654</v>
      </c>
      <c r="I218" s="861" t="s">
        <v>647</v>
      </c>
      <c r="J218" s="861" t="s">
        <v>641</v>
      </c>
      <c r="K218" s="861" t="s">
        <v>649</v>
      </c>
      <c r="L218" s="861" t="s">
        <v>40</v>
      </c>
      <c r="M218" s="861" t="s">
        <v>646</v>
      </c>
      <c r="N218" s="861" t="s">
        <v>645</v>
      </c>
      <c r="O218" s="861" t="s">
        <v>850</v>
      </c>
      <c r="P218" s="861" t="s">
        <v>720</v>
      </c>
      <c r="Q218" s="861" t="s">
        <v>656</v>
      </c>
      <c r="R218" s="861" t="s">
        <v>652</v>
      </c>
      <c r="S218" s="861" t="s">
        <v>649</v>
      </c>
      <c r="T218" s="861"/>
      <c r="U218" s="861"/>
      <c r="V218" s="861" t="s">
        <v>641</v>
      </c>
      <c r="W218" s="861" t="s">
        <v>774</v>
      </c>
      <c r="X218" s="863">
        <v>41969</v>
      </c>
      <c r="Y218" s="863">
        <v>43251</v>
      </c>
      <c r="Z218" s="864">
        <v>2018</v>
      </c>
      <c r="AA218" s="861"/>
      <c r="AB218" s="861"/>
      <c r="AC218" s="861"/>
      <c r="AD218" s="865"/>
      <c r="AE218" s="865"/>
      <c r="AF218" s="865"/>
      <c r="AG218" s="865"/>
      <c r="AH218" s="865"/>
      <c r="AI218" s="865"/>
      <c r="AJ218" s="865"/>
      <c r="AK218" s="865"/>
      <c r="AL218" s="865"/>
      <c r="AM218" s="865"/>
      <c r="AN218" s="865"/>
      <c r="AO218" s="865"/>
      <c r="AP218" s="865"/>
      <c r="AQ218" s="865"/>
      <c r="AR218" s="865"/>
      <c r="AS218" s="865"/>
      <c r="AT218" s="865"/>
      <c r="AU218" s="865"/>
      <c r="AV218" s="865"/>
      <c r="AW218" s="865"/>
      <c r="AX218" s="865"/>
      <c r="AY218" s="865"/>
      <c r="AZ218" s="865"/>
      <c r="BA218" s="865"/>
      <c r="BB218" s="865"/>
      <c r="BC218" s="865"/>
      <c r="BD218" s="865"/>
      <c r="BE218" s="865"/>
      <c r="BF218" s="865"/>
      <c r="BG218" s="865"/>
      <c r="BH218" s="865"/>
      <c r="BI218" s="865"/>
      <c r="BJ218" s="865"/>
      <c r="BK218" s="865"/>
      <c r="BL218" s="865"/>
      <c r="BM218" s="865"/>
      <c r="BN218" s="865"/>
      <c r="BO218" s="865"/>
      <c r="BP218" s="865"/>
      <c r="BQ218" s="865"/>
      <c r="BR218" s="865"/>
      <c r="BS218" s="865"/>
      <c r="BT218" s="412">
        <f t="shared" si="9"/>
        <v>0</v>
      </c>
      <c r="BU218" s="413">
        <v>0</v>
      </c>
      <c r="BV218" s="413">
        <v>0</v>
      </c>
      <c r="BW218" s="413">
        <v>0</v>
      </c>
      <c r="BX218" s="413">
        <v>0</v>
      </c>
      <c r="BY218" s="413">
        <v>0</v>
      </c>
      <c r="BZ218" s="413">
        <v>0</v>
      </c>
      <c r="CA218" s="413">
        <v>0</v>
      </c>
      <c r="CB218" s="413">
        <v>0</v>
      </c>
      <c r="CC218" s="413">
        <v>0</v>
      </c>
      <c r="CD218" s="413">
        <v>0</v>
      </c>
      <c r="CE218" s="413">
        <v>0</v>
      </c>
      <c r="CF218" s="413">
        <v>0</v>
      </c>
      <c r="CG218" s="413">
        <v>0</v>
      </c>
      <c r="CH218" s="413">
        <v>0</v>
      </c>
      <c r="CI218" s="413">
        <v>0</v>
      </c>
      <c r="CJ218" s="413">
        <v>0</v>
      </c>
      <c r="CK218" s="413">
        <v>0</v>
      </c>
      <c r="CL218" s="413">
        <v>0</v>
      </c>
      <c r="CM218" s="413">
        <v>0</v>
      </c>
      <c r="CN218" s="413">
        <v>0</v>
      </c>
      <c r="CO218" s="414">
        <f t="shared" si="8"/>
        <v>0</v>
      </c>
    </row>
    <row r="219" spans="1:93" s="415" customFormat="1" ht="25.5" customHeight="1" x14ac:dyDescent="0.25">
      <c r="A219" s="881" t="s">
        <v>262</v>
      </c>
      <c r="B219" s="862" t="s">
        <v>2208</v>
      </c>
      <c r="C219" s="861" t="s">
        <v>882</v>
      </c>
      <c r="D219" s="862"/>
      <c r="E219" s="861"/>
      <c r="F219" s="862"/>
      <c r="G219" s="861"/>
      <c r="H219" s="861" t="s">
        <v>654</v>
      </c>
      <c r="I219" s="861" t="s">
        <v>647</v>
      </c>
      <c r="J219" s="861" t="s">
        <v>641</v>
      </c>
      <c r="K219" s="861" t="s">
        <v>649</v>
      </c>
      <c r="L219" s="861" t="s">
        <v>40</v>
      </c>
      <c r="M219" s="861" t="s">
        <v>646</v>
      </c>
      <c r="N219" s="861" t="s">
        <v>645</v>
      </c>
      <c r="O219" s="861" t="s">
        <v>881</v>
      </c>
      <c r="P219" s="861" t="s">
        <v>720</v>
      </c>
      <c r="Q219" s="861" t="s">
        <v>642</v>
      </c>
      <c r="R219" s="861" t="s">
        <v>652</v>
      </c>
      <c r="S219" s="861" t="s">
        <v>649</v>
      </c>
      <c r="T219" s="861"/>
      <c r="U219" s="861"/>
      <c r="V219" s="861" t="s">
        <v>641</v>
      </c>
      <c r="W219" s="861"/>
      <c r="X219" s="863">
        <v>42080</v>
      </c>
      <c r="Y219" s="863">
        <v>43153</v>
      </c>
      <c r="Z219" s="864">
        <v>2018</v>
      </c>
      <c r="AA219" s="861" t="s">
        <v>663</v>
      </c>
      <c r="AB219" s="861"/>
      <c r="AC219" s="861"/>
      <c r="AD219" s="865"/>
      <c r="AE219" s="865"/>
      <c r="AF219" s="865"/>
      <c r="AG219" s="865"/>
      <c r="AH219" s="865"/>
      <c r="AI219" s="865">
        <v>840105.00000000047</v>
      </c>
      <c r="AJ219" s="865"/>
      <c r="AK219" s="865"/>
      <c r="AL219" s="865"/>
      <c r="AM219" s="865"/>
      <c r="AN219" s="865"/>
      <c r="AO219" s="865"/>
      <c r="AP219" s="865"/>
      <c r="AQ219" s="865"/>
      <c r="AR219" s="865"/>
      <c r="AS219" s="865"/>
      <c r="AT219" s="865"/>
      <c r="AU219" s="865"/>
      <c r="AV219" s="865"/>
      <c r="AW219" s="865"/>
      <c r="AX219" s="865"/>
      <c r="AY219" s="865"/>
      <c r="AZ219" s="865"/>
      <c r="BA219" s="865"/>
      <c r="BB219" s="865"/>
      <c r="BC219" s="865"/>
      <c r="BD219" s="865"/>
      <c r="BE219" s="865"/>
      <c r="BF219" s="865"/>
      <c r="BG219" s="865"/>
      <c r="BH219" s="865"/>
      <c r="BI219" s="865"/>
      <c r="BJ219" s="865"/>
      <c r="BK219" s="865"/>
      <c r="BL219" s="865"/>
      <c r="BM219" s="865"/>
      <c r="BN219" s="865"/>
      <c r="BO219" s="865">
        <v>50000.000000000044</v>
      </c>
      <c r="BP219" s="865"/>
      <c r="BQ219" s="865"/>
      <c r="BR219" s="865"/>
      <c r="BS219" s="865">
        <v>890105.00000000047</v>
      </c>
      <c r="BT219" s="412">
        <f t="shared" si="9"/>
        <v>840105.00000000047</v>
      </c>
      <c r="BU219" s="413">
        <v>0</v>
      </c>
      <c r="BV219" s="413">
        <v>0</v>
      </c>
      <c r="BW219" s="413">
        <v>0</v>
      </c>
      <c r="BX219" s="413">
        <v>0</v>
      </c>
      <c r="BY219" s="413">
        <v>0</v>
      </c>
      <c r="BZ219" s="413">
        <v>0</v>
      </c>
      <c r="CA219" s="413">
        <v>0</v>
      </c>
      <c r="CB219" s="413">
        <v>0</v>
      </c>
      <c r="CC219" s="413">
        <v>0</v>
      </c>
      <c r="CD219" s="413">
        <v>0</v>
      </c>
      <c r="CE219" s="413">
        <v>0</v>
      </c>
      <c r="CF219" s="413">
        <v>1</v>
      </c>
      <c r="CG219" s="413">
        <v>0</v>
      </c>
      <c r="CH219" s="413">
        <v>0</v>
      </c>
      <c r="CI219" s="413">
        <v>0</v>
      </c>
      <c r="CJ219" s="413">
        <v>0</v>
      </c>
      <c r="CK219" s="413">
        <v>0</v>
      </c>
      <c r="CL219" s="413">
        <v>0</v>
      </c>
      <c r="CM219" s="413">
        <v>0</v>
      </c>
      <c r="CN219" s="413">
        <v>0</v>
      </c>
      <c r="CO219" s="414">
        <f t="shared" si="8"/>
        <v>1</v>
      </c>
    </row>
    <row r="220" spans="1:93" s="415" customFormat="1" ht="25.5" customHeight="1" x14ac:dyDescent="0.25">
      <c r="A220" s="881" t="s">
        <v>268</v>
      </c>
      <c r="B220" s="862" t="s">
        <v>1906</v>
      </c>
      <c r="C220" s="861" t="s">
        <v>880</v>
      </c>
      <c r="D220" s="862"/>
      <c r="E220" s="861" t="s">
        <v>879</v>
      </c>
      <c r="F220" s="862"/>
      <c r="G220" s="861" t="s">
        <v>648</v>
      </c>
      <c r="H220" s="861" t="s">
        <v>654</v>
      </c>
      <c r="I220" s="861" t="s">
        <v>647</v>
      </c>
      <c r="J220" s="861" t="s">
        <v>671</v>
      </c>
      <c r="K220" s="861" t="s">
        <v>649</v>
      </c>
      <c r="L220" s="861" t="s">
        <v>55</v>
      </c>
      <c r="M220" s="861" t="s">
        <v>646</v>
      </c>
      <c r="N220" s="861"/>
      <c r="O220" s="861"/>
      <c r="P220" s="861"/>
      <c r="Q220" s="861" t="s">
        <v>656</v>
      </c>
      <c r="R220" s="861" t="s">
        <v>652</v>
      </c>
      <c r="S220" s="861" t="s">
        <v>649</v>
      </c>
      <c r="T220" s="861"/>
      <c r="U220" s="861"/>
      <c r="V220" s="861" t="s">
        <v>683</v>
      </c>
      <c r="W220" s="861" t="s">
        <v>666</v>
      </c>
      <c r="X220" s="863">
        <v>41760</v>
      </c>
      <c r="Y220" s="863">
        <v>42653</v>
      </c>
      <c r="Z220" s="864">
        <v>2016</v>
      </c>
      <c r="AA220" s="861" t="s">
        <v>676</v>
      </c>
      <c r="AB220" s="861" t="s">
        <v>675</v>
      </c>
      <c r="AC220" s="861" t="s">
        <v>663</v>
      </c>
      <c r="AD220" s="865"/>
      <c r="AE220" s="865"/>
      <c r="AF220" s="865"/>
      <c r="AG220" s="865"/>
      <c r="AH220" s="865"/>
      <c r="AI220" s="865"/>
      <c r="AJ220" s="865"/>
      <c r="AK220" s="865"/>
      <c r="AL220" s="865"/>
      <c r="AM220" s="865"/>
      <c r="AN220" s="865"/>
      <c r="AO220" s="865"/>
      <c r="AP220" s="865"/>
      <c r="AQ220" s="865"/>
      <c r="AR220" s="865"/>
      <c r="AS220" s="865"/>
      <c r="AT220" s="865"/>
      <c r="AU220" s="865"/>
      <c r="AV220" s="865"/>
      <c r="AW220" s="865">
        <v>1440000</v>
      </c>
      <c r="AX220" s="865">
        <v>60000.000000000015</v>
      </c>
      <c r="AY220" s="865"/>
      <c r="AZ220" s="865"/>
      <c r="BA220" s="865"/>
      <c r="BB220" s="865"/>
      <c r="BC220" s="865"/>
      <c r="BD220" s="865"/>
      <c r="BE220" s="865"/>
      <c r="BF220" s="865"/>
      <c r="BG220" s="865"/>
      <c r="BH220" s="865"/>
      <c r="BI220" s="865"/>
      <c r="BJ220" s="865"/>
      <c r="BK220" s="865"/>
      <c r="BL220" s="865"/>
      <c r="BM220" s="865"/>
      <c r="BN220" s="865"/>
      <c r="BO220" s="865"/>
      <c r="BP220" s="865"/>
      <c r="BQ220" s="865"/>
      <c r="BR220" s="865"/>
      <c r="BS220" s="865">
        <v>1500000</v>
      </c>
      <c r="BT220" s="412">
        <f t="shared" si="9"/>
        <v>1500000</v>
      </c>
      <c r="BU220" s="413">
        <v>0</v>
      </c>
      <c r="BV220" s="413">
        <v>0</v>
      </c>
      <c r="BW220" s="413">
        <v>0</v>
      </c>
      <c r="BX220" s="413">
        <v>1</v>
      </c>
      <c r="BY220" s="413">
        <v>0</v>
      </c>
      <c r="BZ220" s="413">
        <v>0</v>
      </c>
      <c r="CA220" s="413">
        <v>0</v>
      </c>
      <c r="CB220" s="413">
        <v>0</v>
      </c>
      <c r="CC220" s="413">
        <v>0</v>
      </c>
      <c r="CD220" s="413">
        <v>0</v>
      </c>
      <c r="CE220" s="413">
        <v>0</v>
      </c>
      <c r="CF220" s="413">
        <v>0</v>
      </c>
      <c r="CG220" s="413">
        <v>0</v>
      </c>
      <c r="CH220" s="413">
        <v>0</v>
      </c>
      <c r="CI220" s="413">
        <v>0</v>
      </c>
      <c r="CJ220" s="413">
        <v>0</v>
      </c>
      <c r="CK220" s="413">
        <v>0</v>
      </c>
      <c r="CL220" s="413">
        <v>0</v>
      </c>
      <c r="CM220" s="413">
        <v>0</v>
      </c>
      <c r="CN220" s="413">
        <v>0</v>
      </c>
      <c r="CO220" s="414">
        <f t="shared" si="8"/>
        <v>1</v>
      </c>
    </row>
    <row r="221" spans="1:93" s="415" customFormat="1" ht="25.5" customHeight="1" x14ac:dyDescent="0.25">
      <c r="A221" s="881" t="s">
        <v>270</v>
      </c>
      <c r="B221" s="862" t="s">
        <v>1908</v>
      </c>
      <c r="C221" s="861" t="s">
        <v>878</v>
      </c>
      <c r="D221" s="862"/>
      <c r="E221" s="861" t="s">
        <v>877</v>
      </c>
      <c r="F221" s="862"/>
      <c r="G221" s="861" t="s">
        <v>648</v>
      </c>
      <c r="H221" s="861" t="s">
        <v>654</v>
      </c>
      <c r="I221" s="861" t="s">
        <v>647</v>
      </c>
      <c r="J221" s="861" t="s">
        <v>671</v>
      </c>
      <c r="K221" s="861" t="s">
        <v>649</v>
      </c>
      <c r="L221" s="861" t="s">
        <v>55</v>
      </c>
      <c r="M221" s="861" t="s">
        <v>646</v>
      </c>
      <c r="N221" s="861"/>
      <c r="O221" s="861"/>
      <c r="P221" s="861"/>
      <c r="Q221" s="861" t="s">
        <v>656</v>
      </c>
      <c r="R221" s="861" t="s">
        <v>652</v>
      </c>
      <c r="S221" s="861" t="s">
        <v>649</v>
      </c>
      <c r="T221" s="861"/>
      <c r="U221" s="861"/>
      <c r="V221" s="861" t="s">
        <v>683</v>
      </c>
      <c r="W221" s="861" t="s">
        <v>677</v>
      </c>
      <c r="X221" s="863">
        <v>41852</v>
      </c>
      <c r="Y221" s="863">
        <v>42774</v>
      </c>
      <c r="Z221" s="864">
        <v>2017</v>
      </c>
      <c r="AA221" s="861" t="s">
        <v>676</v>
      </c>
      <c r="AB221" s="861" t="s">
        <v>675</v>
      </c>
      <c r="AC221" s="861" t="s">
        <v>663</v>
      </c>
      <c r="AD221" s="865"/>
      <c r="AE221" s="865"/>
      <c r="AF221" s="865"/>
      <c r="AG221" s="865"/>
      <c r="AH221" s="865"/>
      <c r="AI221" s="865"/>
      <c r="AJ221" s="865"/>
      <c r="AK221" s="865"/>
      <c r="AL221" s="865"/>
      <c r="AM221" s="865"/>
      <c r="AN221" s="865"/>
      <c r="AO221" s="865"/>
      <c r="AP221" s="865"/>
      <c r="AQ221" s="865"/>
      <c r="AR221" s="865"/>
      <c r="AS221" s="865"/>
      <c r="AT221" s="865"/>
      <c r="AU221" s="865"/>
      <c r="AV221" s="865"/>
      <c r="AW221" s="865">
        <v>240445.00000000041</v>
      </c>
      <c r="AX221" s="865">
        <v>2290557.0000000037</v>
      </c>
      <c r="AY221" s="865"/>
      <c r="AZ221" s="865"/>
      <c r="BA221" s="865"/>
      <c r="BB221" s="865"/>
      <c r="BC221" s="865"/>
      <c r="BD221" s="865"/>
      <c r="BE221" s="865"/>
      <c r="BF221" s="865"/>
      <c r="BG221" s="865"/>
      <c r="BH221" s="865"/>
      <c r="BI221" s="865"/>
      <c r="BJ221" s="865"/>
      <c r="BK221" s="865"/>
      <c r="BL221" s="865"/>
      <c r="BM221" s="865"/>
      <c r="BN221" s="865"/>
      <c r="BO221" s="865"/>
      <c r="BP221" s="865"/>
      <c r="BQ221" s="865"/>
      <c r="BR221" s="865"/>
      <c r="BS221" s="865">
        <v>2531002.0000000042</v>
      </c>
      <c r="BT221" s="412">
        <f t="shared" si="9"/>
        <v>2531002.0000000042</v>
      </c>
      <c r="BU221" s="413">
        <v>0</v>
      </c>
      <c r="BV221" s="413">
        <v>0</v>
      </c>
      <c r="BW221" s="413">
        <v>0</v>
      </c>
      <c r="BX221" s="413">
        <v>1</v>
      </c>
      <c r="BY221" s="413">
        <v>0</v>
      </c>
      <c r="BZ221" s="413">
        <v>0</v>
      </c>
      <c r="CA221" s="413">
        <v>0</v>
      </c>
      <c r="CB221" s="413">
        <v>0</v>
      </c>
      <c r="CC221" s="413">
        <v>0</v>
      </c>
      <c r="CD221" s="413">
        <v>0</v>
      </c>
      <c r="CE221" s="413">
        <v>0</v>
      </c>
      <c r="CF221" s="413">
        <v>0</v>
      </c>
      <c r="CG221" s="413">
        <v>0</v>
      </c>
      <c r="CH221" s="413">
        <v>0</v>
      </c>
      <c r="CI221" s="413">
        <v>0</v>
      </c>
      <c r="CJ221" s="413">
        <v>0</v>
      </c>
      <c r="CK221" s="413">
        <v>0</v>
      </c>
      <c r="CL221" s="413">
        <v>0</v>
      </c>
      <c r="CM221" s="413">
        <v>0</v>
      </c>
      <c r="CN221" s="413">
        <v>0</v>
      </c>
      <c r="CO221" s="414">
        <f t="shared" si="8"/>
        <v>1</v>
      </c>
    </row>
    <row r="222" spans="1:93" s="415" customFormat="1" ht="25.5" customHeight="1" x14ac:dyDescent="0.25">
      <c r="A222" s="881" t="s">
        <v>272</v>
      </c>
      <c r="B222" s="862" t="s">
        <v>1910</v>
      </c>
      <c r="C222" s="861" t="s">
        <v>876</v>
      </c>
      <c r="D222" s="862"/>
      <c r="E222" s="861" t="s">
        <v>55</v>
      </c>
      <c r="F222" s="862"/>
      <c r="G222" s="861" t="s">
        <v>648</v>
      </c>
      <c r="H222" s="861" t="s">
        <v>654</v>
      </c>
      <c r="I222" s="861" t="s">
        <v>647</v>
      </c>
      <c r="J222" s="861" t="s">
        <v>641</v>
      </c>
      <c r="K222" s="861" t="s">
        <v>649</v>
      </c>
      <c r="L222" s="861" t="s">
        <v>54</v>
      </c>
      <c r="M222" s="861" t="s">
        <v>646</v>
      </c>
      <c r="N222" s="861"/>
      <c r="O222" s="861"/>
      <c r="P222" s="861"/>
      <c r="Q222" s="861" t="s">
        <v>656</v>
      </c>
      <c r="R222" s="861" t="s">
        <v>652</v>
      </c>
      <c r="S222" s="861" t="s">
        <v>649</v>
      </c>
      <c r="T222" s="861"/>
      <c r="U222" s="861"/>
      <c r="V222" s="861" t="s">
        <v>683</v>
      </c>
      <c r="W222" s="861" t="s">
        <v>666</v>
      </c>
      <c r="X222" s="863">
        <v>41821</v>
      </c>
      <c r="Y222" s="863">
        <v>42529</v>
      </c>
      <c r="Z222" s="864">
        <v>2015</v>
      </c>
      <c r="AA222" s="861" t="s">
        <v>676</v>
      </c>
      <c r="AB222" s="861" t="s">
        <v>675</v>
      </c>
      <c r="AC222" s="861" t="s">
        <v>663</v>
      </c>
      <c r="AD222" s="865"/>
      <c r="AE222" s="865"/>
      <c r="AF222" s="865"/>
      <c r="AG222" s="865"/>
      <c r="AH222" s="865"/>
      <c r="AI222" s="865"/>
      <c r="AJ222" s="865"/>
      <c r="AK222" s="865"/>
      <c r="AL222" s="865"/>
      <c r="AM222" s="865"/>
      <c r="AN222" s="865"/>
      <c r="AO222" s="865"/>
      <c r="AP222" s="865"/>
      <c r="AQ222" s="865"/>
      <c r="AR222" s="865"/>
      <c r="AS222" s="865"/>
      <c r="AT222" s="865"/>
      <c r="AU222" s="865"/>
      <c r="AV222" s="865"/>
      <c r="AW222" s="865">
        <v>1055999.9999999984</v>
      </c>
      <c r="AX222" s="865">
        <v>43999.999999999935</v>
      </c>
      <c r="AY222" s="865"/>
      <c r="AZ222" s="865"/>
      <c r="BA222" s="865"/>
      <c r="BB222" s="865"/>
      <c r="BC222" s="865"/>
      <c r="BD222" s="865"/>
      <c r="BE222" s="865"/>
      <c r="BF222" s="865"/>
      <c r="BG222" s="865"/>
      <c r="BH222" s="865"/>
      <c r="BI222" s="865"/>
      <c r="BJ222" s="865"/>
      <c r="BK222" s="865"/>
      <c r="BL222" s="865"/>
      <c r="BM222" s="865"/>
      <c r="BN222" s="865"/>
      <c r="BO222" s="865"/>
      <c r="BP222" s="865"/>
      <c r="BQ222" s="865"/>
      <c r="BR222" s="865"/>
      <c r="BS222" s="865">
        <v>1099999.9999999984</v>
      </c>
      <c r="BT222" s="412">
        <f t="shared" si="9"/>
        <v>1099999.9999999984</v>
      </c>
      <c r="BU222" s="413">
        <v>0</v>
      </c>
      <c r="BV222" s="413">
        <v>0</v>
      </c>
      <c r="BW222" s="413">
        <v>0</v>
      </c>
      <c r="BX222" s="413">
        <v>1</v>
      </c>
      <c r="BY222" s="413">
        <v>0</v>
      </c>
      <c r="BZ222" s="413">
        <v>0</v>
      </c>
      <c r="CA222" s="413">
        <v>0</v>
      </c>
      <c r="CB222" s="413">
        <v>0</v>
      </c>
      <c r="CC222" s="413">
        <v>0</v>
      </c>
      <c r="CD222" s="413">
        <v>0</v>
      </c>
      <c r="CE222" s="413">
        <v>0</v>
      </c>
      <c r="CF222" s="413">
        <v>0</v>
      </c>
      <c r="CG222" s="413">
        <v>0</v>
      </c>
      <c r="CH222" s="413">
        <v>0</v>
      </c>
      <c r="CI222" s="413">
        <v>0</v>
      </c>
      <c r="CJ222" s="413">
        <v>0</v>
      </c>
      <c r="CK222" s="413">
        <v>0</v>
      </c>
      <c r="CL222" s="413">
        <v>0</v>
      </c>
      <c r="CM222" s="413">
        <v>0</v>
      </c>
      <c r="CN222" s="413">
        <v>0</v>
      </c>
      <c r="CO222" s="414">
        <f t="shared" si="8"/>
        <v>1</v>
      </c>
    </row>
    <row r="223" spans="1:93" s="415" customFormat="1" ht="25.5" customHeight="1" x14ac:dyDescent="0.25">
      <c r="A223" s="881" t="s">
        <v>274</v>
      </c>
      <c r="B223" s="862" t="s">
        <v>1912</v>
      </c>
      <c r="C223" s="861" t="s">
        <v>875</v>
      </c>
      <c r="D223" s="862"/>
      <c r="E223" s="861" t="s">
        <v>55</v>
      </c>
      <c r="F223" s="862"/>
      <c r="G223" s="861" t="s">
        <v>648</v>
      </c>
      <c r="H223" s="861" t="s">
        <v>654</v>
      </c>
      <c r="I223" s="861" t="s">
        <v>647</v>
      </c>
      <c r="J223" s="861" t="s">
        <v>641</v>
      </c>
      <c r="K223" s="861" t="s">
        <v>649</v>
      </c>
      <c r="L223" s="861" t="s">
        <v>28</v>
      </c>
      <c r="M223" s="861" t="s">
        <v>646</v>
      </c>
      <c r="N223" s="861"/>
      <c r="O223" s="861"/>
      <c r="P223" s="861" t="s">
        <v>643</v>
      </c>
      <c r="Q223" s="861" t="s">
        <v>656</v>
      </c>
      <c r="R223" s="861" t="s">
        <v>652</v>
      </c>
      <c r="S223" s="861" t="s">
        <v>649</v>
      </c>
      <c r="T223" s="861"/>
      <c r="U223" s="861"/>
      <c r="V223" s="861" t="s">
        <v>683</v>
      </c>
      <c r="W223" s="861" t="s">
        <v>666</v>
      </c>
      <c r="X223" s="863">
        <v>41760</v>
      </c>
      <c r="Y223" s="863">
        <v>42639</v>
      </c>
      <c r="Z223" s="864">
        <v>2016</v>
      </c>
      <c r="AA223" s="861" t="s">
        <v>676</v>
      </c>
      <c r="AB223" s="861" t="s">
        <v>675</v>
      </c>
      <c r="AC223" s="861" t="s">
        <v>663</v>
      </c>
      <c r="AD223" s="865"/>
      <c r="AE223" s="865"/>
      <c r="AF223" s="865"/>
      <c r="AG223" s="865"/>
      <c r="AH223" s="865"/>
      <c r="AI223" s="865"/>
      <c r="AJ223" s="865"/>
      <c r="AK223" s="865"/>
      <c r="AL223" s="865"/>
      <c r="AM223" s="865"/>
      <c r="AN223" s="865"/>
      <c r="AO223" s="865"/>
      <c r="AP223" s="865"/>
      <c r="AQ223" s="865"/>
      <c r="AR223" s="865"/>
      <c r="AS223" s="865"/>
      <c r="AT223" s="865"/>
      <c r="AU223" s="865"/>
      <c r="AV223" s="865"/>
      <c r="AW223" s="865">
        <v>123500.00000000009</v>
      </c>
      <c r="AX223" s="865">
        <v>1176500.0000000009</v>
      </c>
      <c r="AY223" s="865"/>
      <c r="AZ223" s="865"/>
      <c r="BA223" s="865"/>
      <c r="BB223" s="865"/>
      <c r="BC223" s="865"/>
      <c r="BD223" s="865"/>
      <c r="BE223" s="865"/>
      <c r="BF223" s="865"/>
      <c r="BG223" s="865"/>
      <c r="BH223" s="865"/>
      <c r="BI223" s="865"/>
      <c r="BJ223" s="865"/>
      <c r="BK223" s="865"/>
      <c r="BL223" s="865"/>
      <c r="BM223" s="865"/>
      <c r="BN223" s="865"/>
      <c r="BO223" s="865"/>
      <c r="BP223" s="865"/>
      <c r="BQ223" s="865"/>
      <c r="BR223" s="865"/>
      <c r="BS223" s="865">
        <v>1300000.0000000009</v>
      </c>
      <c r="BT223" s="412">
        <f t="shared" si="9"/>
        <v>1300000.0000000009</v>
      </c>
      <c r="BU223" s="413">
        <v>0</v>
      </c>
      <c r="BV223" s="413">
        <v>0</v>
      </c>
      <c r="BW223" s="413">
        <v>0</v>
      </c>
      <c r="BX223" s="413">
        <v>1</v>
      </c>
      <c r="BY223" s="413">
        <v>0</v>
      </c>
      <c r="BZ223" s="413">
        <v>0</v>
      </c>
      <c r="CA223" s="413">
        <v>0</v>
      </c>
      <c r="CB223" s="413">
        <v>0</v>
      </c>
      <c r="CC223" s="413">
        <v>0</v>
      </c>
      <c r="CD223" s="413">
        <v>0</v>
      </c>
      <c r="CE223" s="413">
        <v>0</v>
      </c>
      <c r="CF223" s="413">
        <v>0</v>
      </c>
      <c r="CG223" s="413">
        <v>0</v>
      </c>
      <c r="CH223" s="413">
        <v>0</v>
      </c>
      <c r="CI223" s="413">
        <v>0</v>
      </c>
      <c r="CJ223" s="413">
        <v>0</v>
      </c>
      <c r="CK223" s="413">
        <v>0</v>
      </c>
      <c r="CL223" s="413">
        <v>0</v>
      </c>
      <c r="CM223" s="413">
        <v>0</v>
      </c>
      <c r="CN223" s="413">
        <v>0</v>
      </c>
      <c r="CO223" s="414">
        <f t="shared" si="8"/>
        <v>1</v>
      </c>
    </row>
    <row r="224" spans="1:93" s="415" customFormat="1" ht="25.5" customHeight="1" x14ac:dyDescent="0.25">
      <c r="A224" s="881" t="s">
        <v>276</v>
      </c>
      <c r="B224" s="862" t="s">
        <v>1914</v>
      </c>
      <c r="C224" s="861" t="s">
        <v>874</v>
      </c>
      <c r="D224" s="862"/>
      <c r="E224" s="861" t="s">
        <v>779</v>
      </c>
      <c r="F224" s="862"/>
      <c r="G224" s="861" t="s">
        <v>648</v>
      </c>
      <c r="H224" s="861" t="s">
        <v>654</v>
      </c>
      <c r="I224" s="861" t="s">
        <v>647</v>
      </c>
      <c r="J224" s="861" t="s">
        <v>671</v>
      </c>
      <c r="K224" s="861" t="s">
        <v>649</v>
      </c>
      <c r="L224" s="861" t="s">
        <v>36</v>
      </c>
      <c r="M224" s="861" t="s">
        <v>646</v>
      </c>
      <c r="N224" s="861" t="s">
        <v>680</v>
      </c>
      <c r="O224" s="861"/>
      <c r="P224" s="861" t="s">
        <v>643</v>
      </c>
      <c r="Q224" s="861" t="s">
        <v>650</v>
      </c>
      <c r="R224" s="861" t="s">
        <v>652</v>
      </c>
      <c r="S224" s="861" t="s">
        <v>649</v>
      </c>
      <c r="T224" s="861"/>
      <c r="U224" s="861"/>
      <c r="V224" s="861" t="s">
        <v>36</v>
      </c>
      <c r="W224" s="861" t="s">
        <v>640</v>
      </c>
      <c r="X224" s="863">
        <v>42156</v>
      </c>
      <c r="Y224" s="863">
        <v>42458</v>
      </c>
      <c r="Z224" s="864">
        <v>2016</v>
      </c>
      <c r="AA224" s="861" t="s">
        <v>676</v>
      </c>
      <c r="AB224" s="861" t="s">
        <v>675</v>
      </c>
      <c r="AC224" s="861" t="s">
        <v>663</v>
      </c>
      <c r="AD224" s="865"/>
      <c r="AE224" s="865"/>
      <c r="AF224" s="865"/>
      <c r="AG224" s="865"/>
      <c r="AH224" s="865"/>
      <c r="AI224" s="865"/>
      <c r="AJ224" s="865"/>
      <c r="AK224" s="865"/>
      <c r="AL224" s="865"/>
      <c r="AM224" s="865"/>
      <c r="AN224" s="865"/>
      <c r="AO224" s="865"/>
      <c r="AP224" s="865"/>
      <c r="AQ224" s="865"/>
      <c r="AR224" s="865"/>
      <c r="AS224" s="865"/>
      <c r="AT224" s="865"/>
      <c r="AU224" s="865"/>
      <c r="AV224" s="865">
        <v>66299.999999999985</v>
      </c>
      <c r="AW224" s="865"/>
      <c r="AX224" s="865"/>
      <c r="AY224" s="865">
        <v>152999.99999999994</v>
      </c>
      <c r="AZ224" s="865"/>
      <c r="BA224" s="865"/>
      <c r="BB224" s="865"/>
      <c r="BC224" s="865">
        <v>20399.999999999993</v>
      </c>
      <c r="BD224" s="865">
        <v>0</v>
      </c>
      <c r="BE224" s="865"/>
      <c r="BF224" s="865"/>
      <c r="BG224" s="865"/>
      <c r="BH224" s="865">
        <v>43225.180955312389</v>
      </c>
      <c r="BI224" s="865"/>
      <c r="BJ224" s="865"/>
      <c r="BK224" s="865"/>
      <c r="BL224" s="865"/>
      <c r="BM224" s="865"/>
      <c r="BN224" s="865"/>
      <c r="BO224" s="865"/>
      <c r="BP224" s="865"/>
      <c r="BQ224" s="865"/>
      <c r="BR224" s="865"/>
      <c r="BS224" s="865">
        <v>282925.18095531233</v>
      </c>
      <c r="BT224" s="412">
        <f t="shared" si="9"/>
        <v>219299.99999999994</v>
      </c>
      <c r="BU224" s="413">
        <v>0.30232558139534887</v>
      </c>
      <c r="BV224" s="413">
        <v>0</v>
      </c>
      <c r="BW224" s="413">
        <v>0</v>
      </c>
      <c r="BX224" s="413">
        <v>0</v>
      </c>
      <c r="BY224" s="413">
        <v>0</v>
      </c>
      <c r="BZ224" s="413">
        <v>0</v>
      </c>
      <c r="CA224" s="413">
        <v>0</v>
      </c>
      <c r="CB224" s="413">
        <v>0.69767441860465107</v>
      </c>
      <c r="CC224" s="413">
        <v>0</v>
      </c>
      <c r="CD224" s="413">
        <v>0</v>
      </c>
      <c r="CE224" s="413">
        <v>0</v>
      </c>
      <c r="CF224" s="413">
        <v>0</v>
      </c>
      <c r="CG224" s="413">
        <v>0</v>
      </c>
      <c r="CH224" s="413">
        <v>0</v>
      </c>
      <c r="CI224" s="413">
        <v>0</v>
      </c>
      <c r="CJ224" s="413">
        <v>0</v>
      </c>
      <c r="CK224" s="413">
        <v>0</v>
      </c>
      <c r="CL224" s="413">
        <v>0</v>
      </c>
      <c r="CM224" s="413">
        <v>0</v>
      </c>
      <c r="CN224" s="413">
        <v>0</v>
      </c>
      <c r="CO224" s="414">
        <f t="shared" si="8"/>
        <v>1</v>
      </c>
    </row>
    <row r="225" spans="1:93" s="415" customFormat="1" ht="25.5" customHeight="1" x14ac:dyDescent="0.25">
      <c r="A225" s="881" t="s">
        <v>277</v>
      </c>
      <c r="B225" s="862" t="s">
        <v>1916</v>
      </c>
      <c r="C225" s="861" t="s">
        <v>873</v>
      </c>
      <c r="D225" s="862"/>
      <c r="E225" s="861"/>
      <c r="F225" s="862"/>
      <c r="G225" s="861" t="s">
        <v>722</v>
      </c>
      <c r="H225" s="861" t="s">
        <v>654</v>
      </c>
      <c r="I225" s="861" t="s">
        <v>647</v>
      </c>
      <c r="J225" s="861" t="s">
        <v>641</v>
      </c>
      <c r="K225" s="861" t="s">
        <v>649</v>
      </c>
      <c r="L225" s="861" t="s">
        <v>60</v>
      </c>
      <c r="M225" s="861" t="s">
        <v>646</v>
      </c>
      <c r="N225" s="861" t="s">
        <v>680</v>
      </c>
      <c r="O225" s="861"/>
      <c r="P225" s="861" t="s">
        <v>643</v>
      </c>
      <c r="Q225" s="861" t="s">
        <v>656</v>
      </c>
      <c r="R225" s="861" t="s">
        <v>652</v>
      </c>
      <c r="S225" s="861" t="s">
        <v>649</v>
      </c>
      <c r="T225" s="861"/>
      <c r="U225" s="861"/>
      <c r="V225" s="861" t="s">
        <v>641</v>
      </c>
      <c r="W225" s="861" t="s">
        <v>640</v>
      </c>
      <c r="X225" s="863">
        <v>42186</v>
      </c>
      <c r="Y225" s="863">
        <v>42611</v>
      </c>
      <c r="Z225" s="864">
        <v>2016</v>
      </c>
      <c r="AA225" s="861" t="s">
        <v>676</v>
      </c>
      <c r="AB225" s="861" t="s">
        <v>697</v>
      </c>
      <c r="AC225" s="861" t="s">
        <v>649</v>
      </c>
      <c r="AD225" s="865"/>
      <c r="AE225" s="865"/>
      <c r="AF225" s="865"/>
      <c r="AG225" s="865">
        <v>1962985.0000000005</v>
      </c>
      <c r="AH225" s="865"/>
      <c r="AI225" s="865"/>
      <c r="AJ225" s="865"/>
      <c r="AK225" s="865"/>
      <c r="AL225" s="865"/>
      <c r="AM225" s="865"/>
      <c r="AN225" s="865"/>
      <c r="AO225" s="865"/>
      <c r="AP225" s="865"/>
      <c r="AQ225" s="865"/>
      <c r="AR225" s="865"/>
      <c r="AS225" s="865"/>
      <c r="AT225" s="865"/>
      <c r="AU225" s="865"/>
      <c r="AV225" s="865"/>
      <c r="AW225" s="865"/>
      <c r="AX225" s="865"/>
      <c r="AY225" s="865"/>
      <c r="AZ225" s="865"/>
      <c r="BA225" s="865"/>
      <c r="BB225" s="865"/>
      <c r="BC225" s="865"/>
      <c r="BD225" s="865"/>
      <c r="BE225" s="865"/>
      <c r="BF225" s="865"/>
      <c r="BG225" s="865"/>
      <c r="BH225" s="865">
        <v>99015.497652297679</v>
      </c>
      <c r="BI225" s="865"/>
      <c r="BJ225" s="865"/>
      <c r="BK225" s="865"/>
      <c r="BL225" s="865"/>
      <c r="BM225" s="865"/>
      <c r="BN225" s="865"/>
      <c r="BO225" s="865"/>
      <c r="BP225" s="865"/>
      <c r="BQ225" s="865"/>
      <c r="BR225" s="865"/>
      <c r="BS225" s="865">
        <v>2062000.4976522981</v>
      </c>
      <c r="BT225" s="412">
        <f t="shared" si="9"/>
        <v>1962985.0000000005</v>
      </c>
      <c r="BU225" s="413">
        <v>0</v>
      </c>
      <c r="BV225" s="413">
        <v>0</v>
      </c>
      <c r="BW225" s="413">
        <v>0</v>
      </c>
      <c r="BX225" s="413">
        <v>0</v>
      </c>
      <c r="BY225" s="413">
        <v>0</v>
      </c>
      <c r="BZ225" s="413">
        <v>0</v>
      </c>
      <c r="CA225" s="413">
        <v>0</v>
      </c>
      <c r="CB225" s="413">
        <v>0</v>
      </c>
      <c r="CC225" s="413">
        <v>0</v>
      </c>
      <c r="CD225" s="413">
        <v>1</v>
      </c>
      <c r="CE225" s="413">
        <v>0</v>
      </c>
      <c r="CF225" s="413">
        <v>0</v>
      </c>
      <c r="CG225" s="413">
        <v>0</v>
      </c>
      <c r="CH225" s="413">
        <v>0</v>
      </c>
      <c r="CI225" s="413">
        <v>0</v>
      </c>
      <c r="CJ225" s="413">
        <v>0</v>
      </c>
      <c r="CK225" s="413">
        <v>0</v>
      </c>
      <c r="CL225" s="413">
        <v>0</v>
      </c>
      <c r="CM225" s="413">
        <v>0</v>
      </c>
      <c r="CN225" s="413">
        <v>0</v>
      </c>
      <c r="CO225" s="414">
        <f t="shared" si="8"/>
        <v>1</v>
      </c>
    </row>
    <row r="226" spans="1:93" s="415" customFormat="1" ht="25.5" customHeight="1" x14ac:dyDescent="0.25">
      <c r="A226" s="881" t="s">
        <v>872</v>
      </c>
      <c r="B226" s="862" t="s">
        <v>1920</v>
      </c>
      <c r="C226" s="861" t="s">
        <v>871</v>
      </c>
      <c r="D226" s="862"/>
      <c r="E226" s="861" t="s">
        <v>870</v>
      </c>
      <c r="F226" s="862"/>
      <c r="G226" s="861" t="s">
        <v>648</v>
      </c>
      <c r="H226" s="861" t="s">
        <v>654</v>
      </c>
      <c r="I226" s="861" t="s">
        <v>647</v>
      </c>
      <c r="J226" s="861" t="s">
        <v>671</v>
      </c>
      <c r="K226" s="861" t="s">
        <v>649</v>
      </c>
      <c r="L226" s="861" t="s">
        <v>55</v>
      </c>
      <c r="M226" s="861" t="s">
        <v>646</v>
      </c>
      <c r="N226" s="861"/>
      <c r="O226" s="861"/>
      <c r="P226" s="861"/>
      <c r="Q226" s="861" t="s">
        <v>656</v>
      </c>
      <c r="R226" s="861" t="s">
        <v>652</v>
      </c>
      <c r="S226" s="861" t="s">
        <v>649</v>
      </c>
      <c r="T226" s="861"/>
      <c r="U226" s="861"/>
      <c r="V226" s="861" t="s">
        <v>683</v>
      </c>
      <c r="W226" s="861" t="s">
        <v>666</v>
      </c>
      <c r="X226" s="863">
        <v>41821</v>
      </c>
      <c r="Y226" s="863">
        <v>42185</v>
      </c>
      <c r="Z226" s="864">
        <v>2014</v>
      </c>
      <c r="AA226" s="861" t="s">
        <v>676</v>
      </c>
      <c r="AB226" s="861" t="s">
        <v>675</v>
      </c>
      <c r="AC226" s="861" t="s">
        <v>663</v>
      </c>
      <c r="AD226" s="865"/>
      <c r="AE226" s="865"/>
      <c r="AF226" s="865"/>
      <c r="AG226" s="865"/>
      <c r="AH226" s="865"/>
      <c r="AI226" s="865"/>
      <c r="AJ226" s="865"/>
      <c r="AK226" s="865"/>
      <c r="AL226" s="865"/>
      <c r="AM226" s="865"/>
      <c r="AN226" s="865"/>
      <c r="AO226" s="865"/>
      <c r="AP226" s="865"/>
      <c r="AQ226" s="865"/>
      <c r="AR226" s="865"/>
      <c r="AS226" s="865"/>
      <c r="AT226" s="865"/>
      <c r="AU226" s="865"/>
      <c r="AV226" s="865"/>
      <c r="AW226" s="865">
        <v>18050.000000000007</v>
      </c>
      <c r="AX226" s="865">
        <v>171950.00000000006</v>
      </c>
      <c r="AY226" s="865"/>
      <c r="AZ226" s="865"/>
      <c r="BA226" s="865"/>
      <c r="BB226" s="865"/>
      <c r="BC226" s="865"/>
      <c r="BD226" s="865"/>
      <c r="BE226" s="865"/>
      <c r="BF226" s="865"/>
      <c r="BG226" s="865"/>
      <c r="BH226" s="865"/>
      <c r="BI226" s="865"/>
      <c r="BJ226" s="865"/>
      <c r="BK226" s="865"/>
      <c r="BL226" s="865"/>
      <c r="BM226" s="865"/>
      <c r="BN226" s="865"/>
      <c r="BO226" s="865"/>
      <c r="BP226" s="865"/>
      <c r="BQ226" s="865"/>
      <c r="BR226" s="865"/>
      <c r="BS226" s="865">
        <v>190000.00000000006</v>
      </c>
      <c r="BT226" s="412">
        <f t="shared" si="9"/>
        <v>190000.00000000006</v>
      </c>
      <c r="BU226" s="413">
        <v>0</v>
      </c>
      <c r="BV226" s="413">
        <v>0</v>
      </c>
      <c r="BW226" s="413">
        <v>0</v>
      </c>
      <c r="BX226" s="413">
        <v>1</v>
      </c>
      <c r="BY226" s="413">
        <v>0</v>
      </c>
      <c r="BZ226" s="413">
        <v>0</v>
      </c>
      <c r="CA226" s="413">
        <v>0</v>
      </c>
      <c r="CB226" s="413">
        <v>0</v>
      </c>
      <c r="CC226" s="413">
        <v>0</v>
      </c>
      <c r="CD226" s="413">
        <v>0</v>
      </c>
      <c r="CE226" s="413">
        <v>0</v>
      </c>
      <c r="CF226" s="413">
        <v>0</v>
      </c>
      <c r="CG226" s="413">
        <v>0</v>
      </c>
      <c r="CH226" s="413">
        <v>0</v>
      </c>
      <c r="CI226" s="413">
        <v>0</v>
      </c>
      <c r="CJ226" s="413">
        <v>0</v>
      </c>
      <c r="CK226" s="413">
        <v>0</v>
      </c>
      <c r="CL226" s="413">
        <v>0</v>
      </c>
      <c r="CM226" s="413">
        <v>0</v>
      </c>
      <c r="CN226" s="413">
        <v>0</v>
      </c>
      <c r="CO226" s="414">
        <f t="shared" si="8"/>
        <v>1</v>
      </c>
    </row>
    <row r="227" spans="1:93" s="415" customFormat="1" ht="25.5" customHeight="1" x14ac:dyDescent="0.25">
      <c r="A227" s="881" t="s">
        <v>279</v>
      </c>
      <c r="B227" s="862" t="s">
        <v>1921</v>
      </c>
      <c r="C227" s="861" t="s">
        <v>869</v>
      </c>
      <c r="D227" s="862"/>
      <c r="E227" s="861" t="s">
        <v>868</v>
      </c>
      <c r="F227" s="862"/>
      <c r="G227" s="861" t="s">
        <v>648</v>
      </c>
      <c r="H227" s="861" t="s">
        <v>654</v>
      </c>
      <c r="I227" s="861" t="s">
        <v>647</v>
      </c>
      <c r="J227" s="861" t="s">
        <v>671</v>
      </c>
      <c r="K227" s="861" t="s">
        <v>649</v>
      </c>
      <c r="L227" s="861" t="s">
        <v>55</v>
      </c>
      <c r="M227" s="861" t="s">
        <v>646</v>
      </c>
      <c r="N227" s="861"/>
      <c r="O227" s="861"/>
      <c r="P227" s="861"/>
      <c r="Q227" s="861" t="s">
        <v>656</v>
      </c>
      <c r="R227" s="861" t="s">
        <v>652</v>
      </c>
      <c r="S227" s="861" t="s">
        <v>649</v>
      </c>
      <c r="T227" s="861"/>
      <c r="U227" s="861"/>
      <c r="V227" s="861" t="s">
        <v>683</v>
      </c>
      <c r="W227" s="861" t="s">
        <v>677</v>
      </c>
      <c r="X227" s="863">
        <v>41453</v>
      </c>
      <c r="Y227" s="863">
        <v>41654</v>
      </c>
      <c r="Z227" s="864">
        <v>2014</v>
      </c>
      <c r="AA227" s="861" t="s">
        <v>676</v>
      </c>
      <c r="AB227" s="861" t="s">
        <v>675</v>
      </c>
      <c r="AC227" s="861" t="s">
        <v>663</v>
      </c>
      <c r="AD227" s="865"/>
      <c r="AE227" s="865"/>
      <c r="AF227" s="865"/>
      <c r="AG227" s="865"/>
      <c r="AH227" s="865"/>
      <c r="AI227" s="865"/>
      <c r="AJ227" s="865"/>
      <c r="AK227" s="865"/>
      <c r="AL227" s="865"/>
      <c r="AM227" s="865"/>
      <c r="AN227" s="865"/>
      <c r="AO227" s="865"/>
      <c r="AP227" s="865"/>
      <c r="AQ227" s="865"/>
      <c r="AR227" s="865"/>
      <c r="AS227" s="865"/>
      <c r="AT227" s="865"/>
      <c r="AU227" s="865"/>
      <c r="AV227" s="865"/>
      <c r="AW227" s="865">
        <v>846718.99999999988</v>
      </c>
      <c r="AX227" s="865">
        <v>35280</v>
      </c>
      <c r="AY227" s="865"/>
      <c r="AZ227" s="865"/>
      <c r="BA227" s="865"/>
      <c r="BB227" s="865"/>
      <c r="BC227" s="865"/>
      <c r="BD227" s="865"/>
      <c r="BE227" s="865"/>
      <c r="BF227" s="865"/>
      <c r="BG227" s="865"/>
      <c r="BH227" s="865"/>
      <c r="BI227" s="865"/>
      <c r="BJ227" s="865"/>
      <c r="BK227" s="865"/>
      <c r="BL227" s="865"/>
      <c r="BM227" s="865"/>
      <c r="BN227" s="865"/>
      <c r="BO227" s="865"/>
      <c r="BP227" s="865"/>
      <c r="BQ227" s="865"/>
      <c r="BR227" s="865"/>
      <c r="BS227" s="865">
        <v>881998.99999999988</v>
      </c>
      <c r="BT227" s="412">
        <f t="shared" si="9"/>
        <v>881998.99999999988</v>
      </c>
      <c r="BU227" s="413">
        <v>0</v>
      </c>
      <c r="BV227" s="413">
        <v>0</v>
      </c>
      <c r="BW227" s="413">
        <v>0</v>
      </c>
      <c r="BX227" s="413">
        <v>1</v>
      </c>
      <c r="BY227" s="413">
        <v>0</v>
      </c>
      <c r="BZ227" s="413">
        <v>0</v>
      </c>
      <c r="CA227" s="413">
        <v>0</v>
      </c>
      <c r="CB227" s="413">
        <v>0</v>
      </c>
      <c r="CC227" s="413">
        <v>0</v>
      </c>
      <c r="CD227" s="413">
        <v>0</v>
      </c>
      <c r="CE227" s="413">
        <v>0</v>
      </c>
      <c r="CF227" s="413">
        <v>0</v>
      </c>
      <c r="CG227" s="413">
        <v>0</v>
      </c>
      <c r="CH227" s="413">
        <v>0</v>
      </c>
      <c r="CI227" s="413">
        <v>0</v>
      </c>
      <c r="CJ227" s="413">
        <v>0</v>
      </c>
      <c r="CK227" s="413">
        <v>0</v>
      </c>
      <c r="CL227" s="413">
        <v>0</v>
      </c>
      <c r="CM227" s="413">
        <v>0</v>
      </c>
      <c r="CN227" s="413">
        <v>0</v>
      </c>
      <c r="CO227" s="414">
        <f t="shared" si="8"/>
        <v>1</v>
      </c>
    </row>
    <row r="228" spans="1:93" s="415" customFormat="1" ht="25.5" customHeight="1" x14ac:dyDescent="0.25">
      <c r="A228" s="881" t="s">
        <v>282</v>
      </c>
      <c r="B228" s="862" t="s">
        <v>1925</v>
      </c>
      <c r="C228" s="861" t="s">
        <v>867</v>
      </c>
      <c r="D228" s="862"/>
      <c r="E228" s="861" t="s">
        <v>55</v>
      </c>
      <c r="F228" s="862"/>
      <c r="G228" s="861" t="s">
        <v>648</v>
      </c>
      <c r="H228" s="861" t="s">
        <v>654</v>
      </c>
      <c r="I228" s="861" t="s">
        <v>647</v>
      </c>
      <c r="J228" s="861" t="s">
        <v>641</v>
      </c>
      <c r="K228" s="861" t="s">
        <v>649</v>
      </c>
      <c r="L228" s="861" t="s">
        <v>28</v>
      </c>
      <c r="M228" s="861" t="s">
        <v>646</v>
      </c>
      <c r="N228" s="861"/>
      <c r="O228" s="861"/>
      <c r="P228" s="861"/>
      <c r="Q228" s="861" t="s">
        <v>656</v>
      </c>
      <c r="R228" s="861" t="s">
        <v>652</v>
      </c>
      <c r="S228" s="861" t="s">
        <v>649</v>
      </c>
      <c r="T228" s="861"/>
      <c r="U228" s="861"/>
      <c r="V228" s="861" t="s">
        <v>683</v>
      </c>
      <c r="W228" s="861" t="s">
        <v>666</v>
      </c>
      <c r="X228" s="863">
        <v>41640</v>
      </c>
      <c r="Y228" s="863">
        <v>42354</v>
      </c>
      <c r="Z228" s="864">
        <v>2015</v>
      </c>
      <c r="AA228" s="861" t="s">
        <v>676</v>
      </c>
      <c r="AB228" s="861" t="s">
        <v>675</v>
      </c>
      <c r="AC228" s="861" t="s">
        <v>663</v>
      </c>
      <c r="AD228" s="865"/>
      <c r="AE228" s="865"/>
      <c r="AF228" s="865"/>
      <c r="AG228" s="865"/>
      <c r="AH228" s="865"/>
      <c r="AI228" s="865"/>
      <c r="AJ228" s="865"/>
      <c r="AK228" s="865"/>
      <c r="AL228" s="865"/>
      <c r="AM228" s="865"/>
      <c r="AN228" s="865"/>
      <c r="AO228" s="865"/>
      <c r="AP228" s="865"/>
      <c r="AQ228" s="865"/>
      <c r="AR228" s="865"/>
      <c r="AS228" s="865"/>
      <c r="AT228" s="865"/>
      <c r="AU228" s="865"/>
      <c r="AV228" s="865"/>
      <c r="AW228" s="865">
        <v>189999.99999999988</v>
      </c>
      <c r="AX228" s="865">
        <v>1809999.9999999991</v>
      </c>
      <c r="AY228" s="865"/>
      <c r="AZ228" s="865"/>
      <c r="BA228" s="865"/>
      <c r="BB228" s="865"/>
      <c r="BC228" s="865"/>
      <c r="BD228" s="865"/>
      <c r="BE228" s="865"/>
      <c r="BF228" s="865"/>
      <c r="BG228" s="865"/>
      <c r="BH228" s="865"/>
      <c r="BI228" s="865"/>
      <c r="BJ228" s="865"/>
      <c r="BK228" s="865"/>
      <c r="BL228" s="865"/>
      <c r="BM228" s="865"/>
      <c r="BN228" s="865"/>
      <c r="BO228" s="865"/>
      <c r="BP228" s="865"/>
      <c r="BQ228" s="865"/>
      <c r="BR228" s="865"/>
      <c r="BS228" s="865">
        <v>1999999.9999999988</v>
      </c>
      <c r="BT228" s="412">
        <f t="shared" si="9"/>
        <v>1999999.9999999991</v>
      </c>
      <c r="BU228" s="413">
        <v>0</v>
      </c>
      <c r="BV228" s="413">
        <v>0</v>
      </c>
      <c r="BW228" s="413">
        <v>0</v>
      </c>
      <c r="BX228" s="413">
        <v>1</v>
      </c>
      <c r="BY228" s="413">
        <v>0</v>
      </c>
      <c r="BZ228" s="413">
        <v>0</v>
      </c>
      <c r="CA228" s="413">
        <v>0</v>
      </c>
      <c r="CB228" s="413">
        <v>0</v>
      </c>
      <c r="CC228" s="413">
        <v>0</v>
      </c>
      <c r="CD228" s="413">
        <v>0</v>
      </c>
      <c r="CE228" s="413">
        <v>0</v>
      </c>
      <c r="CF228" s="413">
        <v>0</v>
      </c>
      <c r="CG228" s="413">
        <v>0</v>
      </c>
      <c r="CH228" s="413">
        <v>0</v>
      </c>
      <c r="CI228" s="413">
        <v>0</v>
      </c>
      <c r="CJ228" s="413">
        <v>0</v>
      </c>
      <c r="CK228" s="413">
        <v>0</v>
      </c>
      <c r="CL228" s="413">
        <v>0</v>
      </c>
      <c r="CM228" s="413">
        <v>0</v>
      </c>
      <c r="CN228" s="413">
        <v>0</v>
      </c>
      <c r="CO228" s="414">
        <f t="shared" si="8"/>
        <v>1</v>
      </c>
    </row>
    <row r="229" spans="1:93" s="415" customFormat="1" ht="25.5" customHeight="1" x14ac:dyDescent="0.25">
      <c r="A229" s="881" t="s">
        <v>866</v>
      </c>
      <c r="B229" s="862" t="s">
        <v>1927</v>
      </c>
      <c r="C229" s="861" t="s">
        <v>865</v>
      </c>
      <c r="D229" s="862"/>
      <c r="E229" s="861" t="s">
        <v>864</v>
      </c>
      <c r="F229" s="862"/>
      <c r="G229" s="861" t="s">
        <v>648</v>
      </c>
      <c r="H229" s="861" t="s">
        <v>654</v>
      </c>
      <c r="I229" s="861" t="s">
        <v>647</v>
      </c>
      <c r="J229" s="861" t="s">
        <v>671</v>
      </c>
      <c r="K229" s="861" t="s">
        <v>649</v>
      </c>
      <c r="L229" s="861" t="s">
        <v>55</v>
      </c>
      <c r="M229" s="861" t="s">
        <v>646</v>
      </c>
      <c r="N229" s="861"/>
      <c r="O229" s="861"/>
      <c r="P229" s="861"/>
      <c r="Q229" s="861" t="s">
        <v>656</v>
      </c>
      <c r="R229" s="861" t="s">
        <v>652</v>
      </c>
      <c r="S229" s="861" t="s">
        <v>649</v>
      </c>
      <c r="T229" s="861"/>
      <c r="U229" s="861"/>
      <c r="V229" s="861" t="s">
        <v>683</v>
      </c>
      <c r="W229" s="861" t="s">
        <v>666</v>
      </c>
      <c r="X229" s="863">
        <v>41518</v>
      </c>
      <c r="Y229" s="863">
        <v>42216</v>
      </c>
      <c r="Z229" s="864">
        <v>2015</v>
      </c>
      <c r="AA229" s="861" t="s">
        <v>676</v>
      </c>
      <c r="AB229" s="861" t="s">
        <v>675</v>
      </c>
      <c r="AC229" s="861" t="s">
        <v>663</v>
      </c>
      <c r="AD229" s="865"/>
      <c r="AE229" s="865"/>
      <c r="AF229" s="865"/>
      <c r="AG229" s="865"/>
      <c r="AH229" s="865"/>
      <c r="AI229" s="865"/>
      <c r="AJ229" s="865"/>
      <c r="AK229" s="865"/>
      <c r="AL229" s="865"/>
      <c r="AM229" s="865"/>
      <c r="AN229" s="865"/>
      <c r="AO229" s="865"/>
      <c r="AP229" s="865"/>
      <c r="AQ229" s="865"/>
      <c r="AR229" s="865"/>
      <c r="AS229" s="865"/>
      <c r="AT229" s="865"/>
      <c r="AU229" s="865"/>
      <c r="AV229" s="865"/>
      <c r="AW229" s="865">
        <v>95000.000000000146</v>
      </c>
      <c r="AX229" s="865">
        <v>905000.00000000128</v>
      </c>
      <c r="AY229" s="865"/>
      <c r="AZ229" s="865"/>
      <c r="BA229" s="865"/>
      <c r="BB229" s="865"/>
      <c r="BC229" s="865"/>
      <c r="BD229" s="865"/>
      <c r="BE229" s="865"/>
      <c r="BF229" s="865"/>
      <c r="BG229" s="865"/>
      <c r="BH229" s="865"/>
      <c r="BI229" s="865"/>
      <c r="BJ229" s="865"/>
      <c r="BK229" s="865"/>
      <c r="BL229" s="865"/>
      <c r="BM229" s="865"/>
      <c r="BN229" s="865"/>
      <c r="BO229" s="865"/>
      <c r="BP229" s="865"/>
      <c r="BQ229" s="865"/>
      <c r="BR229" s="865"/>
      <c r="BS229" s="865">
        <v>1000000.0000000014</v>
      </c>
      <c r="BT229" s="412">
        <f t="shared" si="9"/>
        <v>1000000.0000000014</v>
      </c>
      <c r="BU229" s="413">
        <v>0</v>
      </c>
      <c r="BV229" s="413">
        <v>0</v>
      </c>
      <c r="BW229" s="413">
        <v>0</v>
      </c>
      <c r="BX229" s="413">
        <v>1</v>
      </c>
      <c r="BY229" s="413">
        <v>0</v>
      </c>
      <c r="BZ229" s="413">
        <v>0</v>
      </c>
      <c r="CA229" s="413">
        <v>0</v>
      </c>
      <c r="CB229" s="413">
        <v>0</v>
      </c>
      <c r="CC229" s="413">
        <v>0</v>
      </c>
      <c r="CD229" s="413">
        <v>0</v>
      </c>
      <c r="CE229" s="413">
        <v>0</v>
      </c>
      <c r="CF229" s="413">
        <v>0</v>
      </c>
      <c r="CG229" s="413">
        <v>0</v>
      </c>
      <c r="CH229" s="413">
        <v>0</v>
      </c>
      <c r="CI229" s="413">
        <v>0</v>
      </c>
      <c r="CJ229" s="413">
        <v>0</v>
      </c>
      <c r="CK229" s="413">
        <v>0</v>
      </c>
      <c r="CL229" s="413">
        <v>0</v>
      </c>
      <c r="CM229" s="413">
        <v>0</v>
      </c>
      <c r="CN229" s="413">
        <v>0</v>
      </c>
      <c r="CO229" s="414">
        <f t="shared" si="8"/>
        <v>1</v>
      </c>
    </row>
    <row r="230" spans="1:93" s="415" customFormat="1" ht="25.5" customHeight="1" x14ac:dyDescent="0.25">
      <c r="A230" s="881" t="s">
        <v>284</v>
      </c>
      <c r="B230" s="862" t="s">
        <v>1928</v>
      </c>
      <c r="C230" s="861" t="s">
        <v>863</v>
      </c>
      <c r="D230" s="862"/>
      <c r="E230" s="861" t="s">
        <v>779</v>
      </c>
      <c r="F230" s="862"/>
      <c r="G230" s="861" t="s">
        <v>648</v>
      </c>
      <c r="H230" s="861" t="s">
        <v>654</v>
      </c>
      <c r="I230" s="861" t="s">
        <v>647</v>
      </c>
      <c r="J230" s="861" t="s">
        <v>671</v>
      </c>
      <c r="K230" s="861" t="s">
        <v>649</v>
      </c>
      <c r="L230" s="861" t="s">
        <v>36</v>
      </c>
      <c r="M230" s="861" t="s">
        <v>646</v>
      </c>
      <c r="N230" s="861" t="s">
        <v>680</v>
      </c>
      <c r="O230" s="861"/>
      <c r="P230" s="861"/>
      <c r="Q230" s="861" t="s">
        <v>650</v>
      </c>
      <c r="R230" s="861" t="s">
        <v>652</v>
      </c>
      <c r="S230" s="861" t="s">
        <v>649</v>
      </c>
      <c r="T230" s="861"/>
      <c r="U230" s="861"/>
      <c r="V230" s="861" t="s">
        <v>36</v>
      </c>
      <c r="W230" s="861" t="s">
        <v>640</v>
      </c>
      <c r="X230" s="863">
        <v>42186</v>
      </c>
      <c r="Y230" s="863">
        <v>42520</v>
      </c>
      <c r="Z230" s="864">
        <v>2016</v>
      </c>
      <c r="AA230" s="861" t="s">
        <v>676</v>
      </c>
      <c r="AB230" s="861" t="s">
        <v>675</v>
      </c>
      <c r="AC230" s="861" t="s">
        <v>663</v>
      </c>
      <c r="AD230" s="865"/>
      <c r="AE230" s="865"/>
      <c r="AF230" s="865"/>
      <c r="AG230" s="865"/>
      <c r="AH230" s="865"/>
      <c r="AI230" s="865"/>
      <c r="AJ230" s="865"/>
      <c r="AK230" s="865"/>
      <c r="AL230" s="865"/>
      <c r="AM230" s="865"/>
      <c r="AN230" s="865"/>
      <c r="AO230" s="865"/>
      <c r="AP230" s="865"/>
      <c r="AQ230" s="865"/>
      <c r="AR230" s="865"/>
      <c r="AS230" s="865"/>
      <c r="AT230" s="865"/>
      <c r="AU230" s="865"/>
      <c r="AV230" s="865">
        <v>6299.9999999999973</v>
      </c>
      <c r="AW230" s="865"/>
      <c r="AX230" s="865"/>
      <c r="AY230" s="865">
        <v>92399.999999999971</v>
      </c>
      <c r="AZ230" s="865"/>
      <c r="BA230" s="865"/>
      <c r="BB230" s="865"/>
      <c r="BC230" s="865">
        <v>1049.9999999999995</v>
      </c>
      <c r="BD230" s="865">
        <v>0</v>
      </c>
      <c r="BE230" s="865"/>
      <c r="BF230" s="865"/>
      <c r="BG230" s="865"/>
      <c r="BH230" s="865">
        <v>17987.950773017979</v>
      </c>
      <c r="BI230" s="865"/>
      <c r="BJ230" s="865"/>
      <c r="BK230" s="865"/>
      <c r="BL230" s="865"/>
      <c r="BM230" s="865"/>
      <c r="BN230" s="865"/>
      <c r="BO230" s="865"/>
      <c r="BP230" s="865"/>
      <c r="BQ230" s="865"/>
      <c r="BR230" s="865"/>
      <c r="BS230" s="865">
        <v>117737.95077301795</v>
      </c>
      <c r="BT230" s="412">
        <f t="shared" si="9"/>
        <v>98699.999999999971</v>
      </c>
      <c r="BU230" s="413">
        <v>6.3829787234042548E-2</v>
      </c>
      <c r="BV230" s="413">
        <v>0</v>
      </c>
      <c r="BW230" s="413">
        <v>0</v>
      </c>
      <c r="BX230" s="413">
        <v>0</v>
      </c>
      <c r="BY230" s="413">
        <v>0</v>
      </c>
      <c r="BZ230" s="413">
        <v>0</v>
      </c>
      <c r="CA230" s="413">
        <v>0</v>
      </c>
      <c r="CB230" s="413">
        <v>0.93617021276595747</v>
      </c>
      <c r="CC230" s="413">
        <v>0</v>
      </c>
      <c r="CD230" s="413">
        <v>0</v>
      </c>
      <c r="CE230" s="413">
        <v>0</v>
      </c>
      <c r="CF230" s="413">
        <v>0</v>
      </c>
      <c r="CG230" s="413">
        <v>0</v>
      </c>
      <c r="CH230" s="413">
        <v>0</v>
      </c>
      <c r="CI230" s="413">
        <v>0</v>
      </c>
      <c r="CJ230" s="413">
        <v>0</v>
      </c>
      <c r="CK230" s="413">
        <v>0</v>
      </c>
      <c r="CL230" s="413">
        <v>0</v>
      </c>
      <c r="CM230" s="413">
        <v>0</v>
      </c>
      <c r="CN230" s="413">
        <v>0</v>
      </c>
      <c r="CO230" s="414">
        <f t="shared" si="8"/>
        <v>1</v>
      </c>
    </row>
    <row r="231" spans="1:93" s="415" customFormat="1" ht="38.25" x14ac:dyDescent="0.25">
      <c r="A231" s="881" t="s">
        <v>285</v>
      </c>
      <c r="B231" s="862" t="s">
        <v>1954</v>
      </c>
      <c r="C231" s="861" t="s">
        <v>862</v>
      </c>
      <c r="D231" s="862"/>
      <c r="E231" s="861" t="s">
        <v>779</v>
      </c>
      <c r="F231" s="862"/>
      <c r="G231" s="861" t="s">
        <v>648</v>
      </c>
      <c r="H231" s="861" t="s">
        <v>654</v>
      </c>
      <c r="I231" s="861" t="s">
        <v>647</v>
      </c>
      <c r="J231" s="861" t="s">
        <v>671</v>
      </c>
      <c r="K231" s="861" t="s">
        <v>649</v>
      </c>
      <c r="L231" s="861" t="s">
        <v>36</v>
      </c>
      <c r="M231" s="861" t="s">
        <v>646</v>
      </c>
      <c r="N231" s="861" t="s">
        <v>680</v>
      </c>
      <c r="O231" s="861"/>
      <c r="P231" s="861" t="s">
        <v>643</v>
      </c>
      <c r="Q231" s="861" t="s">
        <v>650</v>
      </c>
      <c r="R231" s="861" t="s">
        <v>652</v>
      </c>
      <c r="S231" s="861" t="s">
        <v>649</v>
      </c>
      <c r="T231" s="861"/>
      <c r="U231" s="861"/>
      <c r="V231" s="861" t="s">
        <v>36</v>
      </c>
      <c r="W231" s="861" t="s">
        <v>640</v>
      </c>
      <c r="X231" s="863">
        <v>42552</v>
      </c>
      <c r="Y231" s="863">
        <v>42885</v>
      </c>
      <c r="Z231" s="864">
        <v>2016</v>
      </c>
      <c r="AA231" s="861" t="s">
        <v>676</v>
      </c>
      <c r="AB231" s="861" t="s">
        <v>675</v>
      </c>
      <c r="AC231" s="861" t="s">
        <v>663</v>
      </c>
      <c r="AD231" s="865"/>
      <c r="AE231" s="865"/>
      <c r="AF231" s="865"/>
      <c r="AG231" s="865"/>
      <c r="AH231" s="865"/>
      <c r="AI231" s="865"/>
      <c r="AJ231" s="865"/>
      <c r="AK231" s="865"/>
      <c r="AL231" s="865"/>
      <c r="AM231" s="865"/>
      <c r="AN231" s="865"/>
      <c r="AO231" s="865"/>
      <c r="AP231" s="865"/>
      <c r="AQ231" s="865"/>
      <c r="AR231" s="865"/>
      <c r="AS231" s="865"/>
      <c r="AT231" s="865"/>
      <c r="AU231" s="865"/>
      <c r="AV231" s="865"/>
      <c r="AW231" s="865"/>
      <c r="AX231" s="865"/>
      <c r="AY231" s="865"/>
      <c r="AZ231" s="865"/>
      <c r="BA231" s="865">
        <v>117119.99999999997</v>
      </c>
      <c r="BB231" s="865"/>
      <c r="BC231" s="865"/>
      <c r="BD231" s="865"/>
      <c r="BE231" s="865"/>
      <c r="BF231" s="865"/>
      <c r="BG231" s="865"/>
      <c r="BH231" s="865">
        <v>16828.195195658402</v>
      </c>
      <c r="BI231" s="865"/>
      <c r="BJ231" s="865"/>
      <c r="BK231" s="865"/>
      <c r="BL231" s="865"/>
      <c r="BM231" s="865"/>
      <c r="BN231" s="865"/>
      <c r="BO231" s="865"/>
      <c r="BP231" s="865"/>
      <c r="BQ231" s="865"/>
      <c r="BR231" s="865"/>
      <c r="BS231" s="865">
        <v>133948.19519565837</v>
      </c>
      <c r="BT231" s="412">
        <f t="shared" si="9"/>
        <v>117119.99999999997</v>
      </c>
      <c r="BU231" s="413">
        <v>0</v>
      </c>
      <c r="BV231" s="413">
        <v>0</v>
      </c>
      <c r="BW231" s="413">
        <v>0</v>
      </c>
      <c r="BX231" s="413">
        <v>0</v>
      </c>
      <c r="BY231" s="413">
        <v>0</v>
      </c>
      <c r="BZ231" s="413">
        <v>0</v>
      </c>
      <c r="CA231" s="413">
        <v>0</v>
      </c>
      <c r="CB231" s="413">
        <v>1</v>
      </c>
      <c r="CC231" s="413">
        <v>0</v>
      </c>
      <c r="CD231" s="413">
        <v>0</v>
      </c>
      <c r="CE231" s="413">
        <v>0</v>
      </c>
      <c r="CF231" s="413">
        <v>0</v>
      </c>
      <c r="CG231" s="413">
        <v>0</v>
      </c>
      <c r="CH231" s="413">
        <v>0</v>
      </c>
      <c r="CI231" s="413">
        <v>0</v>
      </c>
      <c r="CJ231" s="413">
        <v>0</v>
      </c>
      <c r="CK231" s="413">
        <v>0</v>
      </c>
      <c r="CL231" s="413">
        <v>0</v>
      </c>
      <c r="CM231" s="413">
        <v>0</v>
      </c>
      <c r="CN231" s="413">
        <v>0</v>
      </c>
      <c r="CO231" s="414">
        <f t="shared" si="8"/>
        <v>1</v>
      </c>
    </row>
    <row r="232" spans="1:93" s="415" customFormat="1" ht="25.5" x14ac:dyDescent="0.25">
      <c r="A232" s="881" t="s">
        <v>287</v>
      </c>
      <c r="B232" s="862" t="s">
        <v>1956</v>
      </c>
      <c r="C232" s="861" t="s">
        <v>861</v>
      </c>
      <c r="D232" s="862"/>
      <c r="E232" s="861" t="s">
        <v>692</v>
      </c>
      <c r="F232" s="862"/>
      <c r="G232" s="861"/>
      <c r="H232" s="861" t="s">
        <v>654</v>
      </c>
      <c r="I232" s="861" t="s">
        <v>647</v>
      </c>
      <c r="J232" s="861" t="s">
        <v>671</v>
      </c>
      <c r="K232" s="861" t="s">
        <v>649</v>
      </c>
      <c r="L232" s="861" t="s">
        <v>55</v>
      </c>
      <c r="M232" s="861" t="s">
        <v>646</v>
      </c>
      <c r="N232" s="861" t="s">
        <v>645</v>
      </c>
      <c r="O232" s="861"/>
      <c r="P232" s="861"/>
      <c r="Q232" s="861" t="s">
        <v>656</v>
      </c>
      <c r="R232" s="861" t="s">
        <v>652</v>
      </c>
      <c r="S232" s="861" t="s">
        <v>649</v>
      </c>
      <c r="T232" s="861"/>
      <c r="U232" s="861"/>
      <c r="V232" s="861" t="s">
        <v>683</v>
      </c>
      <c r="W232" s="861" t="s">
        <v>677</v>
      </c>
      <c r="X232" s="863">
        <v>42583</v>
      </c>
      <c r="Y232" s="863">
        <v>43334</v>
      </c>
      <c r="Z232" s="864">
        <v>2018</v>
      </c>
      <c r="AA232" s="861"/>
      <c r="AB232" s="861"/>
      <c r="AC232" s="861"/>
      <c r="AD232" s="865"/>
      <c r="AE232" s="865"/>
      <c r="AF232" s="865"/>
      <c r="AG232" s="865"/>
      <c r="AH232" s="865"/>
      <c r="AI232" s="865"/>
      <c r="AJ232" s="865"/>
      <c r="AK232" s="865"/>
      <c r="AL232" s="865"/>
      <c r="AM232" s="865"/>
      <c r="AN232" s="865"/>
      <c r="AO232" s="865"/>
      <c r="AP232" s="865"/>
      <c r="AQ232" s="865"/>
      <c r="AR232" s="865"/>
      <c r="AS232" s="865"/>
      <c r="AT232" s="865"/>
      <c r="AU232" s="865"/>
      <c r="AV232" s="865"/>
      <c r="AW232" s="865">
        <v>80000.000000000015</v>
      </c>
      <c r="AX232" s="865"/>
      <c r="AY232" s="865"/>
      <c r="AZ232" s="865"/>
      <c r="BA232" s="865"/>
      <c r="BB232" s="865"/>
      <c r="BC232" s="865"/>
      <c r="BD232" s="865"/>
      <c r="BE232" s="865"/>
      <c r="BF232" s="865"/>
      <c r="BG232" s="865"/>
      <c r="BH232" s="865">
        <v>1520000.0000000005</v>
      </c>
      <c r="BI232" s="865"/>
      <c r="BJ232" s="865"/>
      <c r="BK232" s="865"/>
      <c r="BL232" s="865"/>
      <c r="BM232" s="865"/>
      <c r="BN232" s="865"/>
      <c r="BO232" s="865"/>
      <c r="BP232" s="865"/>
      <c r="BQ232" s="865"/>
      <c r="BR232" s="865"/>
      <c r="BS232" s="865">
        <v>1600000.0000000007</v>
      </c>
      <c r="BT232" s="412">
        <f t="shared" si="9"/>
        <v>80000.000000000015</v>
      </c>
      <c r="BU232" s="413">
        <v>0</v>
      </c>
      <c r="BV232" s="413">
        <v>0</v>
      </c>
      <c r="BW232" s="413">
        <v>0</v>
      </c>
      <c r="BX232" s="413">
        <v>1</v>
      </c>
      <c r="BY232" s="413">
        <v>0</v>
      </c>
      <c r="BZ232" s="413">
        <v>0</v>
      </c>
      <c r="CA232" s="413">
        <v>0</v>
      </c>
      <c r="CB232" s="413">
        <v>0</v>
      </c>
      <c r="CC232" s="413">
        <v>0</v>
      </c>
      <c r="CD232" s="413">
        <v>0</v>
      </c>
      <c r="CE232" s="413">
        <v>0</v>
      </c>
      <c r="CF232" s="413">
        <v>0</v>
      </c>
      <c r="CG232" s="413">
        <v>0</v>
      </c>
      <c r="CH232" s="413">
        <v>0</v>
      </c>
      <c r="CI232" s="413">
        <v>0</v>
      </c>
      <c r="CJ232" s="413">
        <v>0</v>
      </c>
      <c r="CK232" s="413">
        <v>0</v>
      </c>
      <c r="CL232" s="413">
        <v>0</v>
      </c>
      <c r="CM232" s="413">
        <v>0</v>
      </c>
      <c r="CN232" s="413">
        <v>0</v>
      </c>
      <c r="CO232" s="414">
        <f t="shared" si="8"/>
        <v>1</v>
      </c>
    </row>
    <row r="233" spans="1:93" s="415" customFormat="1" ht="25.5" customHeight="1" x14ac:dyDescent="0.25">
      <c r="A233" s="881" t="s">
        <v>289</v>
      </c>
      <c r="B233" s="862" t="s">
        <v>1958</v>
      </c>
      <c r="C233" s="861" t="s">
        <v>860</v>
      </c>
      <c r="D233" s="862"/>
      <c r="E233" s="861"/>
      <c r="F233" s="862"/>
      <c r="G233" s="861"/>
      <c r="H233" s="861" t="s">
        <v>654</v>
      </c>
      <c r="I233" s="861" t="s">
        <v>647</v>
      </c>
      <c r="J233" s="861" t="s">
        <v>641</v>
      </c>
      <c r="K233" s="861" t="s">
        <v>649</v>
      </c>
      <c r="L233" s="861" t="s">
        <v>40</v>
      </c>
      <c r="M233" s="861" t="s">
        <v>646</v>
      </c>
      <c r="N233" s="861" t="s">
        <v>645</v>
      </c>
      <c r="O233" s="861"/>
      <c r="P233" s="861"/>
      <c r="Q233" s="861" t="s">
        <v>642</v>
      </c>
      <c r="R233" s="861" t="s">
        <v>652</v>
      </c>
      <c r="S233" s="861" t="s">
        <v>649</v>
      </c>
      <c r="T233" s="861"/>
      <c r="U233" s="861"/>
      <c r="V233" s="861" t="s">
        <v>641</v>
      </c>
      <c r="W233" s="861" t="s">
        <v>684</v>
      </c>
      <c r="X233" s="863">
        <v>42614</v>
      </c>
      <c r="Y233" s="863">
        <v>43640</v>
      </c>
      <c r="Z233" s="864">
        <v>2019</v>
      </c>
      <c r="AA233" s="861"/>
      <c r="AB233" s="861"/>
      <c r="AC233" s="861"/>
      <c r="AD233" s="865"/>
      <c r="AE233" s="865"/>
      <c r="AF233" s="865"/>
      <c r="AG233" s="865">
        <v>240825.00000000003</v>
      </c>
      <c r="AH233" s="865"/>
      <c r="AI233" s="865">
        <v>144017.99999826751</v>
      </c>
      <c r="AJ233" s="865"/>
      <c r="AK233" s="865"/>
      <c r="AL233" s="865">
        <v>5321490.3999901451</v>
      </c>
      <c r="AM233" s="865"/>
      <c r="AN233" s="865"/>
      <c r="AO233" s="865">
        <v>0</v>
      </c>
      <c r="AP233" s="865"/>
      <c r="AQ233" s="865"/>
      <c r="AR233" s="865"/>
      <c r="AS233" s="865"/>
      <c r="AT233" s="865"/>
      <c r="AU233" s="865"/>
      <c r="AV233" s="865"/>
      <c r="AW233" s="865"/>
      <c r="AX233" s="865"/>
      <c r="AY233" s="865"/>
      <c r="AZ233" s="865"/>
      <c r="BA233" s="865"/>
      <c r="BB233" s="865"/>
      <c r="BC233" s="865">
        <v>1761462.1999982621</v>
      </c>
      <c r="BD233" s="865">
        <v>633904.79999884125</v>
      </c>
      <c r="BE233" s="865">
        <v>1069714.3499980445</v>
      </c>
      <c r="BF233" s="865">
        <v>24850.140562454795</v>
      </c>
      <c r="BG233" s="865">
        <v>0</v>
      </c>
      <c r="BH233" s="865">
        <v>2744136.6892735059</v>
      </c>
      <c r="BI233" s="865"/>
      <c r="BJ233" s="865"/>
      <c r="BK233" s="865"/>
      <c r="BL233" s="865"/>
      <c r="BM233" s="865"/>
      <c r="BN233" s="865"/>
      <c r="BO233" s="865"/>
      <c r="BP233" s="865"/>
      <c r="BQ233" s="865"/>
      <c r="BR233" s="865"/>
      <c r="BS233" s="865">
        <v>11940401.579819525</v>
      </c>
      <c r="BT233" s="412">
        <f t="shared" si="9"/>
        <v>5706333.3999884129</v>
      </c>
      <c r="BU233" s="413">
        <v>0</v>
      </c>
      <c r="BV233" s="413">
        <v>0</v>
      </c>
      <c r="BW233" s="413">
        <v>0</v>
      </c>
      <c r="BX233" s="413">
        <v>0</v>
      </c>
      <c r="BY233" s="413">
        <v>0</v>
      </c>
      <c r="BZ233" s="413">
        <v>0</v>
      </c>
      <c r="CA233" s="413">
        <v>0</v>
      </c>
      <c r="CB233" s="413">
        <v>0</v>
      </c>
      <c r="CC233" s="413">
        <v>0</v>
      </c>
      <c r="CD233" s="413">
        <v>4.2203107165187555E-2</v>
      </c>
      <c r="CE233" s="413">
        <v>0</v>
      </c>
      <c r="CF233" s="413">
        <v>2.5238272968515992E-2</v>
      </c>
      <c r="CG233" s="413">
        <v>0</v>
      </c>
      <c r="CH233" s="413">
        <v>0</v>
      </c>
      <c r="CI233" s="413">
        <v>0.9325586198662964</v>
      </c>
      <c r="CJ233" s="413">
        <v>0</v>
      </c>
      <c r="CK233" s="413">
        <v>0</v>
      </c>
      <c r="CL233" s="413">
        <v>0</v>
      </c>
      <c r="CM233" s="413">
        <v>0</v>
      </c>
      <c r="CN233" s="413">
        <v>0</v>
      </c>
      <c r="CO233" s="414">
        <f t="shared" si="8"/>
        <v>1</v>
      </c>
    </row>
    <row r="234" spans="1:93" s="415" customFormat="1" ht="38.25" x14ac:dyDescent="0.25">
      <c r="A234" s="881" t="s">
        <v>291</v>
      </c>
      <c r="B234" s="862" t="s">
        <v>1960</v>
      </c>
      <c r="C234" s="861" t="s">
        <v>859</v>
      </c>
      <c r="D234" s="862"/>
      <c r="E234" s="861" t="s">
        <v>779</v>
      </c>
      <c r="F234" s="862"/>
      <c r="G234" s="861"/>
      <c r="H234" s="861" t="s">
        <v>654</v>
      </c>
      <c r="I234" s="861" t="s">
        <v>647</v>
      </c>
      <c r="J234" s="861" t="s">
        <v>641</v>
      </c>
      <c r="K234" s="861" t="s">
        <v>649</v>
      </c>
      <c r="L234" s="861" t="s">
        <v>54</v>
      </c>
      <c r="M234" s="861" t="s">
        <v>646</v>
      </c>
      <c r="N234" s="861" t="s">
        <v>699</v>
      </c>
      <c r="O234" s="861"/>
      <c r="P234" s="861"/>
      <c r="Q234" s="861" t="s">
        <v>656</v>
      </c>
      <c r="R234" s="861" t="s">
        <v>652</v>
      </c>
      <c r="S234" s="861"/>
      <c r="T234" s="861"/>
      <c r="U234" s="861"/>
      <c r="V234" s="861" t="s">
        <v>641</v>
      </c>
      <c r="W234" s="861" t="s">
        <v>677</v>
      </c>
      <c r="X234" s="863">
        <v>41883</v>
      </c>
      <c r="Y234" s="863">
        <v>43164</v>
      </c>
      <c r="Z234" s="864">
        <v>2018</v>
      </c>
      <c r="AA234" s="861" t="s">
        <v>663</v>
      </c>
      <c r="AB234" s="861" t="s">
        <v>675</v>
      </c>
      <c r="AC234" s="861" t="s">
        <v>663</v>
      </c>
      <c r="AD234" s="865"/>
      <c r="AE234" s="865"/>
      <c r="AF234" s="865"/>
      <c r="AG234" s="865"/>
      <c r="AH234" s="865"/>
      <c r="AI234" s="865"/>
      <c r="AJ234" s="865"/>
      <c r="AK234" s="865"/>
      <c r="AL234" s="865"/>
      <c r="AM234" s="865"/>
      <c r="AN234" s="865"/>
      <c r="AO234" s="873">
        <v>0</v>
      </c>
      <c r="AP234" s="865"/>
      <c r="AQ234" s="865"/>
      <c r="AR234" s="865"/>
      <c r="AS234" s="865"/>
      <c r="AT234" s="865"/>
      <c r="AU234" s="865"/>
      <c r="AV234" s="865"/>
      <c r="AW234" s="865"/>
      <c r="AX234" s="873">
        <v>4747884.8124000002</v>
      </c>
      <c r="AY234" s="865"/>
      <c r="AZ234" s="865"/>
      <c r="BA234" s="865"/>
      <c r="BB234" s="865"/>
      <c r="BC234" s="865"/>
      <c r="BD234" s="865"/>
      <c r="BE234" s="865"/>
      <c r="BF234" s="865"/>
      <c r="BG234" s="865"/>
      <c r="BH234" s="865"/>
      <c r="BI234" s="865"/>
      <c r="BJ234" s="865"/>
      <c r="BK234" s="865"/>
      <c r="BL234" s="865"/>
      <c r="BM234" s="865"/>
      <c r="BN234" s="865"/>
      <c r="BO234" s="865"/>
      <c r="BP234" s="865"/>
      <c r="BQ234" s="865"/>
      <c r="BR234" s="865"/>
      <c r="BS234" s="865">
        <v>4747884.8124000011</v>
      </c>
      <c r="BT234" s="412">
        <f t="shared" si="9"/>
        <v>4747884.8124000002</v>
      </c>
      <c r="BU234" s="413">
        <v>0</v>
      </c>
      <c r="BV234" s="413">
        <v>0</v>
      </c>
      <c r="BW234" s="413">
        <v>0</v>
      </c>
      <c r="BX234" s="413">
        <v>1</v>
      </c>
      <c r="BY234" s="413">
        <v>0</v>
      </c>
      <c r="BZ234" s="413">
        <v>0</v>
      </c>
      <c r="CA234" s="413">
        <v>0</v>
      </c>
      <c r="CB234" s="413">
        <v>0</v>
      </c>
      <c r="CC234" s="413">
        <v>0</v>
      </c>
      <c r="CD234" s="413">
        <v>0</v>
      </c>
      <c r="CE234" s="413">
        <v>0</v>
      </c>
      <c r="CF234" s="413">
        <v>0</v>
      </c>
      <c r="CG234" s="413">
        <v>0</v>
      </c>
      <c r="CH234" s="413">
        <v>0</v>
      </c>
      <c r="CI234" s="413">
        <v>0</v>
      </c>
      <c r="CJ234" s="413">
        <v>0</v>
      </c>
      <c r="CK234" s="413">
        <v>0</v>
      </c>
      <c r="CL234" s="413">
        <v>0</v>
      </c>
      <c r="CM234" s="413">
        <v>0</v>
      </c>
      <c r="CN234" s="413">
        <v>0</v>
      </c>
      <c r="CO234" s="414">
        <f t="shared" si="8"/>
        <v>1</v>
      </c>
    </row>
    <row r="235" spans="1:93" s="415" customFormat="1" ht="25.5" x14ac:dyDescent="0.25">
      <c r="A235" s="881" t="s">
        <v>295</v>
      </c>
      <c r="B235" s="862" t="s">
        <v>1963</v>
      </c>
      <c r="C235" s="861" t="s">
        <v>858</v>
      </c>
      <c r="D235" s="862"/>
      <c r="E235" s="861" t="s">
        <v>856</v>
      </c>
      <c r="F235" s="862"/>
      <c r="G235" s="861" t="s">
        <v>722</v>
      </c>
      <c r="H235" s="861" t="s">
        <v>654</v>
      </c>
      <c r="I235" s="861" t="s">
        <v>647</v>
      </c>
      <c r="J235" s="861" t="s">
        <v>671</v>
      </c>
      <c r="K235" s="861" t="s">
        <v>649</v>
      </c>
      <c r="L235" s="861" t="s">
        <v>855</v>
      </c>
      <c r="M235" s="861" t="s">
        <v>646</v>
      </c>
      <c r="N235" s="861" t="s">
        <v>680</v>
      </c>
      <c r="O235" s="861" t="s">
        <v>786</v>
      </c>
      <c r="P235" s="861" t="s">
        <v>643</v>
      </c>
      <c r="Q235" s="861" t="s">
        <v>642</v>
      </c>
      <c r="R235" s="861" t="s">
        <v>652</v>
      </c>
      <c r="S235" s="861" t="s">
        <v>649</v>
      </c>
      <c r="T235" s="861"/>
      <c r="U235" s="861"/>
      <c r="V235" s="861" t="s">
        <v>854</v>
      </c>
      <c r="W235" s="861" t="s">
        <v>684</v>
      </c>
      <c r="X235" s="863">
        <v>41487</v>
      </c>
      <c r="Y235" s="863">
        <v>42849</v>
      </c>
      <c r="Z235" s="864">
        <v>2017</v>
      </c>
      <c r="AA235" s="861" t="s">
        <v>649</v>
      </c>
      <c r="AB235" s="861" t="s">
        <v>854</v>
      </c>
      <c r="AC235" s="861" t="s">
        <v>663</v>
      </c>
      <c r="AD235" s="865"/>
      <c r="AE235" s="865"/>
      <c r="AF235" s="865"/>
      <c r="AG235" s="865"/>
      <c r="AH235" s="865"/>
      <c r="AI235" s="865"/>
      <c r="AJ235" s="865"/>
      <c r="AK235" s="865"/>
      <c r="AL235" s="865"/>
      <c r="AM235" s="865"/>
      <c r="AN235" s="865">
        <v>184500</v>
      </c>
      <c r="AO235" s="865"/>
      <c r="AP235" s="865"/>
      <c r="AQ235" s="865"/>
      <c r="AR235" s="865"/>
      <c r="AS235" s="865"/>
      <c r="AT235" s="865"/>
      <c r="AU235" s="865">
        <v>6840351</v>
      </c>
      <c r="AV235" s="865"/>
      <c r="AW235" s="865"/>
      <c r="AX235" s="865"/>
      <c r="AY235" s="865"/>
      <c r="AZ235" s="865"/>
      <c r="BA235" s="865"/>
      <c r="BB235" s="865"/>
      <c r="BC235" s="865"/>
      <c r="BD235" s="865"/>
      <c r="BE235" s="865"/>
      <c r="BF235" s="865"/>
      <c r="BG235" s="865"/>
      <c r="BH235" s="865">
        <v>264311</v>
      </c>
      <c r="BI235" s="865">
        <v>16246.000000000002</v>
      </c>
      <c r="BJ235" s="865"/>
      <c r="BK235" s="865"/>
      <c r="BL235" s="865">
        <v>550866</v>
      </c>
      <c r="BM235" s="865"/>
      <c r="BN235" s="865"/>
      <c r="BO235" s="865">
        <v>838800</v>
      </c>
      <c r="BP235" s="865"/>
      <c r="BQ235" s="865"/>
      <c r="BR235" s="865">
        <v>345000</v>
      </c>
      <c r="BS235" s="865">
        <v>9040074</v>
      </c>
      <c r="BT235" s="412">
        <f t="shared" si="9"/>
        <v>7024851</v>
      </c>
      <c r="BU235" s="413">
        <v>0</v>
      </c>
      <c r="BV235" s="413">
        <v>0</v>
      </c>
      <c r="BW235" s="413">
        <v>0</v>
      </c>
      <c r="BX235" s="413">
        <v>0</v>
      </c>
      <c r="BY235" s="413">
        <v>0.97373609774783831</v>
      </c>
      <c r="BZ235" s="413">
        <v>0</v>
      </c>
      <c r="CA235" s="413">
        <v>0</v>
      </c>
      <c r="CB235" s="413">
        <v>0</v>
      </c>
      <c r="CC235" s="413">
        <v>0</v>
      </c>
      <c r="CD235" s="413">
        <v>0</v>
      </c>
      <c r="CE235" s="413">
        <v>0</v>
      </c>
      <c r="CF235" s="413">
        <v>0</v>
      </c>
      <c r="CG235" s="413">
        <v>0</v>
      </c>
      <c r="CH235" s="413">
        <v>0</v>
      </c>
      <c r="CI235" s="413">
        <v>0</v>
      </c>
      <c r="CJ235" s="413">
        <v>0</v>
      </c>
      <c r="CK235" s="413">
        <v>2.6263902252161648E-2</v>
      </c>
      <c r="CL235" s="413">
        <v>0</v>
      </c>
      <c r="CM235" s="413">
        <v>0</v>
      </c>
      <c r="CN235" s="413">
        <v>0</v>
      </c>
      <c r="CO235" s="414">
        <f t="shared" si="8"/>
        <v>1</v>
      </c>
    </row>
    <row r="236" spans="1:93" s="415" customFormat="1" ht="25.5" x14ac:dyDescent="0.25">
      <c r="A236" s="881" t="s">
        <v>297</v>
      </c>
      <c r="B236" s="862" t="s">
        <v>1965</v>
      </c>
      <c r="C236" s="861" t="s">
        <v>857</v>
      </c>
      <c r="D236" s="862"/>
      <c r="E236" s="861" t="s">
        <v>856</v>
      </c>
      <c r="F236" s="862"/>
      <c r="G236" s="861" t="s">
        <v>722</v>
      </c>
      <c r="H236" s="861" t="s">
        <v>654</v>
      </c>
      <c r="I236" s="861" t="s">
        <v>647</v>
      </c>
      <c r="J236" s="861" t="s">
        <v>671</v>
      </c>
      <c r="K236" s="861" t="s">
        <v>649</v>
      </c>
      <c r="L236" s="861" t="s">
        <v>855</v>
      </c>
      <c r="M236" s="861" t="s">
        <v>646</v>
      </c>
      <c r="N236" s="861" t="s">
        <v>668</v>
      </c>
      <c r="O236" s="861"/>
      <c r="P236" s="861"/>
      <c r="Q236" s="861" t="s">
        <v>642</v>
      </c>
      <c r="R236" s="861" t="s">
        <v>652</v>
      </c>
      <c r="S236" s="861" t="s">
        <v>649</v>
      </c>
      <c r="T236" s="861"/>
      <c r="U236" s="861"/>
      <c r="V236" s="861" t="s">
        <v>854</v>
      </c>
      <c r="W236" s="861" t="s">
        <v>684</v>
      </c>
      <c r="X236" s="863">
        <v>41487</v>
      </c>
      <c r="Y236" s="863">
        <v>42849</v>
      </c>
      <c r="Z236" s="864">
        <v>2017</v>
      </c>
      <c r="AA236" s="861"/>
      <c r="AB236" s="861" t="s">
        <v>854</v>
      </c>
      <c r="AC236" s="861" t="s">
        <v>663</v>
      </c>
      <c r="AD236" s="865"/>
      <c r="AE236" s="865"/>
      <c r="AF236" s="865"/>
      <c r="AG236" s="865"/>
      <c r="AH236" s="865"/>
      <c r="AI236" s="865"/>
      <c r="AJ236" s="865"/>
      <c r="AK236" s="865"/>
      <c r="AL236" s="865"/>
      <c r="AM236" s="865"/>
      <c r="AN236" s="865"/>
      <c r="AO236" s="865"/>
      <c r="AP236" s="865"/>
      <c r="AQ236" s="865"/>
      <c r="AR236" s="865"/>
      <c r="AS236" s="865"/>
      <c r="AT236" s="865">
        <v>1187341.2499999998</v>
      </c>
      <c r="AU236" s="865">
        <v>4841948</v>
      </c>
      <c r="AV236" s="865"/>
      <c r="AW236" s="865"/>
      <c r="AX236" s="865"/>
      <c r="AY236" s="865"/>
      <c r="AZ236" s="865"/>
      <c r="BA236" s="865"/>
      <c r="BB236" s="865"/>
      <c r="BC236" s="865"/>
      <c r="BD236" s="865"/>
      <c r="BE236" s="865"/>
      <c r="BF236" s="865"/>
      <c r="BG236" s="865"/>
      <c r="BH236" s="865"/>
      <c r="BI236" s="865"/>
      <c r="BJ236" s="865"/>
      <c r="BK236" s="865"/>
      <c r="BL236" s="865"/>
      <c r="BM236" s="865"/>
      <c r="BN236" s="865"/>
      <c r="BO236" s="865"/>
      <c r="BP236" s="865"/>
      <c r="BQ236" s="865"/>
      <c r="BR236" s="865"/>
      <c r="BS236" s="865">
        <v>6029289.2499999991</v>
      </c>
      <c r="BT236" s="412">
        <f t="shared" si="9"/>
        <v>6029289.25</v>
      </c>
      <c r="BU236" s="413">
        <v>0</v>
      </c>
      <c r="BV236" s="413">
        <v>0</v>
      </c>
      <c r="BW236" s="413">
        <v>0</v>
      </c>
      <c r="BX236" s="413">
        <v>0</v>
      </c>
      <c r="BY236" s="413">
        <v>0.80307110825708017</v>
      </c>
      <c r="BZ236" s="413">
        <v>0.19692889174291975</v>
      </c>
      <c r="CA236" s="413">
        <v>0</v>
      </c>
      <c r="CB236" s="413">
        <v>0</v>
      </c>
      <c r="CC236" s="413">
        <v>0</v>
      </c>
      <c r="CD236" s="413">
        <v>0</v>
      </c>
      <c r="CE236" s="413">
        <v>0</v>
      </c>
      <c r="CF236" s="413">
        <v>0</v>
      </c>
      <c r="CG236" s="413">
        <v>0</v>
      </c>
      <c r="CH236" s="413">
        <v>0</v>
      </c>
      <c r="CI236" s="413">
        <v>0</v>
      </c>
      <c r="CJ236" s="413">
        <v>0</v>
      </c>
      <c r="CK236" s="413">
        <v>0</v>
      </c>
      <c r="CL236" s="413">
        <v>0</v>
      </c>
      <c r="CM236" s="413">
        <v>0</v>
      </c>
      <c r="CN236" s="413">
        <v>0</v>
      </c>
      <c r="CO236" s="414">
        <f t="shared" si="8"/>
        <v>0.99999999999999989</v>
      </c>
    </row>
    <row r="237" spans="1:93" s="415" customFormat="1" ht="25.5" x14ac:dyDescent="0.25">
      <c r="A237" s="881" t="s">
        <v>299</v>
      </c>
      <c r="B237" s="862" t="s">
        <v>2833</v>
      </c>
      <c r="C237" s="861" t="s">
        <v>853</v>
      </c>
      <c r="D237" s="862"/>
      <c r="E237" s="861" t="s">
        <v>692</v>
      </c>
      <c r="F237" s="862"/>
      <c r="G237" s="861"/>
      <c r="H237" s="861" t="s">
        <v>654</v>
      </c>
      <c r="I237" s="861" t="s">
        <v>647</v>
      </c>
      <c r="J237" s="861" t="s">
        <v>671</v>
      </c>
      <c r="K237" s="861" t="s">
        <v>649</v>
      </c>
      <c r="L237" s="861" t="s">
        <v>55</v>
      </c>
      <c r="M237" s="861" t="s">
        <v>646</v>
      </c>
      <c r="N237" s="861" t="s">
        <v>645</v>
      </c>
      <c r="O237" s="861"/>
      <c r="P237" s="861"/>
      <c r="Q237" s="861" t="s">
        <v>656</v>
      </c>
      <c r="R237" s="861" t="s">
        <v>652</v>
      </c>
      <c r="S237" s="861" t="s">
        <v>649</v>
      </c>
      <c r="T237" s="861"/>
      <c r="U237" s="861"/>
      <c r="V237" s="861" t="s">
        <v>683</v>
      </c>
      <c r="W237" s="861"/>
      <c r="X237" s="863">
        <v>42401</v>
      </c>
      <c r="Y237" s="863">
        <v>43234</v>
      </c>
      <c r="Z237" s="864">
        <v>2018</v>
      </c>
      <c r="AA237" s="861"/>
      <c r="AB237" s="861"/>
      <c r="AC237" s="861"/>
      <c r="AD237" s="865"/>
      <c r="AE237" s="865"/>
      <c r="AF237" s="865"/>
      <c r="AG237" s="865"/>
      <c r="AH237" s="865"/>
      <c r="AI237" s="865"/>
      <c r="AJ237" s="865"/>
      <c r="AK237" s="865"/>
      <c r="AL237" s="865"/>
      <c r="AM237" s="865"/>
      <c r="AN237" s="865"/>
      <c r="AO237" s="865"/>
      <c r="AP237" s="865"/>
      <c r="AQ237" s="865"/>
      <c r="AR237" s="865"/>
      <c r="AS237" s="865"/>
      <c r="AT237" s="865"/>
      <c r="AU237" s="865"/>
      <c r="AV237" s="865"/>
      <c r="AW237" s="865">
        <v>239970.00000000015</v>
      </c>
      <c r="AX237" s="865"/>
      <c r="AY237" s="865"/>
      <c r="AZ237" s="865"/>
      <c r="BA237" s="865"/>
      <c r="BB237" s="865"/>
      <c r="BC237" s="865"/>
      <c r="BD237" s="865"/>
      <c r="BE237" s="865"/>
      <c r="BF237" s="865"/>
      <c r="BG237" s="865"/>
      <c r="BH237" s="865">
        <v>1023030.0000000016</v>
      </c>
      <c r="BI237" s="865"/>
      <c r="BJ237" s="865"/>
      <c r="BK237" s="865"/>
      <c r="BL237" s="865"/>
      <c r="BM237" s="865"/>
      <c r="BN237" s="865"/>
      <c r="BO237" s="865"/>
      <c r="BP237" s="865"/>
      <c r="BQ237" s="865"/>
      <c r="BR237" s="865"/>
      <c r="BS237" s="865">
        <v>1263000.0000000016</v>
      </c>
      <c r="BT237" s="412">
        <f t="shared" si="9"/>
        <v>239970.00000000015</v>
      </c>
      <c r="BU237" s="413">
        <v>0</v>
      </c>
      <c r="BV237" s="413">
        <v>0</v>
      </c>
      <c r="BW237" s="413">
        <v>0</v>
      </c>
      <c r="BX237" s="413">
        <v>1</v>
      </c>
      <c r="BY237" s="413">
        <v>0</v>
      </c>
      <c r="BZ237" s="413">
        <v>0</v>
      </c>
      <c r="CA237" s="413">
        <v>0</v>
      </c>
      <c r="CB237" s="413">
        <v>0</v>
      </c>
      <c r="CC237" s="413">
        <v>0</v>
      </c>
      <c r="CD237" s="413">
        <v>0</v>
      </c>
      <c r="CE237" s="413">
        <v>0</v>
      </c>
      <c r="CF237" s="413">
        <v>0</v>
      </c>
      <c r="CG237" s="413">
        <v>0</v>
      </c>
      <c r="CH237" s="413">
        <v>0</v>
      </c>
      <c r="CI237" s="413">
        <v>0</v>
      </c>
      <c r="CJ237" s="413">
        <v>0</v>
      </c>
      <c r="CK237" s="413">
        <v>0</v>
      </c>
      <c r="CL237" s="413">
        <v>0</v>
      </c>
      <c r="CM237" s="413">
        <v>0</v>
      </c>
      <c r="CN237" s="413">
        <v>0</v>
      </c>
      <c r="CO237" s="414">
        <f t="shared" si="8"/>
        <v>1</v>
      </c>
    </row>
    <row r="238" spans="1:93" s="415" customFormat="1" ht="25.5" x14ac:dyDescent="0.25">
      <c r="A238" s="881" t="s">
        <v>300</v>
      </c>
      <c r="B238" s="862" t="s">
        <v>1628</v>
      </c>
      <c r="C238" s="861" t="s">
        <v>852</v>
      </c>
      <c r="D238" s="862"/>
      <c r="E238" s="861"/>
      <c r="F238" s="862"/>
      <c r="G238" s="861" t="s">
        <v>686</v>
      </c>
      <c r="H238" s="861" t="s">
        <v>654</v>
      </c>
      <c r="I238" s="861" t="s">
        <v>647</v>
      </c>
      <c r="J238" s="861" t="s">
        <v>641</v>
      </c>
      <c r="K238" s="861" t="s">
        <v>649</v>
      </c>
      <c r="L238" s="861" t="s">
        <v>41</v>
      </c>
      <c r="M238" s="861" t="s">
        <v>646</v>
      </c>
      <c r="N238" s="861" t="s">
        <v>680</v>
      </c>
      <c r="O238" s="861" t="s">
        <v>786</v>
      </c>
      <c r="P238" s="861" t="s">
        <v>643</v>
      </c>
      <c r="Q238" s="861" t="s">
        <v>656</v>
      </c>
      <c r="R238" s="861" t="s">
        <v>652</v>
      </c>
      <c r="S238" s="861" t="s">
        <v>649</v>
      </c>
      <c r="T238" s="861"/>
      <c r="U238" s="861"/>
      <c r="V238" s="861" t="s">
        <v>641</v>
      </c>
      <c r="W238" s="861" t="s">
        <v>684</v>
      </c>
      <c r="X238" s="863">
        <v>41426</v>
      </c>
      <c r="Y238" s="863">
        <v>43311</v>
      </c>
      <c r="Z238" s="864">
        <v>2018</v>
      </c>
      <c r="AA238" s="861" t="s">
        <v>649</v>
      </c>
      <c r="AB238" s="861" t="s">
        <v>697</v>
      </c>
      <c r="AC238" s="861" t="s">
        <v>649</v>
      </c>
      <c r="AD238" s="865"/>
      <c r="AE238" s="865">
        <v>159999.99999440028</v>
      </c>
      <c r="AF238" s="865"/>
      <c r="AG238" s="865">
        <v>691640.01989712263</v>
      </c>
      <c r="AH238" s="865"/>
      <c r="AI238" s="865">
        <v>538690.47128061194</v>
      </c>
      <c r="AJ238" s="865">
        <v>341208.00965598371</v>
      </c>
      <c r="AK238" s="865">
        <v>94379.999990050128</v>
      </c>
      <c r="AL238" s="865">
        <v>1230625.0199750911</v>
      </c>
      <c r="AM238" s="865"/>
      <c r="AN238" s="865"/>
      <c r="AO238" s="865">
        <v>50000.000000000065</v>
      </c>
      <c r="AP238" s="865"/>
      <c r="AQ238" s="865"/>
      <c r="AR238" s="865">
        <v>191602.75605474791</v>
      </c>
      <c r="AS238" s="865">
        <v>217869.55571000031</v>
      </c>
      <c r="AT238" s="865"/>
      <c r="AU238" s="865"/>
      <c r="AV238" s="865"/>
      <c r="AW238" s="865"/>
      <c r="AX238" s="865"/>
      <c r="AY238" s="865"/>
      <c r="AZ238" s="865"/>
      <c r="BA238" s="865"/>
      <c r="BB238" s="865"/>
      <c r="BC238" s="865">
        <v>454829.91246802581</v>
      </c>
      <c r="BD238" s="865">
        <v>303219.9416453506</v>
      </c>
      <c r="BE238" s="865">
        <v>511683.65152652905</v>
      </c>
      <c r="BF238" s="865">
        <v>12737.310680031887</v>
      </c>
      <c r="BG238" s="865">
        <v>279662.70950432582</v>
      </c>
      <c r="BH238" s="865">
        <v>1448651.0067911372</v>
      </c>
      <c r="BI238" s="865"/>
      <c r="BJ238" s="865"/>
      <c r="BK238" s="865"/>
      <c r="BL238" s="865"/>
      <c r="BM238" s="865"/>
      <c r="BN238" s="865"/>
      <c r="BO238" s="865"/>
      <c r="BP238" s="865"/>
      <c r="BQ238" s="865"/>
      <c r="BR238" s="865"/>
      <c r="BS238" s="865">
        <v>6526800.3651734116</v>
      </c>
      <c r="BT238" s="412">
        <f t="shared" si="9"/>
        <v>3516015.8325580084</v>
      </c>
      <c r="BU238" s="413">
        <v>0</v>
      </c>
      <c r="BV238" s="413">
        <v>6.1964896088506402E-2</v>
      </c>
      <c r="BW238" s="413">
        <v>5.4494281362593038E-2</v>
      </c>
      <c r="BX238" s="413">
        <v>0</v>
      </c>
      <c r="BY238" s="413">
        <v>0</v>
      </c>
      <c r="BZ238" s="413">
        <v>0</v>
      </c>
      <c r="CA238" s="413">
        <v>0</v>
      </c>
      <c r="CB238" s="413">
        <v>0</v>
      </c>
      <c r="CC238" s="413">
        <v>0</v>
      </c>
      <c r="CD238" s="413">
        <v>0.24221734498616548</v>
      </c>
      <c r="CE238" s="413">
        <v>9.7043934357867928E-2</v>
      </c>
      <c r="CF238" s="413">
        <v>0.15321047939897878</v>
      </c>
      <c r="CG238" s="413">
        <v>2.6842882536562928E-2</v>
      </c>
      <c r="CH238" s="413">
        <v>0</v>
      </c>
      <c r="CI238" s="413">
        <v>0.35000553995792844</v>
      </c>
      <c r="CJ238" s="413">
        <v>1.4220641311396925E-2</v>
      </c>
      <c r="CK238" s="413">
        <v>0</v>
      </c>
      <c r="CL238" s="413">
        <v>0</v>
      </c>
      <c r="CM238" s="413">
        <v>0</v>
      </c>
      <c r="CN238" s="413">
        <v>0</v>
      </c>
      <c r="CO238" s="414">
        <f t="shared" si="8"/>
        <v>0.99999999999999989</v>
      </c>
    </row>
    <row r="239" spans="1:93" s="415" customFormat="1" ht="25.5" x14ac:dyDescent="0.25">
      <c r="A239" s="881" t="s">
        <v>308</v>
      </c>
      <c r="B239" s="862" t="s">
        <v>2197</v>
      </c>
      <c r="C239" s="861" t="s">
        <v>2443</v>
      </c>
      <c r="D239" s="862"/>
      <c r="E239" s="861"/>
      <c r="F239" s="862"/>
      <c r="G239" s="861"/>
      <c r="H239" s="861"/>
      <c r="I239" s="861" t="s">
        <v>647</v>
      </c>
      <c r="J239" s="861" t="s">
        <v>641</v>
      </c>
      <c r="K239" s="861" t="s">
        <v>649</v>
      </c>
      <c r="L239" s="861" t="s">
        <v>40</v>
      </c>
      <c r="M239" s="861" t="s">
        <v>646</v>
      </c>
      <c r="N239" s="861" t="s">
        <v>668</v>
      </c>
      <c r="O239" s="861" t="s">
        <v>967</v>
      </c>
      <c r="P239" s="861" t="s">
        <v>849</v>
      </c>
      <c r="Q239" s="861" t="s">
        <v>642</v>
      </c>
      <c r="R239" s="861" t="s">
        <v>652</v>
      </c>
      <c r="S239" s="861"/>
      <c r="T239" s="861"/>
      <c r="U239" s="861"/>
      <c r="V239" s="861" t="s">
        <v>641</v>
      </c>
      <c r="W239" s="861" t="s">
        <v>677</v>
      </c>
      <c r="X239" s="863">
        <v>42552</v>
      </c>
      <c r="Y239" s="863">
        <v>43281</v>
      </c>
      <c r="Z239" s="864"/>
      <c r="AA239" s="861"/>
      <c r="AB239" s="861"/>
      <c r="AC239" s="861" t="s">
        <v>649</v>
      </c>
      <c r="AD239" s="865"/>
      <c r="AE239" s="865"/>
      <c r="AF239" s="865"/>
      <c r="AG239" s="865"/>
      <c r="AH239" s="865"/>
      <c r="AI239" s="865">
        <v>6032738</v>
      </c>
      <c r="AJ239" s="865"/>
      <c r="AK239" s="865"/>
      <c r="AL239" s="865"/>
      <c r="AM239" s="865"/>
      <c r="AN239" s="865"/>
      <c r="AO239" s="865"/>
      <c r="AP239" s="865"/>
      <c r="AQ239" s="865"/>
      <c r="AR239" s="865"/>
      <c r="AS239" s="865"/>
      <c r="AT239" s="865"/>
      <c r="AU239" s="865"/>
      <c r="AV239" s="865"/>
      <c r="AW239" s="865"/>
      <c r="AX239" s="865"/>
      <c r="AY239" s="865"/>
      <c r="AZ239" s="865"/>
      <c r="BA239" s="865"/>
      <c r="BB239" s="865"/>
      <c r="BC239" s="865">
        <v>123638.39999999999</v>
      </c>
      <c r="BD239" s="865">
        <v>82425.600000000006</v>
      </c>
      <c r="BE239" s="865">
        <v>139093.20000000001</v>
      </c>
      <c r="BF239" s="865">
        <v>3215.8863000000006</v>
      </c>
      <c r="BG239" s="865">
        <v>82425.600000000006</v>
      </c>
      <c r="BH239" s="865"/>
      <c r="BI239" s="865"/>
      <c r="BJ239" s="865"/>
      <c r="BK239" s="865"/>
      <c r="BL239" s="865"/>
      <c r="BM239" s="865"/>
      <c r="BN239" s="865"/>
      <c r="BO239" s="865">
        <v>1009999.9999999999</v>
      </c>
      <c r="BP239" s="865"/>
      <c r="BQ239" s="865"/>
      <c r="BR239" s="865"/>
      <c r="BS239" s="865">
        <v>7473536.6863000002</v>
      </c>
      <c r="BT239" s="412">
        <f t="shared" si="9"/>
        <v>6032738</v>
      </c>
      <c r="BU239" s="413">
        <v>0</v>
      </c>
      <c r="BV239" s="413">
        <v>0</v>
      </c>
      <c r="BW239" s="413">
        <v>0</v>
      </c>
      <c r="BX239" s="413">
        <v>0</v>
      </c>
      <c r="BY239" s="413">
        <v>0</v>
      </c>
      <c r="BZ239" s="413">
        <v>0</v>
      </c>
      <c r="CA239" s="413">
        <v>0</v>
      </c>
      <c r="CB239" s="413">
        <v>0</v>
      </c>
      <c r="CC239" s="413">
        <v>0</v>
      </c>
      <c r="CD239" s="413">
        <v>0</v>
      </c>
      <c r="CE239" s="413">
        <v>0</v>
      </c>
      <c r="CF239" s="413">
        <v>1</v>
      </c>
      <c r="CG239" s="413">
        <v>0</v>
      </c>
      <c r="CH239" s="413">
        <v>0</v>
      </c>
      <c r="CI239" s="413">
        <v>0</v>
      </c>
      <c r="CJ239" s="413">
        <v>0</v>
      </c>
      <c r="CK239" s="413">
        <v>0</v>
      </c>
      <c r="CL239" s="413">
        <v>0</v>
      </c>
      <c r="CM239" s="413">
        <v>0</v>
      </c>
      <c r="CN239" s="413">
        <v>0</v>
      </c>
      <c r="CO239" s="414">
        <f t="shared" si="8"/>
        <v>1</v>
      </c>
    </row>
    <row r="240" spans="1:93" s="415" customFormat="1" ht="25.5" customHeight="1" x14ac:dyDescent="0.25">
      <c r="A240" s="881" t="s">
        <v>310</v>
      </c>
      <c r="B240" s="862" t="s">
        <v>2202</v>
      </c>
      <c r="C240" s="861" t="s">
        <v>851</v>
      </c>
      <c r="D240" s="862"/>
      <c r="E240" s="861"/>
      <c r="F240" s="862"/>
      <c r="G240" s="861"/>
      <c r="H240" s="861" t="s">
        <v>654</v>
      </c>
      <c r="I240" s="861" t="s">
        <v>647</v>
      </c>
      <c r="J240" s="861" t="s">
        <v>641</v>
      </c>
      <c r="K240" s="861" t="s">
        <v>663</v>
      </c>
      <c r="L240" s="861" t="s">
        <v>40</v>
      </c>
      <c r="M240" s="861" t="s">
        <v>646</v>
      </c>
      <c r="N240" s="861" t="s">
        <v>680</v>
      </c>
      <c r="O240" s="861" t="s">
        <v>850</v>
      </c>
      <c r="P240" s="861" t="s">
        <v>849</v>
      </c>
      <c r="Q240" s="861" t="s">
        <v>656</v>
      </c>
      <c r="R240" s="861" t="s">
        <v>652</v>
      </c>
      <c r="S240" s="861" t="s">
        <v>649</v>
      </c>
      <c r="T240" s="861"/>
      <c r="U240" s="861" t="s">
        <v>689</v>
      </c>
      <c r="V240" s="861" t="s">
        <v>641</v>
      </c>
      <c r="W240" s="861" t="s">
        <v>690</v>
      </c>
      <c r="X240" s="863">
        <v>42186</v>
      </c>
      <c r="Y240" s="863">
        <v>43281</v>
      </c>
      <c r="Z240" s="864">
        <v>2018</v>
      </c>
      <c r="AA240" s="861" t="s">
        <v>676</v>
      </c>
      <c r="AB240" s="861"/>
      <c r="AC240" s="861" t="s">
        <v>663</v>
      </c>
      <c r="AD240" s="865"/>
      <c r="AE240" s="865"/>
      <c r="AF240" s="865"/>
      <c r="AG240" s="865"/>
      <c r="AH240" s="865"/>
      <c r="AI240" s="865"/>
      <c r="AJ240" s="865"/>
      <c r="AK240" s="865"/>
      <c r="AL240" s="865">
        <v>1232877.9999999986</v>
      </c>
      <c r="AM240" s="865"/>
      <c r="AN240" s="865"/>
      <c r="AO240" s="865"/>
      <c r="AP240" s="865"/>
      <c r="AQ240" s="865"/>
      <c r="AR240" s="865"/>
      <c r="AS240" s="865"/>
      <c r="AT240" s="865"/>
      <c r="AU240" s="865"/>
      <c r="AV240" s="865"/>
      <c r="AW240" s="865"/>
      <c r="AX240" s="865"/>
      <c r="AY240" s="865"/>
      <c r="AZ240" s="865"/>
      <c r="BA240" s="865"/>
      <c r="BB240" s="865"/>
      <c r="BC240" s="865">
        <v>243288.44999999978</v>
      </c>
      <c r="BD240" s="865">
        <v>128362.2999999999</v>
      </c>
      <c r="BE240" s="865">
        <v>216611.38124999986</v>
      </c>
      <c r="BF240" s="865">
        <v>5008.1353609374964</v>
      </c>
      <c r="BG240" s="865">
        <v>0</v>
      </c>
      <c r="BH240" s="865">
        <v>504710.09901955549</v>
      </c>
      <c r="BI240" s="865"/>
      <c r="BJ240" s="865"/>
      <c r="BK240" s="865"/>
      <c r="BL240" s="865"/>
      <c r="BM240" s="865"/>
      <c r="BN240" s="865"/>
      <c r="BO240" s="865"/>
      <c r="BP240" s="865">
        <v>166063.99999999991</v>
      </c>
      <c r="BQ240" s="865">
        <v>49999.999999999956</v>
      </c>
      <c r="BR240" s="865"/>
      <c r="BS240" s="865">
        <v>2546922.3656304907</v>
      </c>
      <c r="BT240" s="412">
        <f t="shared" si="9"/>
        <v>1232877.9999999986</v>
      </c>
      <c r="BU240" s="413">
        <v>0</v>
      </c>
      <c r="BV240" s="413">
        <v>0</v>
      </c>
      <c r="BW240" s="413">
        <v>0</v>
      </c>
      <c r="BX240" s="413">
        <v>0</v>
      </c>
      <c r="BY240" s="413">
        <v>0</v>
      </c>
      <c r="BZ240" s="413">
        <v>0</v>
      </c>
      <c r="CA240" s="413">
        <v>0</v>
      </c>
      <c r="CB240" s="413">
        <v>0</v>
      </c>
      <c r="CC240" s="413">
        <v>0</v>
      </c>
      <c r="CD240" s="413">
        <v>0</v>
      </c>
      <c r="CE240" s="413">
        <v>0</v>
      </c>
      <c r="CF240" s="413">
        <v>0</v>
      </c>
      <c r="CG240" s="413">
        <v>0</v>
      </c>
      <c r="CH240" s="413">
        <v>0</v>
      </c>
      <c r="CI240" s="413">
        <v>1</v>
      </c>
      <c r="CJ240" s="413">
        <v>0</v>
      </c>
      <c r="CK240" s="413">
        <v>0</v>
      </c>
      <c r="CL240" s="413">
        <v>0</v>
      </c>
      <c r="CM240" s="413">
        <v>0</v>
      </c>
      <c r="CN240" s="413">
        <v>0</v>
      </c>
      <c r="CO240" s="414">
        <f t="shared" si="8"/>
        <v>1</v>
      </c>
    </row>
    <row r="241" spans="1:93" s="415" customFormat="1" ht="25.5" customHeight="1" x14ac:dyDescent="0.25">
      <c r="A241" s="881" t="s">
        <v>848</v>
      </c>
      <c r="B241" s="862" t="s">
        <v>1967</v>
      </c>
      <c r="C241" s="861" t="s">
        <v>847</v>
      </c>
      <c r="D241" s="862"/>
      <c r="E241" s="861" t="s">
        <v>55</v>
      </c>
      <c r="F241" s="862"/>
      <c r="G241" s="861" t="s">
        <v>648</v>
      </c>
      <c r="H241" s="861" t="s">
        <v>654</v>
      </c>
      <c r="I241" s="861" t="s">
        <v>647</v>
      </c>
      <c r="J241" s="861" t="s">
        <v>641</v>
      </c>
      <c r="K241" s="861" t="s">
        <v>649</v>
      </c>
      <c r="L241" s="861" t="s">
        <v>40</v>
      </c>
      <c r="M241" s="861" t="s">
        <v>646</v>
      </c>
      <c r="N241" s="861"/>
      <c r="O241" s="861"/>
      <c r="P241" s="861"/>
      <c r="Q241" s="861" t="s">
        <v>656</v>
      </c>
      <c r="R241" s="861" t="s">
        <v>652</v>
      </c>
      <c r="S241" s="861" t="s">
        <v>649</v>
      </c>
      <c r="T241" s="861"/>
      <c r="U241" s="861"/>
      <c r="V241" s="861" t="s">
        <v>683</v>
      </c>
      <c r="W241" s="861" t="s">
        <v>677</v>
      </c>
      <c r="X241" s="863">
        <v>42491</v>
      </c>
      <c r="Y241" s="863">
        <v>43249</v>
      </c>
      <c r="Z241" s="864">
        <v>2018</v>
      </c>
      <c r="AA241" s="861" t="s">
        <v>676</v>
      </c>
      <c r="AB241" s="861" t="s">
        <v>675</v>
      </c>
      <c r="AC241" s="861" t="s">
        <v>663</v>
      </c>
      <c r="AD241" s="865"/>
      <c r="AE241" s="865"/>
      <c r="AF241" s="865"/>
      <c r="AG241" s="865"/>
      <c r="AH241" s="865"/>
      <c r="AI241" s="865"/>
      <c r="AJ241" s="865"/>
      <c r="AK241" s="865"/>
      <c r="AL241" s="865"/>
      <c r="AM241" s="865"/>
      <c r="AN241" s="865"/>
      <c r="AO241" s="865"/>
      <c r="AP241" s="865"/>
      <c r="AQ241" s="865"/>
      <c r="AR241" s="865">
        <v>1200000.0000000016</v>
      </c>
      <c r="AS241" s="865"/>
      <c r="AT241" s="865"/>
      <c r="AU241" s="865"/>
      <c r="AV241" s="865"/>
      <c r="AW241" s="865"/>
      <c r="AX241" s="865"/>
      <c r="AY241" s="865"/>
      <c r="AZ241" s="865"/>
      <c r="BA241" s="865"/>
      <c r="BB241" s="865"/>
      <c r="BC241" s="865"/>
      <c r="BD241" s="865"/>
      <c r="BE241" s="865"/>
      <c r="BF241" s="865"/>
      <c r="BG241" s="865"/>
      <c r="BH241" s="865"/>
      <c r="BI241" s="865"/>
      <c r="BJ241" s="865"/>
      <c r="BK241" s="865"/>
      <c r="BL241" s="865"/>
      <c r="BM241" s="865"/>
      <c r="BN241" s="865"/>
      <c r="BO241" s="865"/>
      <c r="BP241" s="865"/>
      <c r="BQ241" s="865"/>
      <c r="BR241" s="865"/>
      <c r="BS241" s="865">
        <v>1200000.0000000016</v>
      </c>
      <c r="BT241" s="412">
        <f t="shared" si="9"/>
        <v>1200000.0000000016</v>
      </c>
      <c r="BU241" s="413">
        <v>0</v>
      </c>
      <c r="BV241" s="413">
        <v>0</v>
      </c>
      <c r="BW241" s="413">
        <v>1</v>
      </c>
      <c r="BX241" s="413">
        <v>0</v>
      </c>
      <c r="BY241" s="413">
        <v>0</v>
      </c>
      <c r="BZ241" s="413">
        <v>0</v>
      </c>
      <c r="CA241" s="413">
        <v>0</v>
      </c>
      <c r="CB241" s="413">
        <v>0</v>
      </c>
      <c r="CC241" s="413">
        <v>0</v>
      </c>
      <c r="CD241" s="413">
        <v>0</v>
      </c>
      <c r="CE241" s="413">
        <v>0</v>
      </c>
      <c r="CF241" s="413">
        <v>0</v>
      </c>
      <c r="CG241" s="413">
        <v>0</v>
      </c>
      <c r="CH241" s="413">
        <v>0</v>
      </c>
      <c r="CI241" s="413">
        <v>0</v>
      </c>
      <c r="CJ241" s="413">
        <v>0</v>
      </c>
      <c r="CK241" s="413">
        <v>0</v>
      </c>
      <c r="CL241" s="413">
        <v>0</v>
      </c>
      <c r="CM241" s="413">
        <v>0</v>
      </c>
      <c r="CN241" s="413">
        <v>0</v>
      </c>
      <c r="CO241" s="414">
        <f t="shared" si="8"/>
        <v>1</v>
      </c>
    </row>
    <row r="242" spans="1:93" s="415" customFormat="1" ht="25.5" customHeight="1" x14ac:dyDescent="0.25">
      <c r="A242" s="881" t="s">
        <v>312</v>
      </c>
      <c r="B242" s="862" t="s">
        <v>1969</v>
      </c>
      <c r="C242" s="861" t="s">
        <v>846</v>
      </c>
      <c r="D242" s="862"/>
      <c r="E242" s="861" t="s">
        <v>779</v>
      </c>
      <c r="F242" s="862"/>
      <c r="G242" s="861" t="s">
        <v>648</v>
      </c>
      <c r="H242" s="861" t="s">
        <v>654</v>
      </c>
      <c r="I242" s="861" t="s">
        <v>647</v>
      </c>
      <c r="J242" s="861" t="s">
        <v>671</v>
      </c>
      <c r="K242" s="861" t="s">
        <v>649</v>
      </c>
      <c r="L242" s="861" t="s">
        <v>36</v>
      </c>
      <c r="M242" s="861" t="s">
        <v>646</v>
      </c>
      <c r="N242" s="861" t="s">
        <v>680</v>
      </c>
      <c r="O242" s="861"/>
      <c r="P242" s="861" t="s">
        <v>643</v>
      </c>
      <c r="Q242" s="861" t="s">
        <v>650</v>
      </c>
      <c r="R242" s="861" t="s">
        <v>652</v>
      </c>
      <c r="S242" s="861" t="s">
        <v>649</v>
      </c>
      <c r="T242" s="861"/>
      <c r="U242" s="861"/>
      <c r="V242" s="861" t="s">
        <v>36</v>
      </c>
      <c r="W242" s="861" t="s">
        <v>640</v>
      </c>
      <c r="X242" s="863">
        <v>42552</v>
      </c>
      <c r="Y242" s="863">
        <v>42823</v>
      </c>
      <c r="Z242" s="864">
        <v>2017</v>
      </c>
      <c r="AA242" s="861" t="s">
        <v>676</v>
      </c>
      <c r="AB242" s="861" t="s">
        <v>675</v>
      </c>
      <c r="AC242" s="861" t="s">
        <v>663</v>
      </c>
      <c r="AD242" s="865"/>
      <c r="AE242" s="865"/>
      <c r="AF242" s="865"/>
      <c r="AG242" s="865"/>
      <c r="AH242" s="865"/>
      <c r="AI242" s="865"/>
      <c r="AJ242" s="865"/>
      <c r="AK242" s="865"/>
      <c r="AL242" s="865"/>
      <c r="AM242" s="865"/>
      <c r="AN242" s="865"/>
      <c r="AO242" s="865"/>
      <c r="AP242" s="865"/>
      <c r="AQ242" s="865"/>
      <c r="AR242" s="865"/>
      <c r="AS242" s="865"/>
      <c r="AT242" s="865"/>
      <c r="AU242" s="865"/>
      <c r="AV242" s="865">
        <v>75919.999999999985</v>
      </c>
      <c r="AW242" s="865"/>
      <c r="AX242" s="865"/>
      <c r="AY242" s="865">
        <v>175199.99999999997</v>
      </c>
      <c r="AZ242" s="865"/>
      <c r="BA242" s="865"/>
      <c r="BB242" s="865"/>
      <c r="BC242" s="865">
        <v>23359.999999999993</v>
      </c>
      <c r="BD242" s="865">
        <v>0</v>
      </c>
      <c r="BE242" s="865"/>
      <c r="BF242" s="865"/>
      <c r="BG242" s="865"/>
      <c r="BH242" s="865">
        <v>49497.069956671461</v>
      </c>
      <c r="BI242" s="865"/>
      <c r="BJ242" s="865"/>
      <c r="BK242" s="865"/>
      <c r="BL242" s="865"/>
      <c r="BM242" s="865"/>
      <c r="BN242" s="865"/>
      <c r="BO242" s="865"/>
      <c r="BP242" s="865"/>
      <c r="BQ242" s="865"/>
      <c r="BR242" s="865"/>
      <c r="BS242" s="865">
        <v>323977.06995667145</v>
      </c>
      <c r="BT242" s="412">
        <f t="shared" si="9"/>
        <v>251119.99999999994</v>
      </c>
      <c r="BU242" s="413">
        <v>0.30232558139534887</v>
      </c>
      <c r="BV242" s="413">
        <v>0</v>
      </c>
      <c r="BW242" s="413">
        <v>0</v>
      </c>
      <c r="BX242" s="413">
        <v>0</v>
      </c>
      <c r="BY242" s="413">
        <v>0</v>
      </c>
      <c r="BZ242" s="413">
        <v>0</v>
      </c>
      <c r="CA242" s="413">
        <v>0</v>
      </c>
      <c r="CB242" s="413">
        <v>0.69767441860465118</v>
      </c>
      <c r="CC242" s="413">
        <v>0</v>
      </c>
      <c r="CD242" s="413">
        <v>0</v>
      </c>
      <c r="CE242" s="413">
        <v>0</v>
      </c>
      <c r="CF242" s="413">
        <v>0</v>
      </c>
      <c r="CG242" s="413">
        <v>0</v>
      </c>
      <c r="CH242" s="413">
        <v>0</v>
      </c>
      <c r="CI242" s="413">
        <v>0</v>
      </c>
      <c r="CJ242" s="413">
        <v>0</v>
      </c>
      <c r="CK242" s="413">
        <v>0</v>
      </c>
      <c r="CL242" s="413">
        <v>0</v>
      </c>
      <c r="CM242" s="413">
        <v>0</v>
      </c>
      <c r="CN242" s="413">
        <v>0</v>
      </c>
      <c r="CO242" s="414">
        <f t="shared" si="8"/>
        <v>1</v>
      </c>
    </row>
    <row r="243" spans="1:93" s="415" customFormat="1" ht="25.5" customHeight="1" x14ac:dyDescent="0.25">
      <c r="A243" s="881" t="s">
        <v>845</v>
      </c>
      <c r="B243" s="862" t="s">
        <v>1971</v>
      </c>
      <c r="C243" s="861" t="s">
        <v>844</v>
      </c>
      <c r="D243" s="862"/>
      <c r="E243" s="861" t="s">
        <v>779</v>
      </c>
      <c r="F243" s="862"/>
      <c r="G243" s="861" t="s">
        <v>648</v>
      </c>
      <c r="H243" s="861" t="s">
        <v>654</v>
      </c>
      <c r="I243" s="861" t="s">
        <v>647</v>
      </c>
      <c r="J243" s="861" t="s">
        <v>671</v>
      </c>
      <c r="K243" s="861" t="s">
        <v>649</v>
      </c>
      <c r="L243" s="861" t="s">
        <v>36</v>
      </c>
      <c r="M243" s="861" t="s">
        <v>646</v>
      </c>
      <c r="N243" s="861" t="s">
        <v>699</v>
      </c>
      <c r="O243" s="861"/>
      <c r="P243" s="861"/>
      <c r="Q243" s="861" t="s">
        <v>650</v>
      </c>
      <c r="R243" s="861" t="s">
        <v>652</v>
      </c>
      <c r="S243" s="861"/>
      <c r="T243" s="861"/>
      <c r="U243" s="861"/>
      <c r="V243" s="861" t="s">
        <v>36</v>
      </c>
      <c r="W243" s="861" t="s">
        <v>666</v>
      </c>
      <c r="X243" s="863">
        <v>42552</v>
      </c>
      <c r="Y243" s="863">
        <v>42885</v>
      </c>
      <c r="Z243" s="864">
        <v>2016</v>
      </c>
      <c r="AA243" s="861" t="s">
        <v>676</v>
      </c>
      <c r="AB243" s="861" t="s">
        <v>675</v>
      </c>
      <c r="AC243" s="861" t="s">
        <v>663</v>
      </c>
      <c r="AD243" s="865"/>
      <c r="AE243" s="865"/>
      <c r="AF243" s="865"/>
      <c r="AG243" s="865"/>
      <c r="AH243" s="865"/>
      <c r="AI243" s="865"/>
      <c r="AJ243" s="865"/>
      <c r="AK243" s="865"/>
      <c r="AL243" s="865"/>
      <c r="AM243" s="865"/>
      <c r="AN243" s="865"/>
      <c r="AO243" s="865"/>
      <c r="AP243" s="865"/>
      <c r="AQ243" s="865"/>
      <c r="AR243" s="865"/>
      <c r="AS243" s="865"/>
      <c r="AT243" s="865"/>
      <c r="AU243" s="865"/>
      <c r="AV243" s="865"/>
      <c r="AW243" s="865"/>
      <c r="AX243" s="865"/>
      <c r="AY243" s="865"/>
      <c r="AZ243" s="865"/>
      <c r="BA243" s="865"/>
      <c r="BB243" s="865">
        <v>45599.999999999993</v>
      </c>
      <c r="BC243" s="865"/>
      <c r="BD243" s="865"/>
      <c r="BE243" s="865"/>
      <c r="BF243" s="865"/>
      <c r="BG243" s="865"/>
      <c r="BH243" s="865"/>
      <c r="BI243" s="865"/>
      <c r="BJ243" s="865"/>
      <c r="BK243" s="865"/>
      <c r="BL243" s="865"/>
      <c r="BM243" s="865"/>
      <c r="BN243" s="865"/>
      <c r="BO243" s="865"/>
      <c r="BP243" s="865"/>
      <c r="BQ243" s="865"/>
      <c r="BR243" s="865"/>
      <c r="BS243" s="865">
        <v>45599.999999999993</v>
      </c>
      <c r="BT243" s="412">
        <f t="shared" si="9"/>
        <v>45599.999999999993</v>
      </c>
      <c r="BU243" s="413">
        <v>0</v>
      </c>
      <c r="BV243" s="413">
        <v>0</v>
      </c>
      <c r="BW243" s="413">
        <v>0</v>
      </c>
      <c r="BX243" s="413">
        <v>0</v>
      </c>
      <c r="BY243" s="413">
        <v>0</v>
      </c>
      <c r="BZ243" s="413">
        <v>0</v>
      </c>
      <c r="CA243" s="413">
        <v>0</v>
      </c>
      <c r="CB243" s="413">
        <v>1</v>
      </c>
      <c r="CC243" s="413">
        <v>0</v>
      </c>
      <c r="CD243" s="413">
        <v>0</v>
      </c>
      <c r="CE243" s="413">
        <v>0</v>
      </c>
      <c r="CF243" s="413">
        <v>0</v>
      </c>
      <c r="CG243" s="413">
        <v>0</v>
      </c>
      <c r="CH243" s="413">
        <v>0</v>
      </c>
      <c r="CI243" s="413">
        <v>0</v>
      </c>
      <c r="CJ243" s="413">
        <v>0</v>
      </c>
      <c r="CK243" s="413">
        <v>0</v>
      </c>
      <c r="CL243" s="413">
        <v>0</v>
      </c>
      <c r="CM243" s="413">
        <v>0</v>
      </c>
      <c r="CN243" s="413">
        <v>0</v>
      </c>
      <c r="CO243" s="414">
        <f t="shared" si="8"/>
        <v>1</v>
      </c>
    </row>
    <row r="244" spans="1:93" s="415" customFormat="1" ht="38.25" x14ac:dyDescent="0.25">
      <c r="A244" s="881" t="s">
        <v>314</v>
      </c>
      <c r="B244" s="862" t="s">
        <v>1973</v>
      </c>
      <c r="C244" s="861" t="s">
        <v>843</v>
      </c>
      <c r="D244" s="862"/>
      <c r="E244" s="861" t="s">
        <v>779</v>
      </c>
      <c r="F244" s="862"/>
      <c r="G244" s="861" t="s">
        <v>722</v>
      </c>
      <c r="H244" s="861" t="s">
        <v>654</v>
      </c>
      <c r="I244" s="861" t="s">
        <v>647</v>
      </c>
      <c r="J244" s="861" t="s">
        <v>641</v>
      </c>
      <c r="K244" s="861" t="s">
        <v>649</v>
      </c>
      <c r="L244" s="861" t="s">
        <v>60</v>
      </c>
      <c r="M244" s="861" t="s">
        <v>646</v>
      </c>
      <c r="N244" s="861" t="s">
        <v>680</v>
      </c>
      <c r="O244" s="861"/>
      <c r="P244" s="861" t="s">
        <v>643</v>
      </c>
      <c r="Q244" s="861" t="s">
        <v>656</v>
      </c>
      <c r="R244" s="861" t="s">
        <v>652</v>
      </c>
      <c r="S244" s="861" t="s">
        <v>649</v>
      </c>
      <c r="T244" s="861"/>
      <c r="U244" s="861"/>
      <c r="V244" s="861" t="s">
        <v>641</v>
      </c>
      <c r="W244" s="861" t="s">
        <v>640</v>
      </c>
      <c r="X244" s="863">
        <v>42552</v>
      </c>
      <c r="Y244" s="863">
        <v>42977</v>
      </c>
      <c r="Z244" s="864">
        <v>2017</v>
      </c>
      <c r="AA244" s="861" t="s">
        <v>676</v>
      </c>
      <c r="AB244" s="861" t="s">
        <v>675</v>
      </c>
      <c r="AC244" s="861" t="s">
        <v>663</v>
      </c>
      <c r="AD244" s="865"/>
      <c r="AE244" s="865"/>
      <c r="AF244" s="865"/>
      <c r="AG244" s="865">
        <v>1962985.0000000005</v>
      </c>
      <c r="AH244" s="865"/>
      <c r="AI244" s="865"/>
      <c r="AJ244" s="865"/>
      <c r="AK244" s="865"/>
      <c r="AL244" s="865"/>
      <c r="AM244" s="865"/>
      <c r="AN244" s="865"/>
      <c r="AO244" s="865"/>
      <c r="AP244" s="865"/>
      <c r="AQ244" s="865"/>
      <c r="AR244" s="865"/>
      <c r="AS244" s="865"/>
      <c r="AT244" s="865"/>
      <c r="AU244" s="865"/>
      <c r="AV244" s="865"/>
      <c r="AW244" s="865"/>
      <c r="AX244" s="865"/>
      <c r="AY244" s="865"/>
      <c r="AZ244" s="865"/>
      <c r="BA244" s="865"/>
      <c r="BB244" s="865"/>
      <c r="BC244" s="865"/>
      <c r="BD244" s="865"/>
      <c r="BE244" s="865"/>
      <c r="BF244" s="865"/>
      <c r="BG244" s="865"/>
      <c r="BH244" s="865">
        <v>99015.497652297679</v>
      </c>
      <c r="BI244" s="865"/>
      <c r="BJ244" s="865"/>
      <c r="BK244" s="865"/>
      <c r="BL244" s="865"/>
      <c r="BM244" s="865"/>
      <c r="BN244" s="865"/>
      <c r="BO244" s="865"/>
      <c r="BP244" s="865"/>
      <c r="BQ244" s="865"/>
      <c r="BR244" s="865"/>
      <c r="BS244" s="865">
        <v>2062000.4976522981</v>
      </c>
      <c r="BT244" s="412">
        <f t="shared" si="9"/>
        <v>1962985.0000000005</v>
      </c>
      <c r="BU244" s="413">
        <v>0</v>
      </c>
      <c r="BV244" s="413">
        <v>0</v>
      </c>
      <c r="BW244" s="413">
        <v>0</v>
      </c>
      <c r="BX244" s="413">
        <v>0</v>
      </c>
      <c r="BY244" s="413">
        <v>0</v>
      </c>
      <c r="BZ244" s="413">
        <v>0</v>
      </c>
      <c r="CA244" s="413">
        <v>0</v>
      </c>
      <c r="CB244" s="413">
        <v>0</v>
      </c>
      <c r="CC244" s="413">
        <v>0</v>
      </c>
      <c r="CD244" s="413">
        <v>1</v>
      </c>
      <c r="CE244" s="413">
        <v>0</v>
      </c>
      <c r="CF244" s="413">
        <v>0</v>
      </c>
      <c r="CG244" s="413">
        <v>0</v>
      </c>
      <c r="CH244" s="413">
        <v>0</v>
      </c>
      <c r="CI244" s="413">
        <v>0</v>
      </c>
      <c r="CJ244" s="413">
        <v>0</v>
      </c>
      <c r="CK244" s="413">
        <v>0</v>
      </c>
      <c r="CL244" s="413">
        <v>0</v>
      </c>
      <c r="CM244" s="413">
        <v>0</v>
      </c>
      <c r="CN244" s="413">
        <v>0</v>
      </c>
      <c r="CO244" s="414">
        <f t="shared" si="8"/>
        <v>1</v>
      </c>
    </row>
    <row r="245" spans="1:93" s="415" customFormat="1" ht="25.5" customHeight="1" x14ac:dyDescent="0.25">
      <c r="A245" s="881" t="s">
        <v>316</v>
      </c>
      <c r="B245" s="862" t="s">
        <v>1977</v>
      </c>
      <c r="C245" s="861" t="s">
        <v>842</v>
      </c>
      <c r="D245" s="862"/>
      <c r="E245" s="861" t="s">
        <v>692</v>
      </c>
      <c r="F245" s="862"/>
      <c r="G245" s="861"/>
      <c r="H245" s="861" t="s">
        <v>654</v>
      </c>
      <c r="I245" s="861" t="s">
        <v>647</v>
      </c>
      <c r="J245" s="861" t="s">
        <v>671</v>
      </c>
      <c r="K245" s="861" t="s">
        <v>649</v>
      </c>
      <c r="L245" s="861" t="s">
        <v>55</v>
      </c>
      <c r="M245" s="861" t="s">
        <v>646</v>
      </c>
      <c r="N245" s="861" t="s">
        <v>645</v>
      </c>
      <c r="O245" s="861"/>
      <c r="P245" s="861"/>
      <c r="Q245" s="861" t="s">
        <v>650</v>
      </c>
      <c r="R245" s="861" t="s">
        <v>652</v>
      </c>
      <c r="S245" s="861" t="s">
        <v>649</v>
      </c>
      <c r="T245" s="861"/>
      <c r="U245" s="861"/>
      <c r="V245" s="861" t="s">
        <v>683</v>
      </c>
      <c r="W245" s="861" t="s">
        <v>677</v>
      </c>
      <c r="X245" s="863">
        <v>42736</v>
      </c>
      <c r="Y245" s="863">
        <v>43187</v>
      </c>
      <c r="Z245" s="864">
        <v>2018</v>
      </c>
      <c r="AA245" s="861"/>
      <c r="AB245" s="861"/>
      <c r="AC245" s="861"/>
      <c r="AD245" s="865"/>
      <c r="AE245" s="865"/>
      <c r="AF245" s="865"/>
      <c r="AG245" s="865"/>
      <c r="AH245" s="865"/>
      <c r="AI245" s="865"/>
      <c r="AJ245" s="865"/>
      <c r="AK245" s="865"/>
      <c r="AL245" s="865"/>
      <c r="AM245" s="865"/>
      <c r="AN245" s="865"/>
      <c r="AO245" s="865"/>
      <c r="AP245" s="865"/>
      <c r="AQ245" s="865"/>
      <c r="AR245" s="865"/>
      <c r="AS245" s="865"/>
      <c r="AT245" s="865"/>
      <c r="AU245" s="865"/>
      <c r="AV245" s="865"/>
      <c r="AW245" s="865">
        <v>53200</v>
      </c>
      <c r="AX245" s="865"/>
      <c r="AY245" s="865"/>
      <c r="AZ245" s="865"/>
      <c r="BA245" s="865"/>
      <c r="BB245" s="865"/>
      <c r="BC245" s="865"/>
      <c r="BD245" s="865"/>
      <c r="BE245" s="865"/>
      <c r="BF245" s="865"/>
      <c r="BG245" s="865"/>
      <c r="BH245" s="865">
        <v>212800.00000000017</v>
      </c>
      <c r="BI245" s="865"/>
      <c r="BJ245" s="865"/>
      <c r="BK245" s="865"/>
      <c r="BL245" s="865"/>
      <c r="BM245" s="865"/>
      <c r="BN245" s="865"/>
      <c r="BO245" s="865"/>
      <c r="BP245" s="865"/>
      <c r="BQ245" s="865"/>
      <c r="BR245" s="865"/>
      <c r="BS245" s="865">
        <v>266000.00000000017</v>
      </c>
      <c r="BT245" s="412">
        <f t="shared" si="9"/>
        <v>53200</v>
      </c>
      <c r="BU245" s="413">
        <v>0</v>
      </c>
      <c r="BV245" s="413">
        <v>0</v>
      </c>
      <c r="BW245" s="413">
        <v>0</v>
      </c>
      <c r="BX245" s="413">
        <v>1</v>
      </c>
      <c r="BY245" s="413">
        <v>0</v>
      </c>
      <c r="BZ245" s="413">
        <v>0</v>
      </c>
      <c r="CA245" s="413">
        <v>0</v>
      </c>
      <c r="CB245" s="413">
        <v>0</v>
      </c>
      <c r="CC245" s="413">
        <v>0</v>
      </c>
      <c r="CD245" s="413">
        <v>0</v>
      </c>
      <c r="CE245" s="413">
        <v>0</v>
      </c>
      <c r="CF245" s="413">
        <v>0</v>
      </c>
      <c r="CG245" s="413">
        <v>0</v>
      </c>
      <c r="CH245" s="413">
        <v>0</v>
      </c>
      <c r="CI245" s="413">
        <v>0</v>
      </c>
      <c r="CJ245" s="413">
        <v>0</v>
      </c>
      <c r="CK245" s="413">
        <v>0</v>
      </c>
      <c r="CL245" s="413">
        <v>0</v>
      </c>
      <c r="CM245" s="413">
        <v>0</v>
      </c>
      <c r="CN245" s="413">
        <v>0</v>
      </c>
      <c r="CO245" s="414">
        <f t="shared" si="8"/>
        <v>1</v>
      </c>
    </row>
    <row r="246" spans="1:93" s="415" customFormat="1" ht="25.5" customHeight="1" x14ac:dyDescent="0.25">
      <c r="A246" s="881" t="s">
        <v>317</v>
      </c>
      <c r="B246" s="862" t="s">
        <v>1979</v>
      </c>
      <c r="C246" s="861" t="s">
        <v>841</v>
      </c>
      <c r="D246" s="862"/>
      <c r="E246" s="861" t="s">
        <v>840</v>
      </c>
      <c r="F246" s="862"/>
      <c r="G246" s="861" t="s">
        <v>648</v>
      </c>
      <c r="H246" s="861" t="s">
        <v>654</v>
      </c>
      <c r="I246" s="861" t="s">
        <v>647</v>
      </c>
      <c r="J246" s="861" t="s">
        <v>671</v>
      </c>
      <c r="K246" s="861" t="s">
        <v>649</v>
      </c>
      <c r="L246" s="861" t="s">
        <v>55</v>
      </c>
      <c r="M246" s="861" t="s">
        <v>646</v>
      </c>
      <c r="N246" s="861"/>
      <c r="O246" s="861"/>
      <c r="P246" s="861" t="s">
        <v>643</v>
      </c>
      <c r="Q246" s="861" t="s">
        <v>656</v>
      </c>
      <c r="R246" s="861" t="s">
        <v>652</v>
      </c>
      <c r="S246" s="861" t="s">
        <v>649</v>
      </c>
      <c r="T246" s="861"/>
      <c r="U246" s="861"/>
      <c r="V246" s="861" t="s">
        <v>683</v>
      </c>
      <c r="W246" s="861" t="s">
        <v>677</v>
      </c>
      <c r="X246" s="863">
        <v>42583</v>
      </c>
      <c r="Y246" s="863">
        <v>43368</v>
      </c>
      <c r="Z246" s="864">
        <v>2018</v>
      </c>
      <c r="AA246" s="861" t="s">
        <v>676</v>
      </c>
      <c r="AB246" s="861" t="s">
        <v>675</v>
      </c>
      <c r="AC246" s="861" t="s">
        <v>663</v>
      </c>
      <c r="AD246" s="865"/>
      <c r="AE246" s="865"/>
      <c r="AF246" s="865"/>
      <c r="AG246" s="865"/>
      <c r="AH246" s="865"/>
      <c r="AI246" s="865"/>
      <c r="AJ246" s="865"/>
      <c r="AK246" s="865"/>
      <c r="AL246" s="865"/>
      <c r="AM246" s="865"/>
      <c r="AN246" s="865"/>
      <c r="AO246" s="865"/>
      <c r="AP246" s="865"/>
      <c r="AQ246" s="865"/>
      <c r="AR246" s="865"/>
      <c r="AS246" s="865"/>
      <c r="AT246" s="865"/>
      <c r="AU246" s="865"/>
      <c r="AV246" s="865"/>
      <c r="AW246" s="865">
        <v>188100.00000000017</v>
      </c>
      <c r="AX246" s="865">
        <v>1791900.0000000016</v>
      </c>
      <c r="AY246" s="865"/>
      <c r="AZ246" s="865"/>
      <c r="BA246" s="865"/>
      <c r="BB246" s="865"/>
      <c r="BC246" s="865"/>
      <c r="BD246" s="865"/>
      <c r="BE246" s="865"/>
      <c r="BF246" s="865"/>
      <c r="BG246" s="865"/>
      <c r="BH246" s="865"/>
      <c r="BI246" s="865"/>
      <c r="BJ246" s="865"/>
      <c r="BK246" s="865"/>
      <c r="BL246" s="865"/>
      <c r="BM246" s="865"/>
      <c r="BN246" s="865"/>
      <c r="BO246" s="865"/>
      <c r="BP246" s="865"/>
      <c r="BQ246" s="865"/>
      <c r="BR246" s="865"/>
      <c r="BS246" s="865">
        <v>1980000.0000000016</v>
      </c>
      <c r="BT246" s="412">
        <f t="shared" si="9"/>
        <v>1980000.0000000019</v>
      </c>
      <c r="BU246" s="413">
        <v>0</v>
      </c>
      <c r="BV246" s="413">
        <v>0</v>
      </c>
      <c r="BW246" s="413">
        <v>0</v>
      </c>
      <c r="BX246" s="413">
        <v>1</v>
      </c>
      <c r="BY246" s="413">
        <v>0</v>
      </c>
      <c r="BZ246" s="413">
        <v>0</v>
      </c>
      <c r="CA246" s="413">
        <v>0</v>
      </c>
      <c r="CB246" s="413">
        <v>0</v>
      </c>
      <c r="CC246" s="413">
        <v>0</v>
      </c>
      <c r="CD246" s="413">
        <v>0</v>
      </c>
      <c r="CE246" s="413">
        <v>0</v>
      </c>
      <c r="CF246" s="413">
        <v>0</v>
      </c>
      <c r="CG246" s="413">
        <v>0</v>
      </c>
      <c r="CH246" s="413">
        <v>0</v>
      </c>
      <c r="CI246" s="413">
        <v>0</v>
      </c>
      <c r="CJ246" s="413">
        <v>0</v>
      </c>
      <c r="CK246" s="413">
        <v>0</v>
      </c>
      <c r="CL246" s="413">
        <v>0</v>
      </c>
      <c r="CM246" s="413">
        <v>0</v>
      </c>
      <c r="CN246" s="413">
        <v>0</v>
      </c>
      <c r="CO246" s="414">
        <f t="shared" si="8"/>
        <v>1</v>
      </c>
    </row>
    <row r="247" spans="1:93" s="415" customFormat="1" ht="63.75" x14ac:dyDescent="0.25">
      <c r="A247" s="881" t="s">
        <v>839</v>
      </c>
      <c r="B247" s="862" t="s">
        <v>1981</v>
      </c>
      <c r="C247" s="861" t="s">
        <v>838</v>
      </c>
      <c r="D247" s="862"/>
      <c r="E247" s="861" t="s">
        <v>837</v>
      </c>
      <c r="F247" s="862"/>
      <c r="G247" s="861" t="s">
        <v>648</v>
      </c>
      <c r="H247" s="861" t="s">
        <v>654</v>
      </c>
      <c r="I247" s="861" t="s">
        <v>647</v>
      </c>
      <c r="J247" s="861" t="s">
        <v>671</v>
      </c>
      <c r="K247" s="861" t="s">
        <v>649</v>
      </c>
      <c r="L247" s="861" t="s">
        <v>55</v>
      </c>
      <c r="M247" s="861" t="s">
        <v>646</v>
      </c>
      <c r="N247" s="861"/>
      <c r="O247" s="861"/>
      <c r="P247" s="861"/>
      <c r="Q247" s="861" t="s">
        <v>650</v>
      </c>
      <c r="R247" s="861" t="s">
        <v>652</v>
      </c>
      <c r="S247" s="861" t="s">
        <v>649</v>
      </c>
      <c r="T247" s="861"/>
      <c r="U247" s="861"/>
      <c r="V247" s="861" t="s">
        <v>683</v>
      </c>
      <c r="W247" s="861" t="s">
        <v>666</v>
      </c>
      <c r="X247" s="863">
        <v>43252</v>
      </c>
      <c r="Y247" s="863">
        <v>44008</v>
      </c>
      <c r="Z247" s="864">
        <v>2019</v>
      </c>
      <c r="AA247" s="861" t="s">
        <v>676</v>
      </c>
      <c r="AB247" s="861" t="s">
        <v>675</v>
      </c>
      <c r="AC247" s="861" t="s">
        <v>663</v>
      </c>
      <c r="AD247" s="865"/>
      <c r="AE247" s="865"/>
      <c r="AF247" s="865"/>
      <c r="AG247" s="865"/>
      <c r="AH247" s="865"/>
      <c r="AI247" s="865"/>
      <c r="AJ247" s="865"/>
      <c r="AK247" s="865"/>
      <c r="AL247" s="865"/>
      <c r="AM247" s="865"/>
      <c r="AN247" s="865"/>
      <c r="AO247" s="865"/>
      <c r="AP247" s="865"/>
      <c r="AQ247" s="865"/>
      <c r="AR247" s="865"/>
      <c r="AS247" s="865"/>
      <c r="AT247" s="865"/>
      <c r="AU247" s="865"/>
      <c r="AV247" s="865"/>
      <c r="AW247" s="865">
        <v>346039.99999999983</v>
      </c>
      <c r="AX247" s="865">
        <v>63959.999999999964</v>
      </c>
      <c r="AY247" s="865"/>
      <c r="AZ247" s="865"/>
      <c r="BA247" s="865"/>
      <c r="BB247" s="865"/>
      <c r="BC247" s="865"/>
      <c r="BD247" s="865"/>
      <c r="BE247" s="865"/>
      <c r="BF247" s="865"/>
      <c r="BG247" s="865"/>
      <c r="BH247" s="865"/>
      <c r="BI247" s="865"/>
      <c r="BJ247" s="865"/>
      <c r="BK247" s="865"/>
      <c r="BL247" s="865"/>
      <c r="BM247" s="865"/>
      <c r="BN247" s="865"/>
      <c r="BO247" s="865"/>
      <c r="BP247" s="865"/>
      <c r="BQ247" s="865"/>
      <c r="BR247" s="865"/>
      <c r="BS247" s="865">
        <v>409999.99999999983</v>
      </c>
      <c r="BT247" s="412">
        <f t="shared" si="9"/>
        <v>409999.99999999977</v>
      </c>
      <c r="BU247" s="413">
        <v>0</v>
      </c>
      <c r="BV247" s="413">
        <v>0</v>
      </c>
      <c r="BW247" s="413">
        <v>0</v>
      </c>
      <c r="BX247" s="413">
        <v>1</v>
      </c>
      <c r="BY247" s="413">
        <v>0</v>
      </c>
      <c r="BZ247" s="413">
        <v>0</v>
      </c>
      <c r="CA247" s="413">
        <v>0</v>
      </c>
      <c r="CB247" s="413">
        <v>0</v>
      </c>
      <c r="CC247" s="413">
        <v>0</v>
      </c>
      <c r="CD247" s="413">
        <v>0</v>
      </c>
      <c r="CE247" s="413">
        <v>0</v>
      </c>
      <c r="CF247" s="413">
        <v>0</v>
      </c>
      <c r="CG247" s="413">
        <v>0</v>
      </c>
      <c r="CH247" s="413">
        <v>0</v>
      </c>
      <c r="CI247" s="413">
        <v>0</v>
      </c>
      <c r="CJ247" s="413">
        <v>0</v>
      </c>
      <c r="CK247" s="413">
        <v>0</v>
      </c>
      <c r="CL247" s="413">
        <v>0</v>
      </c>
      <c r="CM247" s="413">
        <v>0</v>
      </c>
      <c r="CN247" s="413">
        <v>0</v>
      </c>
      <c r="CO247" s="414">
        <f t="shared" si="8"/>
        <v>1</v>
      </c>
    </row>
    <row r="248" spans="1:93" s="415" customFormat="1" ht="25.5" customHeight="1" x14ac:dyDescent="0.25">
      <c r="A248" s="881" t="s">
        <v>318</v>
      </c>
      <c r="B248" s="862" t="s">
        <v>1983</v>
      </c>
      <c r="C248" s="861" t="s">
        <v>836</v>
      </c>
      <c r="D248" s="862"/>
      <c r="E248" s="861" t="s">
        <v>692</v>
      </c>
      <c r="F248" s="862"/>
      <c r="G248" s="861"/>
      <c r="H248" s="861" t="s">
        <v>654</v>
      </c>
      <c r="I248" s="861" t="s">
        <v>647</v>
      </c>
      <c r="J248" s="861" t="s">
        <v>671</v>
      </c>
      <c r="K248" s="861" t="s">
        <v>649</v>
      </c>
      <c r="L248" s="861" t="s">
        <v>55</v>
      </c>
      <c r="M248" s="861" t="s">
        <v>646</v>
      </c>
      <c r="N248" s="861" t="s">
        <v>645</v>
      </c>
      <c r="O248" s="861"/>
      <c r="P248" s="861"/>
      <c r="Q248" s="861" t="s">
        <v>656</v>
      </c>
      <c r="R248" s="861" t="s">
        <v>652</v>
      </c>
      <c r="S248" s="861" t="s">
        <v>649</v>
      </c>
      <c r="T248" s="861"/>
      <c r="U248" s="861"/>
      <c r="V248" s="861" t="s">
        <v>683</v>
      </c>
      <c r="W248" s="861" t="s">
        <v>640</v>
      </c>
      <c r="X248" s="863">
        <v>42444</v>
      </c>
      <c r="Y248" s="863">
        <v>43343</v>
      </c>
      <c r="Z248" s="864">
        <v>2018</v>
      </c>
      <c r="AA248" s="861"/>
      <c r="AB248" s="861"/>
      <c r="AC248" s="861"/>
      <c r="AD248" s="865"/>
      <c r="AE248" s="865"/>
      <c r="AF248" s="865"/>
      <c r="AG248" s="865"/>
      <c r="AH248" s="865"/>
      <c r="AI248" s="865"/>
      <c r="AJ248" s="865"/>
      <c r="AK248" s="865"/>
      <c r="AL248" s="865"/>
      <c r="AM248" s="865"/>
      <c r="AN248" s="865"/>
      <c r="AO248" s="865"/>
      <c r="AP248" s="865"/>
      <c r="AQ248" s="865"/>
      <c r="AR248" s="865"/>
      <c r="AS248" s="865"/>
      <c r="AT248" s="865"/>
      <c r="AU248" s="865"/>
      <c r="AV248" s="865"/>
      <c r="AW248" s="865">
        <v>179280.00000000006</v>
      </c>
      <c r="AX248" s="865"/>
      <c r="AY248" s="865"/>
      <c r="AZ248" s="865"/>
      <c r="BA248" s="865"/>
      <c r="BB248" s="865"/>
      <c r="BC248" s="865"/>
      <c r="BD248" s="865"/>
      <c r="BE248" s="865"/>
      <c r="BF248" s="865"/>
      <c r="BG248" s="865"/>
      <c r="BH248" s="865">
        <v>717259.4620833341</v>
      </c>
      <c r="BI248" s="865"/>
      <c r="BJ248" s="865"/>
      <c r="BK248" s="865"/>
      <c r="BL248" s="865"/>
      <c r="BM248" s="865"/>
      <c r="BN248" s="865"/>
      <c r="BO248" s="865"/>
      <c r="BP248" s="865"/>
      <c r="BQ248" s="865"/>
      <c r="BR248" s="865"/>
      <c r="BS248" s="865">
        <v>896539.46208333399</v>
      </c>
      <c r="BT248" s="412">
        <f t="shared" si="9"/>
        <v>179280.00000000006</v>
      </c>
      <c r="BU248" s="413">
        <v>0</v>
      </c>
      <c r="BV248" s="413">
        <v>0</v>
      </c>
      <c r="BW248" s="413">
        <v>0</v>
      </c>
      <c r="BX248" s="413">
        <v>1</v>
      </c>
      <c r="BY248" s="413">
        <v>0</v>
      </c>
      <c r="BZ248" s="413">
        <v>0</v>
      </c>
      <c r="CA248" s="413">
        <v>0</v>
      </c>
      <c r="CB248" s="413">
        <v>0</v>
      </c>
      <c r="CC248" s="413">
        <v>0</v>
      </c>
      <c r="CD248" s="413">
        <v>0</v>
      </c>
      <c r="CE248" s="413">
        <v>0</v>
      </c>
      <c r="CF248" s="413">
        <v>0</v>
      </c>
      <c r="CG248" s="413">
        <v>0</v>
      </c>
      <c r="CH248" s="413">
        <v>0</v>
      </c>
      <c r="CI248" s="413">
        <v>0</v>
      </c>
      <c r="CJ248" s="413">
        <v>0</v>
      </c>
      <c r="CK248" s="413">
        <v>0</v>
      </c>
      <c r="CL248" s="413">
        <v>0</v>
      </c>
      <c r="CM248" s="413">
        <v>0</v>
      </c>
      <c r="CN248" s="413">
        <v>0</v>
      </c>
      <c r="CO248" s="414">
        <f t="shared" si="8"/>
        <v>1</v>
      </c>
    </row>
    <row r="249" spans="1:93" s="415" customFormat="1" ht="25.5" x14ac:dyDescent="0.25">
      <c r="A249" s="881" t="s">
        <v>319</v>
      </c>
      <c r="B249" s="862" t="s">
        <v>1985</v>
      </c>
      <c r="C249" s="861" t="s">
        <v>835</v>
      </c>
      <c r="D249" s="862"/>
      <c r="E249" s="861" t="s">
        <v>55</v>
      </c>
      <c r="F249" s="862"/>
      <c r="G249" s="861" t="s">
        <v>648</v>
      </c>
      <c r="H249" s="861" t="s">
        <v>654</v>
      </c>
      <c r="I249" s="861" t="s">
        <v>647</v>
      </c>
      <c r="J249" s="861" t="s">
        <v>641</v>
      </c>
      <c r="K249" s="861" t="s">
        <v>649</v>
      </c>
      <c r="L249" s="861" t="s">
        <v>28</v>
      </c>
      <c r="M249" s="861" t="s">
        <v>646</v>
      </c>
      <c r="N249" s="861"/>
      <c r="O249" s="861"/>
      <c r="P249" s="861" t="s">
        <v>643</v>
      </c>
      <c r="Q249" s="861" t="s">
        <v>656</v>
      </c>
      <c r="R249" s="861" t="s">
        <v>652</v>
      </c>
      <c r="S249" s="861" t="s">
        <v>649</v>
      </c>
      <c r="T249" s="861"/>
      <c r="U249" s="861"/>
      <c r="V249" s="861" t="s">
        <v>683</v>
      </c>
      <c r="W249" s="861" t="s">
        <v>677</v>
      </c>
      <c r="X249" s="863">
        <v>41730</v>
      </c>
      <c r="Y249" s="863">
        <v>42867</v>
      </c>
      <c r="Z249" s="864">
        <v>2017</v>
      </c>
      <c r="AA249" s="861" t="s">
        <v>676</v>
      </c>
      <c r="AB249" s="861" t="s">
        <v>675</v>
      </c>
      <c r="AC249" s="861" t="s">
        <v>663</v>
      </c>
      <c r="AD249" s="865"/>
      <c r="AE249" s="865"/>
      <c r="AF249" s="865"/>
      <c r="AG249" s="865"/>
      <c r="AH249" s="865"/>
      <c r="AI249" s="865"/>
      <c r="AJ249" s="865"/>
      <c r="AK249" s="865"/>
      <c r="AL249" s="865"/>
      <c r="AM249" s="865"/>
      <c r="AN249" s="865"/>
      <c r="AO249" s="865"/>
      <c r="AP249" s="865"/>
      <c r="AQ249" s="865"/>
      <c r="AR249" s="865"/>
      <c r="AS249" s="865"/>
      <c r="AT249" s="865"/>
      <c r="AU249" s="865"/>
      <c r="AV249" s="865"/>
      <c r="AW249" s="865">
        <v>113999.99999999985</v>
      </c>
      <c r="AX249" s="865">
        <v>1085999.9999999986</v>
      </c>
      <c r="AY249" s="865"/>
      <c r="AZ249" s="865"/>
      <c r="BA249" s="865"/>
      <c r="BB249" s="865"/>
      <c r="BC249" s="865"/>
      <c r="BD249" s="865"/>
      <c r="BE249" s="865"/>
      <c r="BF249" s="865"/>
      <c r="BG249" s="865"/>
      <c r="BH249" s="865"/>
      <c r="BI249" s="865"/>
      <c r="BJ249" s="865"/>
      <c r="BK249" s="865"/>
      <c r="BL249" s="865"/>
      <c r="BM249" s="865"/>
      <c r="BN249" s="865"/>
      <c r="BO249" s="865"/>
      <c r="BP249" s="865"/>
      <c r="BQ249" s="865"/>
      <c r="BR249" s="865"/>
      <c r="BS249" s="865">
        <v>1199999.9999999984</v>
      </c>
      <c r="BT249" s="412">
        <f t="shared" si="9"/>
        <v>1199999.9999999984</v>
      </c>
      <c r="BU249" s="413">
        <v>0</v>
      </c>
      <c r="BV249" s="413">
        <v>0</v>
      </c>
      <c r="BW249" s="413">
        <v>0</v>
      </c>
      <c r="BX249" s="413">
        <v>1</v>
      </c>
      <c r="BY249" s="413">
        <v>0</v>
      </c>
      <c r="BZ249" s="413">
        <v>0</v>
      </c>
      <c r="CA249" s="413">
        <v>0</v>
      </c>
      <c r="CB249" s="413">
        <v>0</v>
      </c>
      <c r="CC249" s="413">
        <v>0</v>
      </c>
      <c r="CD249" s="413">
        <v>0</v>
      </c>
      <c r="CE249" s="413">
        <v>0</v>
      </c>
      <c r="CF249" s="413">
        <v>0</v>
      </c>
      <c r="CG249" s="413">
        <v>0</v>
      </c>
      <c r="CH249" s="413">
        <v>0</v>
      </c>
      <c r="CI249" s="413">
        <v>0</v>
      </c>
      <c r="CJ249" s="413">
        <v>0</v>
      </c>
      <c r="CK249" s="413">
        <v>0</v>
      </c>
      <c r="CL249" s="413">
        <v>0</v>
      </c>
      <c r="CM249" s="413">
        <v>0</v>
      </c>
      <c r="CN249" s="413">
        <v>0</v>
      </c>
      <c r="CO249" s="414">
        <f t="shared" si="8"/>
        <v>1</v>
      </c>
    </row>
    <row r="250" spans="1:93" s="415" customFormat="1" ht="25.5" customHeight="1" x14ac:dyDescent="0.25">
      <c r="A250" s="881" t="s">
        <v>321</v>
      </c>
      <c r="B250" s="862" t="s">
        <v>1987</v>
      </c>
      <c r="C250" s="861" t="s">
        <v>834</v>
      </c>
      <c r="D250" s="862"/>
      <c r="E250" s="861" t="s">
        <v>692</v>
      </c>
      <c r="F250" s="862"/>
      <c r="G250" s="861"/>
      <c r="H250" s="861" t="s">
        <v>654</v>
      </c>
      <c r="I250" s="861" t="s">
        <v>647</v>
      </c>
      <c r="J250" s="861" t="s">
        <v>671</v>
      </c>
      <c r="K250" s="861" t="s">
        <v>649</v>
      </c>
      <c r="L250" s="861" t="s">
        <v>55</v>
      </c>
      <c r="M250" s="861" t="s">
        <v>646</v>
      </c>
      <c r="N250" s="861" t="s">
        <v>645</v>
      </c>
      <c r="O250" s="861"/>
      <c r="P250" s="861"/>
      <c r="Q250" s="861" t="s">
        <v>656</v>
      </c>
      <c r="R250" s="861" t="s">
        <v>652</v>
      </c>
      <c r="S250" s="861" t="s">
        <v>649</v>
      </c>
      <c r="T250" s="861"/>
      <c r="U250" s="861"/>
      <c r="V250" s="861" t="s">
        <v>683</v>
      </c>
      <c r="W250" s="861" t="s">
        <v>640</v>
      </c>
      <c r="X250" s="863">
        <v>42552</v>
      </c>
      <c r="Y250" s="863">
        <v>43426</v>
      </c>
      <c r="Z250" s="864">
        <v>2018</v>
      </c>
      <c r="AA250" s="861"/>
      <c r="AB250" s="861"/>
      <c r="AC250" s="861"/>
      <c r="AD250" s="865"/>
      <c r="AE250" s="865"/>
      <c r="AF250" s="865"/>
      <c r="AG250" s="865"/>
      <c r="AH250" s="865"/>
      <c r="AI250" s="865"/>
      <c r="AJ250" s="865"/>
      <c r="AK250" s="865"/>
      <c r="AL250" s="865"/>
      <c r="AM250" s="865"/>
      <c r="AN250" s="865"/>
      <c r="AO250" s="865"/>
      <c r="AP250" s="865"/>
      <c r="AQ250" s="865"/>
      <c r="AR250" s="865"/>
      <c r="AS250" s="865"/>
      <c r="AT250" s="865"/>
      <c r="AU250" s="865"/>
      <c r="AV250" s="865"/>
      <c r="AW250" s="865">
        <v>32500.000000000015</v>
      </c>
      <c r="AX250" s="865"/>
      <c r="AY250" s="865"/>
      <c r="AZ250" s="865"/>
      <c r="BA250" s="865"/>
      <c r="BB250" s="865"/>
      <c r="BC250" s="865"/>
      <c r="BD250" s="865"/>
      <c r="BE250" s="865"/>
      <c r="BF250" s="865"/>
      <c r="BG250" s="865"/>
      <c r="BH250" s="865">
        <v>617002.13008333393</v>
      </c>
      <c r="BI250" s="865"/>
      <c r="BJ250" s="865"/>
      <c r="BK250" s="865"/>
      <c r="BL250" s="865"/>
      <c r="BM250" s="865"/>
      <c r="BN250" s="865"/>
      <c r="BO250" s="865"/>
      <c r="BP250" s="865"/>
      <c r="BQ250" s="865"/>
      <c r="BR250" s="865"/>
      <c r="BS250" s="865">
        <v>649502.13008333393</v>
      </c>
      <c r="BT250" s="412">
        <f t="shared" si="9"/>
        <v>32500.000000000015</v>
      </c>
      <c r="BU250" s="413">
        <v>0</v>
      </c>
      <c r="BV250" s="413">
        <v>0</v>
      </c>
      <c r="BW250" s="413">
        <v>0</v>
      </c>
      <c r="BX250" s="413">
        <v>1</v>
      </c>
      <c r="BY250" s="413">
        <v>0</v>
      </c>
      <c r="BZ250" s="413">
        <v>0</v>
      </c>
      <c r="CA250" s="413">
        <v>0</v>
      </c>
      <c r="CB250" s="413">
        <v>0</v>
      </c>
      <c r="CC250" s="413">
        <v>0</v>
      </c>
      <c r="CD250" s="413">
        <v>0</v>
      </c>
      <c r="CE250" s="413">
        <v>0</v>
      </c>
      <c r="CF250" s="413">
        <v>0</v>
      </c>
      <c r="CG250" s="413">
        <v>0</v>
      </c>
      <c r="CH250" s="413">
        <v>0</v>
      </c>
      <c r="CI250" s="413">
        <v>0</v>
      </c>
      <c r="CJ250" s="413">
        <v>0</v>
      </c>
      <c r="CK250" s="413">
        <v>0</v>
      </c>
      <c r="CL250" s="413">
        <v>0</v>
      </c>
      <c r="CM250" s="413">
        <v>0</v>
      </c>
      <c r="CN250" s="413">
        <v>0</v>
      </c>
      <c r="CO250" s="414">
        <f t="shared" si="8"/>
        <v>1</v>
      </c>
    </row>
    <row r="251" spans="1:93" s="415" customFormat="1" ht="25.5" x14ac:dyDescent="0.25">
      <c r="A251" s="881" t="s">
        <v>832</v>
      </c>
      <c r="B251" s="862" t="s">
        <v>1991</v>
      </c>
      <c r="C251" s="861" t="s">
        <v>831</v>
      </c>
      <c r="D251" s="862"/>
      <c r="E251" s="861" t="s">
        <v>55</v>
      </c>
      <c r="F251" s="862"/>
      <c r="G251" s="861" t="s">
        <v>648</v>
      </c>
      <c r="H251" s="861" t="s">
        <v>654</v>
      </c>
      <c r="I251" s="861" t="s">
        <v>647</v>
      </c>
      <c r="J251" s="861" t="s">
        <v>641</v>
      </c>
      <c r="K251" s="861" t="s">
        <v>649</v>
      </c>
      <c r="L251" s="861" t="s">
        <v>28</v>
      </c>
      <c r="M251" s="861" t="s">
        <v>646</v>
      </c>
      <c r="N251" s="861"/>
      <c r="O251" s="861"/>
      <c r="P251" s="861" t="s">
        <v>643</v>
      </c>
      <c r="Q251" s="861" t="s">
        <v>650</v>
      </c>
      <c r="R251" s="861" t="s">
        <v>652</v>
      </c>
      <c r="S251" s="861" t="s">
        <v>649</v>
      </c>
      <c r="T251" s="861"/>
      <c r="U251" s="861"/>
      <c r="V251" s="861" t="s">
        <v>683</v>
      </c>
      <c r="W251" s="861" t="s">
        <v>677</v>
      </c>
      <c r="X251" s="863">
        <v>42552</v>
      </c>
      <c r="Y251" s="863">
        <v>43642</v>
      </c>
      <c r="Z251" s="864">
        <v>2019</v>
      </c>
      <c r="AA251" s="861" t="s">
        <v>676</v>
      </c>
      <c r="AB251" s="861" t="s">
        <v>675</v>
      </c>
      <c r="AC251" s="861" t="s">
        <v>663</v>
      </c>
      <c r="AD251" s="865"/>
      <c r="AE251" s="865"/>
      <c r="AF251" s="865"/>
      <c r="AG251" s="865"/>
      <c r="AH251" s="865"/>
      <c r="AI251" s="865"/>
      <c r="AJ251" s="865"/>
      <c r="AK251" s="865"/>
      <c r="AL251" s="865"/>
      <c r="AM251" s="865"/>
      <c r="AN251" s="865"/>
      <c r="AO251" s="865"/>
      <c r="AP251" s="865"/>
      <c r="AQ251" s="865"/>
      <c r="AR251" s="865"/>
      <c r="AS251" s="865"/>
      <c r="AT251" s="865"/>
      <c r="AU251" s="865"/>
      <c r="AV251" s="865"/>
      <c r="AW251" s="865">
        <v>171000.00000000012</v>
      </c>
      <c r="AX251" s="865">
        <v>1629000.0000000014</v>
      </c>
      <c r="AY251" s="865"/>
      <c r="AZ251" s="865"/>
      <c r="BA251" s="865"/>
      <c r="BB251" s="865"/>
      <c r="BC251" s="865"/>
      <c r="BD251" s="865"/>
      <c r="BE251" s="865"/>
      <c r="BF251" s="865"/>
      <c r="BG251" s="865"/>
      <c r="BH251" s="865"/>
      <c r="BI251" s="865"/>
      <c r="BJ251" s="865"/>
      <c r="BK251" s="865"/>
      <c r="BL251" s="865"/>
      <c r="BM251" s="865"/>
      <c r="BN251" s="865"/>
      <c r="BO251" s="865"/>
      <c r="BP251" s="865"/>
      <c r="BQ251" s="865"/>
      <c r="BR251" s="865"/>
      <c r="BS251" s="865">
        <v>1800000.0000000016</v>
      </c>
      <c r="BT251" s="412">
        <f t="shared" si="9"/>
        <v>1800000.0000000014</v>
      </c>
      <c r="BU251" s="413">
        <v>0</v>
      </c>
      <c r="BV251" s="413">
        <v>0</v>
      </c>
      <c r="BW251" s="413">
        <v>0</v>
      </c>
      <c r="BX251" s="413">
        <v>1</v>
      </c>
      <c r="BY251" s="413">
        <v>0</v>
      </c>
      <c r="BZ251" s="413">
        <v>0</v>
      </c>
      <c r="CA251" s="413">
        <v>0</v>
      </c>
      <c r="CB251" s="413">
        <v>0</v>
      </c>
      <c r="CC251" s="413">
        <v>0</v>
      </c>
      <c r="CD251" s="413">
        <v>0</v>
      </c>
      <c r="CE251" s="413">
        <v>0</v>
      </c>
      <c r="CF251" s="413">
        <v>0</v>
      </c>
      <c r="CG251" s="413">
        <v>0</v>
      </c>
      <c r="CH251" s="413">
        <v>0</v>
      </c>
      <c r="CI251" s="413">
        <v>0</v>
      </c>
      <c r="CJ251" s="413">
        <v>0</v>
      </c>
      <c r="CK251" s="413">
        <v>0</v>
      </c>
      <c r="CL251" s="413">
        <v>0</v>
      </c>
      <c r="CM251" s="413">
        <v>0</v>
      </c>
      <c r="CN251" s="413">
        <v>0</v>
      </c>
      <c r="CO251" s="414">
        <f t="shared" si="8"/>
        <v>1</v>
      </c>
    </row>
    <row r="252" spans="1:93" s="415" customFormat="1" ht="38.25" x14ac:dyDescent="0.25">
      <c r="A252" s="881" t="s">
        <v>324</v>
      </c>
      <c r="B252" s="862" t="s">
        <v>1997</v>
      </c>
      <c r="C252" s="861" t="s">
        <v>830</v>
      </c>
      <c r="D252" s="862"/>
      <c r="E252" s="861"/>
      <c r="F252" s="862"/>
      <c r="G252" s="861"/>
      <c r="H252" s="861" t="s">
        <v>654</v>
      </c>
      <c r="I252" s="861" t="s">
        <v>647</v>
      </c>
      <c r="J252" s="861" t="s">
        <v>641</v>
      </c>
      <c r="K252" s="861" t="s">
        <v>649</v>
      </c>
      <c r="L252" s="861" t="s">
        <v>55</v>
      </c>
      <c r="M252" s="861" t="s">
        <v>646</v>
      </c>
      <c r="N252" s="861" t="s">
        <v>645</v>
      </c>
      <c r="O252" s="861" t="s">
        <v>721</v>
      </c>
      <c r="P252" s="861" t="s">
        <v>823</v>
      </c>
      <c r="Q252" s="861" t="s">
        <v>642</v>
      </c>
      <c r="R252" s="861" t="s">
        <v>652</v>
      </c>
      <c r="S252" s="861" t="s">
        <v>649</v>
      </c>
      <c r="T252" s="861"/>
      <c r="U252" s="861"/>
      <c r="V252" s="861" t="s">
        <v>685</v>
      </c>
      <c r="W252" s="861" t="s">
        <v>677</v>
      </c>
      <c r="X252" s="863">
        <v>41401</v>
      </c>
      <c r="Y252" s="863">
        <v>43322</v>
      </c>
      <c r="Z252" s="864">
        <v>2017</v>
      </c>
      <c r="AA252" s="861" t="s">
        <v>663</v>
      </c>
      <c r="AB252" s="861"/>
      <c r="AC252" s="861"/>
      <c r="AD252" s="865"/>
      <c r="AE252" s="865"/>
      <c r="AF252" s="865"/>
      <c r="AG252" s="865"/>
      <c r="AH252" s="865"/>
      <c r="AI252" s="865"/>
      <c r="AJ252" s="865"/>
      <c r="AK252" s="865"/>
      <c r="AL252" s="865">
        <v>122000</v>
      </c>
      <c r="AM252" s="865"/>
      <c r="AN252" s="865"/>
      <c r="AO252" s="865"/>
      <c r="AP252" s="865"/>
      <c r="AQ252" s="865"/>
      <c r="AR252" s="865">
        <v>4336000</v>
      </c>
      <c r="AS252" s="865">
        <v>967999.75320000004</v>
      </c>
      <c r="AT252" s="865"/>
      <c r="AU252" s="865"/>
      <c r="AV252" s="865"/>
      <c r="AW252" s="865">
        <v>2714667.6199999996</v>
      </c>
      <c r="AX252" s="865">
        <v>96651.999999999985</v>
      </c>
      <c r="AY252" s="865"/>
      <c r="AZ252" s="865"/>
      <c r="BA252" s="865"/>
      <c r="BB252" s="865"/>
      <c r="BC252" s="865">
        <v>813899.99999999988</v>
      </c>
      <c r="BD252" s="865">
        <v>542600</v>
      </c>
      <c r="BE252" s="865">
        <v>915637.5</v>
      </c>
      <c r="BF252" s="865">
        <v>1862.9999999999998</v>
      </c>
      <c r="BG252" s="865"/>
      <c r="BH252" s="865">
        <v>2421787.0999999996</v>
      </c>
      <c r="BI252" s="865"/>
      <c r="BJ252" s="865"/>
      <c r="BK252" s="865"/>
      <c r="BL252" s="865"/>
      <c r="BM252" s="865"/>
      <c r="BN252" s="865"/>
      <c r="BO252" s="865">
        <v>819999.99999999977</v>
      </c>
      <c r="BP252" s="865"/>
      <c r="BQ252" s="865"/>
      <c r="BR252" s="865"/>
      <c r="BS252" s="865">
        <v>13753106.973199993</v>
      </c>
      <c r="BT252" s="412">
        <f t="shared" si="9"/>
        <v>8237319.3731999993</v>
      </c>
      <c r="BU252" s="413">
        <v>0</v>
      </c>
      <c r="BV252" s="413">
        <v>0.11751392769222635</v>
      </c>
      <c r="BW252" s="413">
        <v>0.52638483510875078</v>
      </c>
      <c r="BX252" s="413">
        <v>0.3412905937757601</v>
      </c>
      <c r="BY252" s="413">
        <v>0</v>
      </c>
      <c r="BZ252" s="413">
        <v>0</v>
      </c>
      <c r="CA252" s="413">
        <v>0</v>
      </c>
      <c r="CB252" s="413">
        <v>0</v>
      </c>
      <c r="CC252" s="413">
        <v>0</v>
      </c>
      <c r="CD252" s="413">
        <v>0</v>
      </c>
      <c r="CE252" s="413">
        <v>0</v>
      </c>
      <c r="CF252" s="413">
        <v>0</v>
      </c>
      <c r="CG252" s="413">
        <v>0</v>
      </c>
      <c r="CH252" s="413">
        <v>0</v>
      </c>
      <c r="CI252" s="413">
        <v>1.4810643423262822E-2</v>
      </c>
      <c r="CJ252" s="413">
        <v>0</v>
      </c>
      <c r="CK252" s="413">
        <v>0</v>
      </c>
      <c r="CL252" s="413">
        <v>0</v>
      </c>
      <c r="CM252" s="413">
        <v>0</v>
      </c>
      <c r="CN252" s="413">
        <v>0</v>
      </c>
      <c r="CO252" s="414">
        <f t="shared" si="8"/>
        <v>1</v>
      </c>
    </row>
    <row r="253" spans="1:93" s="415" customFormat="1" ht="25.5" x14ac:dyDescent="0.25">
      <c r="A253" s="881" t="s">
        <v>326</v>
      </c>
      <c r="B253" s="862" t="s">
        <v>1999</v>
      </c>
      <c r="C253" s="861" t="s">
        <v>829</v>
      </c>
      <c r="D253" s="862"/>
      <c r="E253" s="861" t="s">
        <v>56</v>
      </c>
      <c r="F253" s="862"/>
      <c r="G253" s="861" t="s">
        <v>804</v>
      </c>
      <c r="H253" s="861" t="s">
        <v>654</v>
      </c>
      <c r="I253" s="861" t="s">
        <v>647</v>
      </c>
      <c r="J253" s="861" t="s">
        <v>641</v>
      </c>
      <c r="K253" s="861" t="s">
        <v>649</v>
      </c>
      <c r="L253" s="861" t="s">
        <v>40</v>
      </c>
      <c r="M253" s="861" t="s">
        <v>646</v>
      </c>
      <c r="N253" s="861"/>
      <c r="O253" s="861"/>
      <c r="P253" s="861" t="s">
        <v>643</v>
      </c>
      <c r="Q253" s="861" t="s">
        <v>642</v>
      </c>
      <c r="R253" s="861" t="s">
        <v>652</v>
      </c>
      <c r="S253" s="861" t="s">
        <v>649</v>
      </c>
      <c r="T253" s="861"/>
      <c r="U253" s="861"/>
      <c r="V253" s="861" t="s">
        <v>685</v>
      </c>
      <c r="W253" s="861" t="s">
        <v>640</v>
      </c>
      <c r="X253" s="863">
        <v>40990</v>
      </c>
      <c r="Y253" s="863">
        <v>42221</v>
      </c>
      <c r="Z253" s="864">
        <v>2015</v>
      </c>
      <c r="AA253" s="861"/>
      <c r="AB253" s="861" t="s">
        <v>675</v>
      </c>
      <c r="AC253" s="861" t="s">
        <v>663</v>
      </c>
      <c r="AD253" s="865"/>
      <c r="AE253" s="865"/>
      <c r="AF253" s="865"/>
      <c r="AG253" s="865"/>
      <c r="AH253" s="865"/>
      <c r="AI253" s="865"/>
      <c r="AJ253" s="865">
        <v>247702.85935000022</v>
      </c>
      <c r="AK253" s="865"/>
      <c r="AL253" s="865"/>
      <c r="AM253" s="865"/>
      <c r="AN253" s="865"/>
      <c r="AO253" s="865"/>
      <c r="AP253" s="865"/>
      <c r="AQ253" s="865"/>
      <c r="AR253" s="865">
        <v>1377059.7368317014</v>
      </c>
      <c r="AS253" s="865">
        <v>1487596.2020510011</v>
      </c>
      <c r="AT253" s="865"/>
      <c r="AU253" s="865"/>
      <c r="AV253" s="865"/>
      <c r="AW253" s="865"/>
      <c r="AX253" s="865"/>
      <c r="AY253" s="865"/>
      <c r="AZ253" s="865"/>
      <c r="BA253" s="865"/>
      <c r="BB253" s="865"/>
      <c r="BC253" s="865"/>
      <c r="BD253" s="865"/>
      <c r="BE253" s="865"/>
      <c r="BF253" s="865"/>
      <c r="BG253" s="865"/>
      <c r="BH253" s="865">
        <v>389044.84977908782</v>
      </c>
      <c r="BI253" s="865">
        <v>373483.05578792433</v>
      </c>
      <c r="BJ253" s="865">
        <v>31123.587982327022</v>
      </c>
      <c r="BK253" s="865">
        <v>93370.763946981082</v>
      </c>
      <c r="BL253" s="865">
        <v>46685.381973490534</v>
      </c>
      <c r="BM253" s="865">
        <v>93370.763946981067</v>
      </c>
      <c r="BN253" s="865">
        <v>62247.175964654045</v>
      </c>
      <c r="BO253" s="865"/>
      <c r="BP253" s="865"/>
      <c r="BQ253" s="865"/>
      <c r="BR253" s="865"/>
      <c r="BS253" s="865">
        <v>4201684.377614148</v>
      </c>
      <c r="BT253" s="412">
        <f t="shared" si="9"/>
        <v>3112358.7982327025</v>
      </c>
      <c r="BU253" s="413">
        <v>0</v>
      </c>
      <c r="BV253" s="413">
        <v>0.477964238215628</v>
      </c>
      <c r="BW253" s="413">
        <v>0.44244890326065239</v>
      </c>
      <c r="BX253" s="413">
        <v>0</v>
      </c>
      <c r="BY253" s="413">
        <v>0</v>
      </c>
      <c r="BZ253" s="413">
        <v>0</v>
      </c>
      <c r="CA253" s="413">
        <v>0</v>
      </c>
      <c r="CB253" s="413">
        <v>0</v>
      </c>
      <c r="CC253" s="413">
        <v>0</v>
      </c>
      <c r="CD253" s="413">
        <v>0</v>
      </c>
      <c r="CE253" s="413">
        <v>7.9586858523719647E-2</v>
      </c>
      <c r="CF253" s="413">
        <v>0</v>
      </c>
      <c r="CG253" s="413">
        <v>0</v>
      </c>
      <c r="CH253" s="413">
        <v>0</v>
      </c>
      <c r="CI253" s="413">
        <v>0</v>
      </c>
      <c r="CJ253" s="413">
        <v>0</v>
      </c>
      <c r="CK253" s="413">
        <v>0</v>
      </c>
      <c r="CL253" s="413">
        <v>0</v>
      </c>
      <c r="CM253" s="413">
        <v>0</v>
      </c>
      <c r="CN253" s="413">
        <v>0</v>
      </c>
      <c r="CO253" s="414">
        <f t="shared" si="8"/>
        <v>1</v>
      </c>
    </row>
    <row r="254" spans="1:93" s="415" customFormat="1" ht="25.5" customHeight="1" x14ac:dyDescent="0.25">
      <c r="A254" s="881" t="s">
        <v>327</v>
      </c>
      <c r="B254" s="862" t="s">
        <v>2003</v>
      </c>
      <c r="C254" s="861" t="s">
        <v>828</v>
      </c>
      <c r="D254" s="862"/>
      <c r="E254" s="861" t="s">
        <v>827</v>
      </c>
      <c r="F254" s="862"/>
      <c r="G254" s="861"/>
      <c r="H254" s="861" t="s">
        <v>654</v>
      </c>
      <c r="I254" s="861" t="s">
        <v>647</v>
      </c>
      <c r="J254" s="861" t="s">
        <v>641</v>
      </c>
      <c r="K254" s="861" t="s">
        <v>649</v>
      </c>
      <c r="L254" s="861" t="s">
        <v>28</v>
      </c>
      <c r="M254" s="861" t="s">
        <v>646</v>
      </c>
      <c r="N254" s="861" t="s">
        <v>668</v>
      </c>
      <c r="O254" s="861"/>
      <c r="P254" s="861" t="s">
        <v>643</v>
      </c>
      <c r="Q254" s="861" t="s">
        <v>656</v>
      </c>
      <c r="R254" s="861" t="s">
        <v>652</v>
      </c>
      <c r="S254" s="861"/>
      <c r="T254" s="861"/>
      <c r="U254" s="861"/>
      <c r="V254" s="861" t="s">
        <v>641</v>
      </c>
      <c r="W254" s="861"/>
      <c r="X254" s="863">
        <v>41456</v>
      </c>
      <c r="Y254" s="863">
        <v>42479</v>
      </c>
      <c r="Z254" s="864">
        <v>2016</v>
      </c>
      <c r="AA254" s="861"/>
      <c r="AB254" s="861" t="s">
        <v>675</v>
      </c>
      <c r="AC254" s="861" t="s">
        <v>663</v>
      </c>
      <c r="AD254" s="865"/>
      <c r="AE254" s="865"/>
      <c r="AF254" s="865"/>
      <c r="AG254" s="865"/>
      <c r="AH254" s="865"/>
      <c r="AI254" s="865">
        <v>372600.02173499996</v>
      </c>
      <c r="AJ254" s="865"/>
      <c r="AK254" s="865"/>
      <c r="AL254" s="865">
        <v>1452464.9999999998</v>
      </c>
      <c r="AM254" s="865"/>
      <c r="AN254" s="865"/>
      <c r="AO254" s="865"/>
      <c r="AP254" s="865"/>
      <c r="AQ254" s="865"/>
      <c r="AR254" s="865">
        <v>410000.00000099995</v>
      </c>
      <c r="AS254" s="865"/>
      <c r="AT254" s="865">
        <v>10000</v>
      </c>
      <c r="AU254" s="865"/>
      <c r="AV254" s="865"/>
      <c r="AW254" s="865"/>
      <c r="AX254" s="865"/>
      <c r="AY254" s="865"/>
      <c r="AZ254" s="865"/>
      <c r="BA254" s="865"/>
      <c r="BB254" s="865"/>
      <c r="BC254" s="865">
        <v>245822.25326039986</v>
      </c>
      <c r="BD254" s="865"/>
      <c r="BE254" s="865"/>
      <c r="BF254" s="865">
        <v>6822.4400062400991</v>
      </c>
      <c r="BG254" s="865"/>
      <c r="BH254" s="865">
        <v>62192.742875065989</v>
      </c>
      <c r="BI254" s="865">
        <v>49754.194300052797</v>
      </c>
      <c r="BJ254" s="865">
        <v>24877.097150026395</v>
      </c>
      <c r="BK254" s="865">
        <v>74631.291450079181</v>
      </c>
      <c r="BL254" s="865">
        <v>37315.645725039591</v>
      </c>
      <c r="BM254" s="865">
        <v>74631.291450079181</v>
      </c>
      <c r="BN254" s="865">
        <v>49754.194300052797</v>
      </c>
      <c r="BO254" s="865">
        <v>280000</v>
      </c>
      <c r="BP254" s="865"/>
      <c r="BQ254" s="865"/>
      <c r="BR254" s="865">
        <v>200000</v>
      </c>
      <c r="BS254" s="865">
        <v>3350866.1722530355</v>
      </c>
      <c r="BT254" s="412">
        <f t="shared" si="9"/>
        <v>2245065.0217359997</v>
      </c>
      <c r="BU254" s="413">
        <v>0</v>
      </c>
      <c r="BV254" s="413">
        <v>0</v>
      </c>
      <c r="BW254" s="413">
        <v>0.18262277307405861</v>
      </c>
      <c r="BX254" s="413">
        <v>0</v>
      </c>
      <c r="BY254" s="413">
        <v>0</v>
      </c>
      <c r="BZ254" s="413">
        <v>4.4542139774052004E-3</v>
      </c>
      <c r="CA254" s="413">
        <v>0</v>
      </c>
      <c r="CB254" s="413">
        <v>0</v>
      </c>
      <c r="CC254" s="413">
        <v>0</v>
      </c>
      <c r="CD254" s="413">
        <v>0</v>
      </c>
      <c r="CE254" s="413">
        <v>0</v>
      </c>
      <c r="CF254" s="413">
        <v>0.16596402247935182</v>
      </c>
      <c r="CG254" s="413">
        <v>0</v>
      </c>
      <c r="CH254" s="413">
        <v>0</v>
      </c>
      <c r="CI254" s="413">
        <v>0.64695899046918437</v>
      </c>
      <c r="CJ254" s="413">
        <v>0</v>
      </c>
      <c r="CK254" s="413">
        <v>0</v>
      </c>
      <c r="CL254" s="413">
        <v>0</v>
      </c>
      <c r="CM254" s="413">
        <v>0</v>
      </c>
      <c r="CN254" s="413">
        <v>0</v>
      </c>
      <c r="CO254" s="414">
        <f t="shared" si="8"/>
        <v>1</v>
      </c>
    </row>
    <row r="255" spans="1:93" s="415" customFormat="1" ht="38.25" x14ac:dyDescent="0.25">
      <c r="A255" s="881" t="s">
        <v>826</v>
      </c>
      <c r="B255" s="862" t="s">
        <v>2005</v>
      </c>
      <c r="C255" s="861" t="s">
        <v>825</v>
      </c>
      <c r="D255" s="862"/>
      <c r="E255" s="861" t="s">
        <v>779</v>
      </c>
      <c r="F255" s="862"/>
      <c r="G255" s="861" t="s">
        <v>722</v>
      </c>
      <c r="H255" s="861" t="s">
        <v>654</v>
      </c>
      <c r="I255" s="861" t="s">
        <v>647</v>
      </c>
      <c r="J255" s="861" t="s">
        <v>641</v>
      </c>
      <c r="K255" s="861" t="s">
        <v>649</v>
      </c>
      <c r="L255" s="861" t="s">
        <v>54</v>
      </c>
      <c r="M255" s="861" t="s">
        <v>646</v>
      </c>
      <c r="N255" s="861" t="s">
        <v>821</v>
      </c>
      <c r="O255" s="861"/>
      <c r="P255" s="861" t="s">
        <v>643</v>
      </c>
      <c r="Q255" s="861" t="s">
        <v>656</v>
      </c>
      <c r="R255" s="861" t="s">
        <v>652</v>
      </c>
      <c r="S255" s="861" t="s">
        <v>649</v>
      </c>
      <c r="T255" s="861"/>
      <c r="U255" s="861"/>
      <c r="V255" s="861" t="s">
        <v>641</v>
      </c>
      <c r="W255" s="861" t="s">
        <v>688</v>
      </c>
      <c r="X255" s="863">
        <v>42064</v>
      </c>
      <c r="Y255" s="863">
        <v>43066</v>
      </c>
      <c r="Z255" s="864">
        <v>2017</v>
      </c>
      <c r="AA255" s="861" t="s">
        <v>663</v>
      </c>
      <c r="AB255" s="861" t="s">
        <v>675</v>
      </c>
      <c r="AC255" s="861" t="s">
        <v>663</v>
      </c>
      <c r="AD255" s="865"/>
      <c r="AE255" s="865"/>
      <c r="AF255" s="865"/>
      <c r="AG255" s="865">
        <v>3550100</v>
      </c>
      <c r="AH255" s="865"/>
      <c r="AI255" s="865"/>
      <c r="AJ255" s="865"/>
      <c r="AK255" s="865"/>
      <c r="AL255" s="865"/>
      <c r="AM255" s="865"/>
      <c r="AN255" s="865"/>
      <c r="AO255" s="865"/>
      <c r="AP255" s="865"/>
      <c r="AQ255" s="865"/>
      <c r="AR255" s="865"/>
      <c r="AS255" s="865"/>
      <c r="AT255" s="865"/>
      <c r="AU255" s="865"/>
      <c r="AV255" s="865"/>
      <c r="AW255" s="865"/>
      <c r="AX255" s="865"/>
      <c r="AY255" s="865"/>
      <c r="AZ255" s="865"/>
      <c r="BA255" s="865"/>
      <c r="BB255" s="865"/>
      <c r="BC255" s="865"/>
      <c r="BD255" s="865"/>
      <c r="BE255" s="865"/>
      <c r="BF255" s="865">
        <v>137.50000000000003</v>
      </c>
      <c r="BG255" s="865"/>
      <c r="BH255" s="865">
        <v>1253.4375</v>
      </c>
      <c r="BI255" s="865">
        <v>1002.7499999999999</v>
      </c>
      <c r="BJ255" s="865">
        <v>501.375</v>
      </c>
      <c r="BK255" s="865">
        <v>1504.125</v>
      </c>
      <c r="BL255" s="865">
        <v>752.0625</v>
      </c>
      <c r="BM255" s="865">
        <v>1504.125</v>
      </c>
      <c r="BN255" s="865">
        <v>1002.75</v>
      </c>
      <c r="BO255" s="865"/>
      <c r="BP255" s="865"/>
      <c r="BQ255" s="865"/>
      <c r="BR255" s="865"/>
      <c r="BS255" s="865">
        <v>3557758.125</v>
      </c>
      <c r="BT255" s="412">
        <f t="shared" si="9"/>
        <v>3550100</v>
      </c>
      <c r="BU255" s="413">
        <v>0</v>
      </c>
      <c r="BV255" s="413">
        <v>0</v>
      </c>
      <c r="BW255" s="413">
        <v>0</v>
      </c>
      <c r="BX255" s="413">
        <v>0</v>
      </c>
      <c r="BY255" s="413">
        <v>0</v>
      </c>
      <c r="BZ255" s="413">
        <v>0</v>
      </c>
      <c r="CA255" s="413">
        <v>0</v>
      </c>
      <c r="CB255" s="413">
        <v>0</v>
      </c>
      <c r="CC255" s="413">
        <v>0</v>
      </c>
      <c r="CD255" s="413">
        <v>1</v>
      </c>
      <c r="CE255" s="413">
        <v>0</v>
      </c>
      <c r="CF255" s="413">
        <v>0</v>
      </c>
      <c r="CG255" s="413">
        <v>0</v>
      </c>
      <c r="CH255" s="413">
        <v>0</v>
      </c>
      <c r="CI255" s="413">
        <v>0</v>
      </c>
      <c r="CJ255" s="413">
        <v>0</v>
      </c>
      <c r="CK255" s="413">
        <v>0</v>
      </c>
      <c r="CL255" s="413">
        <v>0</v>
      </c>
      <c r="CM255" s="413">
        <v>0</v>
      </c>
      <c r="CN255" s="413">
        <v>0</v>
      </c>
      <c r="CO255" s="414">
        <f t="shared" si="8"/>
        <v>1</v>
      </c>
    </row>
    <row r="256" spans="1:93" s="415" customFormat="1" ht="25.5" customHeight="1" x14ac:dyDescent="0.25">
      <c r="A256" s="881" t="s">
        <v>329</v>
      </c>
      <c r="B256" s="862" t="s">
        <v>2007</v>
      </c>
      <c r="C256" s="861" t="s">
        <v>824</v>
      </c>
      <c r="D256" s="862"/>
      <c r="E256" s="861"/>
      <c r="F256" s="862"/>
      <c r="G256" s="861" t="s">
        <v>686</v>
      </c>
      <c r="H256" s="861" t="s">
        <v>654</v>
      </c>
      <c r="I256" s="861" t="s">
        <v>647</v>
      </c>
      <c r="J256" s="861" t="s">
        <v>641</v>
      </c>
      <c r="K256" s="861" t="s">
        <v>649</v>
      </c>
      <c r="L256" s="861" t="s">
        <v>28</v>
      </c>
      <c r="M256" s="861" t="s">
        <v>646</v>
      </c>
      <c r="N256" s="861" t="s">
        <v>680</v>
      </c>
      <c r="O256" s="861" t="s">
        <v>644</v>
      </c>
      <c r="P256" s="861" t="s">
        <v>823</v>
      </c>
      <c r="Q256" s="861" t="s">
        <v>642</v>
      </c>
      <c r="R256" s="861" t="s">
        <v>652</v>
      </c>
      <c r="S256" s="861" t="s">
        <v>649</v>
      </c>
      <c r="T256" s="861"/>
      <c r="U256" s="861" t="s">
        <v>689</v>
      </c>
      <c r="V256" s="861" t="s">
        <v>641</v>
      </c>
      <c r="W256" s="861" t="s">
        <v>822</v>
      </c>
      <c r="X256" s="863"/>
      <c r="Y256" s="863"/>
      <c r="Z256" s="864">
        <v>2016</v>
      </c>
      <c r="AA256" s="861" t="s">
        <v>663</v>
      </c>
      <c r="AB256" s="861"/>
      <c r="AC256" s="861" t="s">
        <v>663</v>
      </c>
      <c r="AD256" s="865"/>
      <c r="AE256" s="865"/>
      <c r="AF256" s="865"/>
      <c r="AG256" s="865"/>
      <c r="AH256" s="865"/>
      <c r="AI256" s="865"/>
      <c r="AJ256" s="865"/>
      <c r="AK256" s="865"/>
      <c r="AL256" s="865"/>
      <c r="AM256" s="865"/>
      <c r="AN256" s="865"/>
      <c r="AO256" s="865"/>
      <c r="AP256" s="865"/>
      <c r="AQ256" s="865"/>
      <c r="AR256" s="865"/>
      <c r="AS256" s="865"/>
      <c r="AT256" s="865"/>
      <c r="AU256" s="865"/>
      <c r="AV256" s="865"/>
      <c r="AW256" s="865"/>
      <c r="AX256" s="865"/>
      <c r="AY256" s="865"/>
      <c r="AZ256" s="865"/>
      <c r="BA256" s="865"/>
      <c r="BB256" s="865"/>
      <c r="BC256" s="865"/>
      <c r="BD256" s="865"/>
      <c r="BE256" s="865"/>
      <c r="BF256" s="865"/>
      <c r="BG256" s="865"/>
      <c r="BH256" s="865"/>
      <c r="BI256" s="865"/>
      <c r="BJ256" s="865"/>
      <c r="BK256" s="865"/>
      <c r="BL256" s="865"/>
      <c r="BM256" s="865"/>
      <c r="BN256" s="865"/>
      <c r="BO256" s="865"/>
      <c r="BP256" s="865"/>
      <c r="BQ256" s="865"/>
      <c r="BR256" s="865"/>
      <c r="BS256" s="865"/>
      <c r="BT256" s="412">
        <f t="shared" si="9"/>
        <v>0</v>
      </c>
      <c r="BU256" s="413">
        <v>0</v>
      </c>
      <c r="BV256" s="413">
        <v>0</v>
      </c>
      <c r="BW256" s="413">
        <v>0</v>
      </c>
      <c r="BX256" s="413">
        <v>0</v>
      </c>
      <c r="BY256" s="413">
        <v>0</v>
      </c>
      <c r="BZ256" s="413">
        <v>0</v>
      </c>
      <c r="CA256" s="413">
        <v>0</v>
      </c>
      <c r="CB256" s="413">
        <v>0</v>
      </c>
      <c r="CC256" s="413">
        <v>0</v>
      </c>
      <c r="CD256" s="413">
        <v>0</v>
      </c>
      <c r="CE256" s="413">
        <v>0</v>
      </c>
      <c r="CF256" s="413">
        <v>4.4818930827109207E-2</v>
      </c>
      <c r="CG256" s="413">
        <v>0</v>
      </c>
      <c r="CH256" s="413">
        <v>0</v>
      </c>
      <c r="CI256" s="413">
        <v>0.95518106917289081</v>
      </c>
      <c r="CJ256" s="413">
        <v>0</v>
      </c>
      <c r="CK256" s="413">
        <v>0</v>
      </c>
      <c r="CL256" s="413">
        <v>0</v>
      </c>
      <c r="CM256" s="413">
        <v>0</v>
      </c>
      <c r="CN256" s="413">
        <v>0</v>
      </c>
      <c r="CO256" s="414">
        <f t="shared" si="8"/>
        <v>1</v>
      </c>
    </row>
    <row r="257" spans="1:93" s="415" customFormat="1" ht="25.5" customHeight="1" x14ac:dyDescent="0.25">
      <c r="A257" s="881" t="s">
        <v>332</v>
      </c>
      <c r="B257" s="862" t="s">
        <v>2011</v>
      </c>
      <c r="C257" s="861" t="s">
        <v>2445</v>
      </c>
      <c r="D257" s="862"/>
      <c r="E257" s="861" t="s">
        <v>779</v>
      </c>
      <c r="F257" s="862"/>
      <c r="G257" s="861" t="s">
        <v>686</v>
      </c>
      <c r="H257" s="861" t="s">
        <v>654</v>
      </c>
      <c r="I257" s="861" t="s">
        <v>647</v>
      </c>
      <c r="J257" s="861" t="s">
        <v>641</v>
      </c>
      <c r="K257" s="861" t="s">
        <v>649</v>
      </c>
      <c r="L257" s="861" t="s">
        <v>54</v>
      </c>
      <c r="M257" s="861" t="s">
        <v>646</v>
      </c>
      <c r="N257" s="861" t="s">
        <v>699</v>
      </c>
      <c r="O257" s="861"/>
      <c r="P257" s="861" t="s">
        <v>643</v>
      </c>
      <c r="Q257" s="861"/>
      <c r="R257" s="861" t="s">
        <v>652</v>
      </c>
      <c r="S257" s="861" t="s">
        <v>649</v>
      </c>
      <c r="T257" s="861"/>
      <c r="U257" s="861"/>
      <c r="V257" s="861" t="s">
        <v>641</v>
      </c>
      <c r="W257" s="861" t="s">
        <v>766</v>
      </c>
      <c r="X257" s="863">
        <v>42675</v>
      </c>
      <c r="Y257" s="863">
        <v>43160</v>
      </c>
      <c r="Z257" s="864">
        <v>2018</v>
      </c>
      <c r="AA257" s="861" t="s">
        <v>663</v>
      </c>
      <c r="AB257" s="861" t="s">
        <v>675</v>
      </c>
      <c r="AC257" s="861" t="s">
        <v>663</v>
      </c>
      <c r="AD257" s="865"/>
      <c r="AE257" s="865"/>
      <c r="AF257" s="865"/>
      <c r="AG257" s="865"/>
      <c r="AH257" s="865"/>
      <c r="AI257" s="865"/>
      <c r="AJ257" s="865"/>
      <c r="AK257" s="865"/>
      <c r="AL257" s="865"/>
      <c r="AM257" s="865"/>
      <c r="AN257" s="865"/>
      <c r="AO257" s="865"/>
      <c r="AP257" s="865"/>
      <c r="AQ257" s="865"/>
      <c r="AR257" s="865"/>
      <c r="AS257" s="865"/>
      <c r="AT257" s="865"/>
      <c r="AU257" s="865"/>
      <c r="AV257" s="865"/>
      <c r="AW257" s="865"/>
      <c r="AX257" s="865"/>
      <c r="AY257" s="865"/>
      <c r="AZ257" s="865"/>
      <c r="BA257" s="865"/>
      <c r="BB257" s="865"/>
      <c r="BC257" s="865"/>
      <c r="BD257" s="865"/>
      <c r="BE257" s="865"/>
      <c r="BF257" s="865"/>
      <c r="BG257" s="865"/>
      <c r="BH257" s="865"/>
      <c r="BI257" s="865"/>
      <c r="BJ257" s="865"/>
      <c r="BK257" s="865"/>
      <c r="BL257" s="865"/>
      <c r="BM257" s="865"/>
      <c r="BN257" s="865"/>
      <c r="BO257" s="865"/>
      <c r="BP257" s="865"/>
      <c r="BQ257" s="865"/>
      <c r="BR257" s="865"/>
      <c r="BS257" s="865"/>
      <c r="BT257" s="412">
        <f t="shared" si="9"/>
        <v>0</v>
      </c>
      <c r="BU257" s="413">
        <v>0</v>
      </c>
      <c r="BV257" s="413">
        <v>0</v>
      </c>
      <c r="BW257" s="413">
        <v>0</v>
      </c>
      <c r="BX257" s="413">
        <v>0</v>
      </c>
      <c r="BY257" s="413">
        <v>0</v>
      </c>
      <c r="BZ257" s="413">
        <v>0</v>
      </c>
      <c r="CA257" s="413">
        <v>0</v>
      </c>
      <c r="CB257" s="413">
        <v>0</v>
      </c>
      <c r="CC257" s="413">
        <v>0</v>
      </c>
      <c r="CD257" s="413">
        <v>0</v>
      </c>
      <c r="CE257" s="413">
        <v>0</v>
      </c>
      <c r="CF257" s="413">
        <v>0</v>
      </c>
      <c r="CG257" s="413">
        <v>0</v>
      </c>
      <c r="CH257" s="413">
        <v>0</v>
      </c>
      <c r="CI257" s="413">
        <v>0</v>
      </c>
      <c r="CJ257" s="413">
        <v>0</v>
      </c>
      <c r="CK257" s="413">
        <v>0</v>
      </c>
      <c r="CL257" s="413">
        <v>0</v>
      </c>
      <c r="CM257" s="413">
        <v>0</v>
      </c>
      <c r="CN257" s="413">
        <v>0</v>
      </c>
      <c r="CO257" s="414">
        <f t="shared" si="8"/>
        <v>0</v>
      </c>
    </row>
    <row r="258" spans="1:93" s="415" customFormat="1" ht="25.5" x14ac:dyDescent="0.25">
      <c r="A258" s="881" t="s">
        <v>820</v>
      </c>
      <c r="B258" s="862" t="s">
        <v>2027</v>
      </c>
      <c r="C258" s="861" t="s">
        <v>819</v>
      </c>
      <c r="D258" s="862"/>
      <c r="E258" s="861" t="s">
        <v>55</v>
      </c>
      <c r="F258" s="862"/>
      <c r="G258" s="861" t="s">
        <v>648</v>
      </c>
      <c r="H258" s="861" t="s">
        <v>654</v>
      </c>
      <c r="I258" s="861" t="s">
        <v>647</v>
      </c>
      <c r="J258" s="861" t="s">
        <v>641</v>
      </c>
      <c r="K258" s="861" t="s">
        <v>649</v>
      </c>
      <c r="L258" s="861" t="s">
        <v>55</v>
      </c>
      <c r="M258" s="861" t="s">
        <v>646</v>
      </c>
      <c r="N258" s="861"/>
      <c r="O258" s="861"/>
      <c r="P258" s="861" t="s">
        <v>643</v>
      </c>
      <c r="Q258" s="861" t="s">
        <v>650</v>
      </c>
      <c r="R258" s="861" t="s">
        <v>652</v>
      </c>
      <c r="S258" s="861" t="s">
        <v>649</v>
      </c>
      <c r="T258" s="861"/>
      <c r="U258" s="861"/>
      <c r="V258" s="861" t="s">
        <v>683</v>
      </c>
      <c r="W258" s="861" t="s">
        <v>677</v>
      </c>
      <c r="X258" s="863">
        <v>43252</v>
      </c>
      <c r="Y258" s="863">
        <v>43797</v>
      </c>
      <c r="Z258" s="864">
        <v>2019</v>
      </c>
      <c r="AA258" s="861" t="s">
        <v>676</v>
      </c>
      <c r="AB258" s="861" t="s">
        <v>675</v>
      </c>
      <c r="AC258" s="861" t="s">
        <v>663</v>
      </c>
      <c r="AD258" s="865"/>
      <c r="AE258" s="865"/>
      <c r="AF258" s="865"/>
      <c r="AG258" s="865"/>
      <c r="AH258" s="865"/>
      <c r="AI258" s="865"/>
      <c r="AJ258" s="865"/>
      <c r="AK258" s="865"/>
      <c r="AL258" s="865"/>
      <c r="AM258" s="865"/>
      <c r="AN258" s="865"/>
      <c r="AO258" s="865"/>
      <c r="AP258" s="865"/>
      <c r="AQ258" s="865"/>
      <c r="AR258" s="865"/>
      <c r="AS258" s="865"/>
      <c r="AT258" s="865"/>
      <c r="AU258" s="865"/>
      <c r="AV258" s="865"/>
      <c r="AW258" s="865">
        <v>33250.000000000022</v>
      </c>
      <c r="AX258" s="865">
        <v>316750.00000000017</v>
      </c>
      <c r="AY258" s="865"/>
      <c r="AZ258" s="865"/>
      <c r="BA258" s="865"/>
      <c r="BB258" s="865"/>
      <c r="BC258" s="865"/>
      <c r="BD258" s="865"/>
      <c r="BE258" s="865"/>
      <c r="BF258" s="865"/>
      <c r="BG258" s="865"/>
      <c r="BH258" s="865"/>
      <c r="BI258" s="865"/>
      <c r="BJ258" s="865"/>
      <c r="BK258" s="865"/>
      <c r="BL258" s="865"/>
      <c r="BM258" s="865"/>
      <c r="BN258" s="865"/>
      <c r="BO258" s="865"/>
      <c r="BP258" s="865"/>
      <c r="BQ258" s="865"/>
      <c r="BR258" s="865"/>
      <c r="BS258" s="865">
        <v>350000.00000000023</v>
      </c>
      <c r="BT258" s="412">
        <f t="shared" si="9"/>
        <v>350000.00000000017</v>
      </c>
      <c r="BU258" s="413">
        <v>0</v>
      </c>
      <c r="BV258" s="413">
        <v>0</v>
      </c>
      <c r="BW258" s="413">
        <v>0</v>
      </c>
      <c r="BX258" s="413">
        <v>1</v>
      </c>
      <c r="BY258" s="413">
        <v>0</v>
      </c>
      <c r="BZ258" s="413">
        <v>0</v>
      </c>
      <c r="CA258" s="413">
        <v>0</v>
      </c>
      <c r="CB258" s="413">
        <v>0</v>
      </c>
      <c r="CC258" s="413">
        <v>0</v>
      </c>
      <c r="CD258" s="413">
        <v>0</v>
      </c>
      <c r="CE258" s="413">
        <v>0</v>
      </c>
      <c r="CF258" s="413">
        <v>0</v>
      </c>
      <c r="CG258" s="413">
        <v>0</v>
      </c>
      <c r="CH258" s="413">
        <v>0</v>
      </c>
      <c r="CI258" s="413">
        <v>0</v>
      </c>
      <c r="CJ258" s="413">
        <v>0</v>
      </c>
      <c r="CK258" s="413">
        <v>0</v>
      </c>
      <c r="CL258" s="413">
        <v>0</v>
      </c>
      <c r="CM258" s="413">
        <v>0</v>
      </c>
      <c r="CN258" s="413">
        <v>0</v>
      </c>
      <c r="CO258" s="414">
        <f t="shared" si="8"/>
        <v>1</v>
      </c>
    </row>
    <row r="259" spans="1:93" s="415" customFormat="1" ht="25.5" x14ac:dyDescent="0.25">
      <c r="A259" s="881" t="s">
        <v>817</v>
      </c>
      <c r="B259" s="862" t="s">
        <v>2029</v>
      </c>
      <c r="C259" s="861" t="s">
        <v>816</v>
      </c>
      <c r="D259" s="862"/>
      <c r="E259" s="861" t="s">
        <v>56</v>
      </c>
      <c r="F259" s="862"/>
      <c r="G259" s="861" t="s">
        <v>722</v>
      </c>
      <c r="H259" s="861" t="s">
        <v>654</v>
      </c>
      <c r="I259" s="861" t="s">
        <v>647</v>
      </c>
      <c r="J259" s="861" t="s">
        <v>671</v>
      </c>
      <c r="K259" s="861" t="s">
        <v>649</v>
      </c>
      <c r="L259" s="861" t="s">
        <v>54</v>
      </c>
      <c r="M259" s="861" t="s">
        <v>646</v>
      </c>
      <c r="N259" s="861"/>
      <c r="O259" s="861"/>
      <c r="P259" s="861" t="s">
        <v>643</v>
      </c>
      <c r="Q259" s="861" t="s">
        <v>642</v>
      </c>
      <c r="R259" s="861" t="s">
        <v>652</v>
      </c>
      <c r="S259" s="861" t="s">
        <v>649</v>
      </c>
      <c r="T259" s="861"/>
      <c r="U259" s="861"/>
      <c r="V259" s="861" t="s">
        <v>685</v>
      </c>
      <c r="W259" s="861" t="s">
        <v>677</v>
      </c>
      <c r="X259" s="863">
        <v>42036</v>
      </c>
      <c r="Y259" s="863">
        <v>43249</v>
      </c>
      <c r="Z259" s="864">
        <v>2018</v>
      </c>
      <c r="AA259" s="861"/>
      <c r="AB259" s="861" t="s">
        <v>675</v>
      </c>
      <c r="AC259" s="861" t="s">
        <v>663</v>
      </c>
      <c r="AD259" s="865"/>
      <c r="AE259" s="865"/>
      <c r="AF259" s="865"/>
      <c r="AG259" s="865"/>
      <c r="AH259" s="865"/>
      <c r="AI259" s="865"/>
      <c r="AJ259" s="865"/>
      <c r="AK259" s="865"/>
      <c r="AL259" s="865"/>
      <c r="AM259" s="865"/>
      <c r="AN259" s="865"/>
      <c r="AO259" s="865"/>
      <c r="AP259" s="865"/>
      <c r="AQ259" s="865"/>
      <c r="AR259" s="865"/>
      <c r="AS259" s="865"/>
      <c r="AT259" s="865"/>
      <c r="AU259" s="865"/>
      <c r="AV259" s="865"/>
      <c r="AW259" s="865"/>
      <c r="AX259" s="865">
        <v>649999.99999999953</v>
      </c>
      <c r="AY259" s="865"/>
      <c r="AZ259" s="865"/>
      <c r="BA259" s="865"/>
      <c r="BB259" s="865"/>
      <c r="BC259" s="865"/>
      <c r="BD259" s="865"/>
      <c r="BE259" s="865"/>
      <c r="BF259" s="865"/>
      <c r="BG259" s="865"/>
      <c r="BH259" s="865"/>
      <c r="BI259" s="865"/>
      <c r="BJ259" s="865"/>
      <c r="BK259" s="865"/>
      <c r="BL259" s="865"/>
      <c r="BM259" s="865"/>
      <c r="BN259" s="865"/>
      <c r="BO259" s="865"/>
      <c r="BP259" s="865"/>
      <c r="BQ259" s="865"/>
      <c r="BR259" s="865"/>
      <c r="BS259" s="865">
        <v>649999.99999999953</v>
      </c>
      <c r="BT259" s="412">
        <f t="shared" si="9"/>
        <v>649999.99999999953</v>
      </c>
      <c r="BU259" s="413">
        <v>0</v>
      </c>
      <c r="BV259" s="413">
        <v>0</v>
      </c>
      <c r="BW259" s="413">
        <v>0</v>
      </c>
      <c r="BX259" s="413">
        <v>1</v>
      </c>
      <c r="BY259" s="413">
        <v>0</v>
      </c>
      <c r="BZ259" s="413">
        <v>0</v>
      </c>
      <c r="CA259" s="413">
        <v>0</v>
      </c>
      <c r="CB259" s="413">
        <v>0</v>
      </c>
      <c r="CC259" s="413">
        <v>0</v>
      </c>
      <c r="CD259" s="413">
        <v>0</v>
      </c>
      <c r="CE259" s="413">
        <v>0</v>
      </c>
      <c r="CF259" s="413">
        <v>0</v>
      </c>
      <c r="CG259" s="413">
        <v>0</v>
      </c>
      <c r="CH259" s="413">
        <v>0</v>
      </c>
      <c r="CI259" s="413">
        <v>0</v>
      </c>
      <c r="CJ259" s="413">
        <v>0</v>
      </c>
      <c r="CK259" s="413">
        <v>0</v>
      </c>
      <c r="CL259" s="413">
        <v>0</v>
      </c>
      <c r="CM259" s="413">
        <v>0</v>
      </c>
      <c r="CN259" s="413">
        <v>0</v>
      </c>
      <c r="CO259" s="414">
        <f t="shared" si="8"/>
        <v>1</v>
      </c>
    </row>
    <row r="260" spans="1:93" s="415" customFormat="1" ht="25.5" x14ac:dyDescent="0.25">
      <c r="A260" s="881" t="s">
        <v>338</v>
      </c>
      <c r="B260" s="862" t="s">
        <v>2031</v>
      </c>
      <c r="C260" s="871" t="s">
        <v>2446</v>
      </c>
      <c r="D260" s="862"/>
      <c r="E260" s="861"/>
      <c r="F260" s="862"/>
      <c r="G260" s="861"/>
      <c r="H260" s="861" t="s">
        <v>654</v>
      </c>
      <c r="I260" s="861" t="s">
        <v>647</v>
      </c>
      <c r="J260" s="861" t="s">
        <v>641</v>
      </c>
      <c r="K260" s="861" t="s">
        <v>649</v>
      </c>
      <c r="L260" s="861" t="s">
        <v>40</v>
      </c>
      <c r="M260" s="861" t="s">
        <v>646</v>
      </c>
      <c r="N260" s="861" t="s">
        <v>645</v>
      </c>
      <c r="O260" s="861" t="s">
        <v>908</v>
      </c>
      <c r="P260" s="861" t="s">
        <v>720</v>
      </c>
      <c r="Q260" s="861" t="s">
        <v>656</v>
      </c>
      <c r="R260" s="861" t="s">
        <v>652</v>
      </c>
      <c r="S260" s="861" t="s">
        <v>649</v>
      </c>
      <c r="T260" s="861"/>
      <c r="U260" s="861"/>
      <c r="V260" s="861" t="s">
        <v>685</v>
      </c>
      <c r="W260" s="861"/>
      <c r="X260" s="863">
        <v>41821</v>
      </c>
      <c r="Y260" s="863">
        <v>43165</v>
      </c>
      <c r="Z260" s="864">
        <v>2018</v>
      </c>
      <c r="AA260" s="861" t="s">
        <v>663</v>
      </c>
      <c r="AB260" s="861"/>
      <c r="AC260" s="861"/>
      <c r="AD260" s="865"/>
      <c r="AE260" s="865"/>
      <c r="AF260" s="865"/>
      <c r="AG260" s="865"/>
      <c r="AH260" s="865"/>
      <c r="AI260" s="865"/>
      <c r="AJ260" s="865"/>
      <c r="AK260" s="865"/>
      <c r="AL260" s="865"/>
      <c r="AM260" s="865"/>
      <c r="AN260" s="865"/>
      <c r="AO260" s="865"/>
      <c r="AP260" s="865"/>
      <c r="AQ260" s="865"/>
      <c r="AR260" s="872">
        <v>5624778.6299999971</v>
      </c>
      <c r="AS260" s="865"/>
      <c r="AT260" s="865"/>
      <c r="AU260" s="865"/>
      <c r="AV260" s="865"/>
      <c r="AW260" s="872">
        <v>0</v>
      </c>
      <c r="AX260" s="865"/>
      <c r="AY260" s="865"/>
      <c r="AZ260" s="865"/>
      <c r="BA260" s="865"/>
      <c r="BB260" s="865"/>
      <c r="BC260" s="865"/>
      <c r="BD260" s="865"/>
      <c r="BE260" s="865"/>
      <c r="BF260" s="865"/>
      <c r="BG260" s="865"/>
      <c r="BH260" s="865">
        <v>698999.35999999964</v>
      </c>
      <c r="BI260" s="865"/>
      <c r="BJ260" s="865"/>
      <c r="BK260" s="865"/>
      <c r="BL260" s="865"/>
      <c r="BM260" s="865"/>
      <c r="BN260" s="865"/>
      <c r="BO260" s="865">
        <v>219999.99999999991</v>
      </c>
      <c r="BP260" s="865"/>
      <c r="BQ260" s="865"/>
      <c r="BR260" s="865"/>
      <c r="BS260" s="865">
        <v>6543777.9899999974</v>
      </c>
      <c r="BT260" s="412">
        <f t="shared" si="9"/>
        <v>5624778.6299999971</v>
      </c>
      <c r="BU260" s="413">
        <v>0</v>
      </c>
      <c r="BV260" s="413">
        <v>0</v>
      </c>
      <c r="BW260" s="413">
        <v>1</v>
      </c>
      <c r="BX260" s="413">
        <v>0</v>
      </c>
      <c r="BY260" s="413">
        <v>0</v>
      </c>
      <c r="BZ260" s="413">
        <v>0</v>
      </c>
      <c r="CA260" s="413">
        <v>0</v>
      </c>
      <c r="CB260" s="413">
        <v>0</v>
      </c>
      <c r="CC260" s="413">
        <v>0</v>
      </c>
      <c r="CD260" s="413">
        <v>0</v>
      </c>
      <c r="CE260" s="413">
        <v>0</v>
      </c>
      <c r="CF260" s="413">
        <v>0</v>
      </c>
      <c r="CG260" s="413">
        <v>0</v>
      </c>
      <c r="CH260" s="413">
        <v>0</v>
      </c>
      <c r="CI260" s="413">
        <v>0</v>
      </c>
      <c r="CJ260" s="413">
        <v>0</v>
      </c>
      <c r="CK260" s="413">
        <v>0</v>
      </c>
      <c r="CL260" s="413">
        <v>0</v>
      </c>
      <c r="CM260" s="413">
        <v>0</v>
      </c>
      <c r="CN260" s="413">
        <v>0</v>
      </c>
      <c r="CO260" s="414">
        <f t="shared" si="8"/>
        <v>1</v>
      </c>
    </row>
    <row r="261" spans="1:93" s="415" customFormat="1" ht="25.5" x14ac:dyDescent="0.25">
      <c r="A261" s="881" t="s">
        <v>815</v>
      </c>
      <c r="B261" s="862" t="s">
        <v>2033</v>
      </c>
      <c r="C261" s="861" t="s">
        <v>814</v>
      </c>
      <c r="D261" s="862"/>
      <c r="E261" s="861" t="s">
        <v>56</v>
      </c>
      <c r="F261" s="862"/>
      <c r="G261" s="861" t="s">
        <v>705</v>
      </c>
      <c r="H261" s="861" t="s">
        <v>654</v>
      </c>
      <c r="I261" s="861" t="s">
        <v>647</v>
      </c>
      <c r="J261" s="861" t="s">
        <v>641</v>
      </c>
      <c r="K261" s="861" t="s">
        <v>649</v>
      </c>
      <c r="L261" s="861" t="s">
        <v>40</v>
      </c>
      <c r="M261" s="861" t="s">
        <v>646</v>
      </c>
      <c r="N261" s="861"/>
      <c r="O261" s="861"/>
      <c r="P261" s="861" t="s">
        <v>643</v>
      </c>
      <c r="Q261" s="861" t="s">
        <v>656</v>
      </c>
      <c r="R261" s="861" t="s">
        <v>652</v>
      </c>
      <c r="S261" s="861" t="s">
        <v>649</v>
      </c>
      <c r="T261" s="861"/>
      <c r="U261" s="861"/>
      <c r="V261" s="861" t="s">
        <v>685</v>
      </c>
      <c r="W261" s="861" t="s">
        <v>684</v>
      </c>
      <c r="X261" s="863">
        <v>42095</v>
      </c>
      <c r="Y261" s="863">
        <v>43034</v>
      </c>
      <c r="Z261" s="864">
        <v>2016</v>
      </c>
      <c r="AA261" s="861"/>
      <c r="AB261" s="861" t="s">
        <v>675</v>
      </c>
      <c r="AC261" s="861" t="s">
        <v>663</v>
      </c>
      <c r="AD261" s="865"/>
      <c r="AE261" s="865"/>
      <c r="AF261" s="865"/>
      <c r="AG261" s="865"/>
      <c r="AH261" s="865"/>
      <c r="AI261" s="865"/>
      <c r="AJ261" s="865"/>
      <c r="AK261" s="865"/>
      <c r="AL261" s="865"/>
      <c r="AM261" s="865"/>
      <c r="AN261" s="865"/>
      <c r="AO261" s="865"/>
      <c r="AP261" s="865"/>
      <c r="AQ261" s="865"/>
      <c r="AR261" s="865">
        <v>1121000</v>
      </c>
      <c r="AS261" s="865"/>
      <c r="AT261" s="865"/>
      <c r="AU261" s="865"/>
      <c r="AV261" s="865"/>
      <c r="AW261" s="865"/>
      <c r="AX261" s="865"/>
      <c r="AY261" s="865"/>
      <c r="AZ261" s="865"/>
      <c r="BA261" s="865"/>
      <c r="BB261" s="865"/>
      <c r="BC261" s="865"/>
      <c r="BD261" s="865"/>
      <c r="BE261" s="865"/>
      <c r="BF261" s="865"/>
      <c r="BG261" s="865"/>
      <c r="BH261" s="865"/>
      <c r="BI261" s="865"/>
      <c r="BJ261" s="865"/>
      <c r="BK261" s="865"/>
      <c r="BL261" s="865"/>
      <c r="BM261" s="865"/>
      <c r="BN261" s="865"/>
      <c r="BO261" s="865"/>
      <c r="BP261" s="865"/>
      <c r="BQ261" s="865"/>
      <c r="BR261" s="865"/>
      <c r="BS261" s="865">
        <v>1121000</v>
      </c>
      <c r="BT261" s="412">
        <f t="shared" si="9"/>
        <v>1121000</v>
      </c>
      <c r="BU261" s="413">
        <v>0</v>
      </c>
      <c r="BV261" s="413">
        <v>0</v>
      </c>
      <c r="BW261" s="413">
        <v>1</v>
      </c>
      <c r="BX261" s="413">
        <v>0</v>
      </c>
      <c r="BY261" s="413">
        <v>0</v>
      </c>
      <c r="BZ261" s="413">
        <v>0</v>
      </c>
      <c r="CA261" s="413">
        <v>0</v>
      </c>
      <c r="CB261" s="413">
        <v>0</v>
      </c>
      <c r="CC261" s="413">
        <v>0</v>
      </c>
      <c r="CD261" s="413">
        <v>0</v>
      </c>
      <c r="CE261" s="413">
        <v>0</v>
      </c>
      <c r="CF261" s="413">
        <v>0</v>
      </c>
      <c r="CG261" s="413">
        <v>0</v>
      </c>
      <c r="CH261" s="413">
        <v>0</v>
      </c>
      <c r="CI261" s="413">
        <v>0</v>
      </c>
      <c r="CJ261" s="413">
        <v>0</v>
      </c>
      <c r="CK261" s="413">
        <v>0</v>
      </c>
      <c r="CL261" s="413">
        <v>0</v>
      </c>
      <c r="CM261" s="413">
        <v>0</v>
      </c>
      <c r="CN261" s="413">
        <v>0</v>
      </c>
      <c r="CO261" s="414">
        <f t="shared" si="8"/>
        <v>1</v>
      </c>
    </row>
    <row r="262" spans="1:93" s="415" customFormat="1" ht="25.5" x14ac:dyDescent="0.25">
      <c r="A262" s="881" t="s">
        <v>813</v>
      </c>
      <c r="B262" s="862" t="s">
        <v>2035</v>
      </c>
      <c r="C262" s="861" t="s">
        <v>812</v>
      </c>
      <c r="D262" s="862"/>
      <c r="E262" s="861" t="s">
        <v>56</v>
      </c>
      <c r="F262" s="862"/>
      <c r="G262" s="861" t="s">
        <v>686</v>
      </c>
      <c r="H262" s="861" t="s">
        <v>654</v>
      </c>
      <c r="I262" s="861" t="s">
        <v>647</v>
      </c>
      <c r="J262" s="861" t="s">
        <v>641</v>
      </c>
      <c r="K262" s="861" t="s">
        <v>649</v>
      </c>
      <c r="L262" s="861" t="s">
        <v>40</v>
      </c>
      <c r="M262" s="861" t="s">
        <v>646</v>
      </c>
      <c r="N262" s="861"/>
      <c r="O262" s="861"/>
      <c r="P262" s="861" t="s">
        <v>643</v>
      </c>
      <c r="Q262" s="861" t="s">
        <v>656</v>
      </c>
      <c r="R262" s="861" t="s">
        <v>652</v>
      </c>
      <c r="S262" s="861" t="s">
        <v>649</v>
      </c>
      <c r="T262" s="861"/>
      <c r="U262" s="861"/>
      <c r="V262" s="861" t="s">
        <v>685</v>
      </c>
      <c r="W262" s="861" t="s">
        <v>684</v>
      </c>
      <c r="X262" s="863">
        <v>42095</v>
      </c>
      <c r="Y262" s="863">
        <v>43034</v>
      </c>
      <c r="Z262" s="864">
        <v>2017</v>
      </c>
      <c r="AA262" s="861"/>
      <c r="AB262" s="861" t="s">
        <v>675</v>
      </c>
      <c r="AC262" s="861" t="s">
        <v>663</v>
      </c>
      <c r="AD262" s="865"/>
      <c r="AE262" s="865"/>
      <c r="AF262" s="865"/>
      <c r="AG262" s="865"/>
      <c r="AH262" s="865"/>
      <c r="AI262" s="865"/>
      <c r="AJ262" s="865"/>
      <c r="AK262" s="865"/>
      <c r="AL262" s="865"/>
      <c r="AM262" s="865"/>
      <c r="AN262" s="865"/>
      <c r="AO262" s="865"/>
      <c r="AP262" s="865"/>
      <c r="AQ262" s="865"/>
      <c r="AR262" s="865">
        <v>3124160</v>
      </c>
      <c r="AS262" s="865"/>
      <c r="AT262" s="865"/>
      <c r="AU262" s="865"/>
      <c r="AV262" s="865"/>
      <c r="AW262" s="865"/>
      <c r="AX262" s="865"/>
      <c r="AY262" s="865"/>
      <c r="AZ262" s="865"/>
      <c r="BA262" s="865"/>
      <c r="BB262" s="865"/>
      <c r="BC262" s="865"/>
      <c r="BD262" s="865"/>
      <c r="BE262" s="865"/>
      <c r="BF262" s="865"/>
      <c r="BG262" s="865"/>
      <c r="BH262" s="865"/>
      <c r="BI262" s="865"/>
      <c r="BJ262" s="865"/>
      <c r="BK262" s="865"/>
      <c r="BL262" s="865"/>
      <c r="BM262" s="865"/>
      <c r="BN262" s="865"/>
      <c r="BO262" s="865"/>
      <c r="BP262" s="865"/>
      <c r="BQ262" s="865"/>
      <c r="BR262" s="865"/>
      <c r="BS262" s="865">
        <v>3124160</v>
      </c>
      <c r="BT262" s="412">
        <f t="shared" si="9"/>
        <v>3124160</v>
      </c>
      <c r="BU262" s="413">
        <v>0</v>
      </c>
      <c r="BV262" s="413">
        <v>0</v>
      </c>
      <c r="BW262" s="413">
        <v>1</v>
      </c>
      <c r="BX262" s="413">
        <v>0</v>
      </c>
      <c r="BY262" s="413">
        <v>0</v>
      </c>
      <c r="BZ262" s="413">
        <v>0</v>
      </c>
      <c r="CA262" s="413">
        <v>0</v>
      </c>
      <c r="CB262" s="413">
        <v>0</v>
      </c>
      <c r="CC262" s="413">
        <v>0</v>
      </c>
      <c r="CD262" s="413">
        <v>0</v>
      </c>
      <c r="CE262" s="413">
        <v>0</v>
      </c>
      <c r="CF262" s="413">
        <v>0</v>
      </c>
      <c r="CG262" s="413">
        <v>0</v>
      </c>
      <c r="CH262" s="413">
        <v>0</v>
      </c>
      <c r="CI262" s="413">
        <v>0</v>
      </c>
      <c r="CJ262" s="413">
        <v>0</v>
      </c>
      <c r="CK262" s="413">
        <v>0</v>
      </c>
      <c r="CL262" s="413">
        <v>0</v>
      </c>
      <c r="CM262" s="413">
        <v>0</v>
      </c>
      <c r="CN262" s="413">
        <v>0</v>
      </c>
      <c r="CO262" s="414">
        <f t="shared" si="8"/>
        <v>1</v>
      </c>
    </row>
    <row r="263" spans="1:93" s="415" customFormat="1" ht="25.5" x14ac:dyDescent="0.25">
      <c r="A263" s="881" t="s">
        <v>811</v>
      </c>
      <c r="B263" s="862" t="s">
        <v>2037</v>
      </c>
      <c r="C263" s="861" t="s">
        <v>810</v>
      </c>
      <c r="D263" s="862"/>
      <c r="E263" s="861" t="s">
        <v>56</v>
      </c>
      <c r="F263" s="862"/>
      <c r="G263" s="861" t="s">
        <v>681</v>
      </c>
      <c r="H263" s="861" t="s">
        <v>654</v>
      </c>
      <c r="I263" s="861" t="s">
        <v>647</v>
      </c>
      <c r="J263" s="861" t="s">
        <v>641</v>
      </c>
      <c r="K263" s="861" t="s">
        <v>649</v>
      </c>
      <c r="L263" s="861" t="s">
        <v>40</v>
      </c>
      <c r="M263" s="861" t="s">
        <v>646</v>
      </c>
      <c r="N263" s="861"/>
      <c r="O263" s="861"/>
      <c r="P263" s="861" t="s">
        <v>643</v>
      </c>
      <c r="Q263" s="861" t="s">
        <v>656</v>
      </c>
      <c r="R263" s="861" t="s">
        <v>652</v>
      </c>
      <c r="S263" s="861" t="s">
        <v>649</v>
      </c>
      <c r="T263" s="861"/>
      <c r="U263" s="861"/>
      <c r="V263" s="861" t="s">
        <v>685</v>
      </c>
      <c r="W263" s="861" t="s">
        <v>694</v>
      </c>
      <c r="X263" s="863">
        <v>43556</v>
      </c>
      <c r="Y263" s="863">
        <v>44495</v>
      </c>
      <c r="Z263" s="864">
        <v>2021</v>
      </c>
      <c r="AA263" s="861"/>
      <c r="AB263" s="861" t="s">
        <v>675</v>
      </c>
      <c r="AC263" s="861" t="s">
        <v>663</v>
      </c>
      <c r="AD263" s="865"/>
      <c r="AE263" s="865"/>
      <c r="AF263" s="865"/>
      <c r="AG263" s="865"/>
      <c r="AH263" s="865"/>
      <c r="AI263" s="865"/>
      <c r="AJ263" s="865"/>
      <c r="AK263" s="865"/>
      <c r="AL263" s="865"/>
      <c r="AM263" s="865"/>
      <c r="AN263" s="865"/>
      <c r="AO263" s="865"/>
      <c r="AP263" s="865"/>
      <c r="AQ263" s="865"/>
      <c r="AR263" s="865">
        <v>1564852</v>
      </c>
      <c r="AS263" s="865"/>
      <c r="AT263" s="865"/>
      <c r="AU263" s="865"/>
      <c r="AV263" s="865"/>
      <c r="AW263" s="865"/>
      <c r="AX263" s="865"/>
      <c r="AY263" s="865"/>
      <c r="AZ263" s="865"/>
      <c r="BA263" s="865"/>
      <c r="BB263" s="865"/>
      <c r="BC263" s="865"/>
      <c r="BD263" s="865"/>
      <c r="BE263" s="865"/>
      <c r="BF263" s="865"/>
      <c r="BG263" s="865"/>
      <c r="BH263" s="865"/>
      <c r="BI263" s="865"/>
      <c r="BJ263" s="865"/>
      <c r="BK263" s="865"/>
      <c r="BL263" s="865"/>
      <c r="BM263" s="865"/>
      <c r="BN263" s="865"/>
      <c r="BO263" s="865"/>
      <c r="BP263" s="865"/>
      <c r="BQ263" s="865"/>
      <c r="BR263" s="865">
        <v>79200</v>
      </c>
      <c r="BS263" s="865">
        <v>1644052</v>
      </c>
      <c r="BT263" s="412">
        <f t="shared" si="9"/>
        <v>1564852</v>
      </c>
      <c r="BU263" s="413">
        <v>0</v>
      </c>
      <c r="BV263" s="413">
        <v>0</v>
      </c>
      <c r="BW263" s="413">
        <v>1</v>
      </c>
      <c r="BX263" s="413">
        <v>0</v>
      </c>
      <c r="BY263" s="413">
        <v>0</v>
      </c>
      <c r="BZ263" s="413">
        <v>0</v>
      </c>
      <c r="CA263" s="413">
        <v>0</v>
      </c>
      <c r="CB263" s="413">
        <v>0</v>
      </c>
      <c r="CC263" s="413">
        <v>0</v>
      </c>
      <c r="CD263" s="413">
        <v>0</v>
      </c>
      <c r="CE263" s="413">
        <v>0</v>
      </c>
      <c r="CF263" s="413">
        <v>0</v>
      </c>
      <c r="CG263" s="413">
        <v>0</v>
      </c>
      <c r="CH263" s="413">
        <v>0</v>
      </c>
      <c r="CI263" s="413">
        <v>0</v>
      </c>
      <c r="CJ263" s="413">
        <v>0</v>
      </c>
      <c r="CK263" s="413">
        <v>0</v>
      </c>
      <c r="CL263" s="413">
        <v>0</v>
      </c>
      <c r="CM263" s="413">
        <v>0</v>
      </c>
      <c r="CN263" s="413">
        <v>0</v>
      </c>
      <c r="CO263" s="414">
        <f t="shared" si="8"/>
        <v>1</v>
      </c>
    </row>
    <row r="264" spans="1:93" s="415" customFormat="1" ht="25.5" x14ac:dyDescent="0.25">
      <c r="A264" s="881" t="s">
        <v>809</v>
      </c>
      <c r="B264" s="862" t="s">
        <v>2039</v>
      </c>
      <c r="C264" s="861" t="s">
        <v>808</v>
      </c>
      <c r="D264" s="862"/>
      <c r="E264" s="861" t="s">
        <v>56</v>
      </c>
      <c r="F264" s="862"/>
      <c r="G264" s="861" t="s">
        <v>807</v>
      </c>
      <c r="H264" s="861" t="s">
        <v>654</v>
      </c>
      <c r="I264" s="861" t="s">
        <v>647</v>
      </c>
      <c r="J264" s="861" t="s">
        <v>641</v>
      </c>
      <c r="K264" s="861" t="s">
        <v>649</v>
      </c>
      <c r="L264" s="861" t="s">
        <v>40</v>
      </c>
      <c r="M264" s="861" t="s">
        <v>646</v>
      </c>
      <c r="N264" s="861"/>
      <c r="O264" s="861"/>
      <c r="P264" s="861" t="s">
        <v>643</v>
      </c>
      <c r="Q264" s="861" t="s">
        <v>656</v>
      </c>
      <c r="R264" s="861" t="s">
        <v>652</v>
      </c>
      <c r="S264" s="861" t="s">
        <v>649</v>
      </c>
      <c r="T264" s="861"/>
      <c r="U264" s="861"/>
      <c r="V264" s="861" t="s">
        <v>685</v>
      </c>
      <c r="W264" s="861" t="s">
        <v>684</v>
      </c>
      <c r="X264" s="863">
        <v>43009</v>
      </c>
      <c r="Y264" s="863">
        <v>43945</v>
      </c>
      <c r="Z264" s="864">
        <v>2020</v>
      </c>
      <c r="AA264" s="861"/>
      <c r="AB264" s="861" t="s">
        <v>675</v>
      </c>
      <c r="AC264" s="861" t="s">
        <v>663</v>
      </c>
      <c r="AD264" s="865"/>
      <c r="AE264" s="865"/>
      <c r="AF264" s="865"/>
      <c r="AG264" s="865"/>
      <c r="AH264" s="865"/>
      <c r="AI264" s="865"/>
      <c r="AJ264" s="865"/>
      <c r="AK264" s="865"/>
      <c r="AL264" s="865"/>
      <c r="AM264" s="865"/>
      <c r="AN264" s="865"/>
      <c r="AO264" s="865"/>
      <c r="AP264" s="865"/>
      <c r="AQ264" s="865"/>
      <c r="AR264" s="865">
        <v>1877070</v>
      </c>
      <c r="AS264" s="865"/>
      <c r="AT264" s="865"/>
      <c r="AU264" s="865"/>
      <c r="AV264" s="865"/>
      <c r="AW264" s="865"/>
      <c r="AX264" s="865"/>
      <c r="AY264" s="865"/>
      <c r="AZ264" s="865"/>
      <c r="BA264" s="865"/>
      <c r="BB264" s="865"/>
      <c r="BC264" s="865"/>
      <c r="BD264" s="865"/>
      <c r="BE264" s="865"/>
      <c r="BF264" s="865"/>
      <c r="BG264" s="865"/>
      <c r="BH264" s="865"/>
      <c r="BI264" s="865"/>
      <c r="BJ264" s="865"/>
      <c r="BK264" s="865"/>
      <c r="BL264" s="865"/>
      <c r="BM264" s="865"/>
      <c r="BN264" s="865"/>
      <c r="BO264" s="865"/>
      <c r="BP264" s="865"/>
      <c r="BQ264" s="865"/>
      <c r="BR264" s="865"/>
      <c r="BS264" s="865">
        <v>1877070</v>
      </c>
      <c r="BT264" s="412">
        <f t="shared" si="9"/>
        <v>1877070</v>
      </c>
      <c r="BU264" s="413">
        <v>0</v>
      </c>
      <c r="BV264" s="413">
        <v>0</v>
      </c>
      <c r="BW264" s="413">
        <v>1</v>
      </c>
      <c r="BX264" s="413">
        <v>0</v>
      </c>
      <c r="BY264" s="413">
        <v>0</v>
      </c>
      <c r="BZ264" s="413">
        <v>0</v>
      </c>
      <c r="CA264" s="413">
        <v>0</v>
      </c>
      <c r="CB264" s="413">
        <v>0</v>
      </c>
      <c r="CC264" s="413">
        <v>0</v>
      </c>
      <c r="CD264" s="413">
        <v>0</v>
      </c>
      <c r="CE264" s="413">
        <v>0</v>
      </c>
      <c r="CF264" s="413">
        <v>0</v>
      </c>
      <c r="CG264" s="413">
        <v>0</v>
      </c>
      <c r="CH264" s="413">
        <v>0</v>
      </c>
      <c r="CI264" s="413">
        <v>0</v>
      </c>
      <c r="CJ264" s="413">
        <v>0</v>
      </c>
      <c r="CK264" s="413">
        <v>0</v>
      </c>
      <c r="CL264" s="413">
        <v>0</v>
      </c>
      <c r="CM264" s="413">
        <v>0</v>
      </c>
      <c r="CN264" s="413">
        <v>0</v>
      </c>
      <c r="CO264" s="414">
        <f t="shared" si="8"/>
        <v>1</v>
      </c>
    </row>
    <row r="265" spans="1:93" s="415" customFormat="1" ht="25.5" x14ac:dyDescent="0.25">
      <c r="A265" s="881" t="s">
        <v>806</v>
      </c>
      <c r="B265" s="862" t="s">
        <v>2041</v>
      </c>
      <c r="C265" s="861" t="s">
        <v>805</v>
      </c>
      <c r="D265" s="862"/>
      <c r="E265" s="861" t="s">
        <v>56</v>
      </c>
      <c r="F265" s="862"/>
      <c r="G265" s="861" t="s">
        <v>804</v>
      </c>
      <c r="H265" s="861" t="s">
        <v>654</v>
      </c>
      <c r="I265" s="861" t="s">
        <v>647</v>
      </c>
      <c r="J265" s="861" t="s">
        <v>641</v>
      </c>
      <c r="K265" s="861" t="s">
        <v>649</v>
      </c>
      <c r="L265" s="861" t="s">
        <v>40</v>
      </c>
      <c r="M265" s="861" t="s">
        <v>646</v>
      </c>
      <c r="N265" s="861"/>
      <c r="O265" s="861"/>
      <c r="P265" s="861"/>
      <c r="Q265" s="861" t="s">
        <v>656</v>
      </c>
      <c r="R265" s="861" t="s">
        <v>652</v>
      </c>
      <c r="S265" s="861" t="s">
        <v>649</v>
      </c>
      <c r="T265" s="861"/>
      <c r="U265" s="861"/>
      <c r="V265" s="861" t="s">
        <v>685</v>
      </c>
      <c r="W265" s="861" t="s">
        <v>684</v>
      </c>
      <c r="X265" s="863">
        <v>41640</v>
      </c>
      <c r="Y265" s="863">
        <v>42598</v>
      </c>
      <c r="Z265" s="864">
        <v>2016</v>
      </c>
      <c r="AA265" s="861"/>
      <c r="AB265" s="861" t="s">
        <v>675</v>
      </c>
      <c r="AC265" s="861" t="s">
        <v>663</v>
      </c>
      <c r="AD265" s="865"/>
      <c r="AE265" s="865"/>
      <c r="AF265" s="865"/>
      <c r="AG265" s="865"/>
      <c r="AH265" s="865"/>
      <c r="AI265" s="865"/>
      <c r="AJ265" s="865"/>
      <c r="AK265" s="865"/>
      <c r="AL265" s="865"/>
      <c r="AM265" s="865"/>
      <c r="AN265" s="865"/>
      <c r="AO265" s="865"/>
      <c r="AP265" s="865"/>
      <c r="AQ265" s="865"/>
      <c r="AR265" s="865">
        <v>588359.99999999977</v>
      </c>
      <c r="AS265" s="865"/>
      <c r="AT265" s="865"/>
      <c r="AU265" s="865"/>
      <c r="AV265" s="865"/>
      <c r="AW265" s="865"/>
      <c r="AX265" s="865"/>
      <c r="AY265" s="865"/>
      <c r="AZ265" s="865"/>
      <c r="BA265" s="865"/>
      <c r="BB265" s="865"/>
      <c r="BC265" s="865"/>
      <c r="BD265" s="865"/>
      <c r="BE265" s="865"/>
      <c r="BF265" s="865"/>
      <c r="BG265" s="865"/>
      <c r="BH265" s="865"/>
      <c r="BI265" s="865"/>
      <c r="BJ265" s="865"/>
      <c r="BK265" s="865"/>
      <c r="BL265" s="865"/>
      <c r="BM265" s="865"/>
      <c r="BN265" s="865"/>
      <c r="BO265" s="865"/>
      <c r="BP265" s="865"/>
      <c r="BQ265" s="865"/>
      <c r="BR265" s="865"/>
      <c r="BS265" s="865">
        <v>588359.99999999977</v>
      </c>
      <c r="BT265" s="412">
        <f t="shared" si="9"/>
        <v>588359.99999999977</v>
      </c>
      <c r="BU265" s="413">
        <v>0</v>
      </c>
      <c r="BV265" s="413">
        <v>0</v>
      </c>
      <c r="BW265" s="413">
        <v>1</v>
      </c>
      <c r="BX265" s="413">
        <v>0</v>
      </c>
      <c r="BY265" s="413">
        <v>0</v>
      </c>
      <c r="BZ265" s="413">
        <v>0</v>
      </c>
      <c r="CA265" s="413">
        <v>0</v>
      </c>
      <c r="CB265" s="413">
        <v>0</v>
      </c>
      <c r="CC265" s="413">
        <v>0</v>
      </c>
      <c r="CD265" s="413">
        <v>0</v>
      </c>
      <c r="CE265" s="413">
        <v>0</v>
      </c>
      <c r="CF265" s="413">
        <v>0</v>
      </c>
      <c r="CG265" s="413">
        <v>0</v>
      </c>
      <c r="CH265" s="413">
        <v>0</v>
      </c>
      <c r="CI265" s="413">
        <v>0</v>
      </c>
      <c r="CJ265" s="413">
        <v>0</v>
      </c>
      <c r="CK265" s="413">
        <v>0</v>
      </c>
      <c r="CL265" s="413">
        <v>0</v>
      </c>
      <c r="CM265" s="413">
        <v>0</v>
      </c>
      <c r="CN265" s="413">
        <v>0</v>
      </c>
      <c r="CO265" s="414">
        <f t="shared" si="8"/>
        <v>1</v>
      </c>
    </row>
    <row r="266" spans="1:93" s="415" customFormat="1" ht="25.5" x14ac:dyDescent="0.25">
      <c r="A266" s="881" t="s">
        <v>803</v>
      </c>
      <c r="B266" s="862" t="s">
        <v>2043</v>
      </c>
      <c r="C266" s="861" t="s">
        <v>802</v>
      </c>
      <c r="D266" s="862"/>
      <c r="E266" s="861" t="s">
        <v>56</v>
      </c>
      <c r="F266" s="862"/>
      <c r="G266" s="861" t="s">
        <v>691</v>
      </c>
      <c r="H266" s="861" t="s">
        <v>654</v>
      </c>
      <c r="I266" s="861" t="s">
        <v>647</v>
      </c>
      <c r="J266" s="861" t="s">
        <v>641</v>
      </c>
      <c r="K266" s="861" t="s">
        <v>649</v>
      </c>
      <c r="L266" s="861" t="s">
        <v>40</v>
      </c>
      <c r="M266" s="861" t="s">
        <v>646</v>
      </c>
      <c r="N266" s="861"/>
      <c r="O266" s="861"/>
      <c r="P266" s="861" t="s">
        <v>643</v>
      </c>
      <c r="Q266" s="861" t="s">
        <v>656</v>
      </c>
      <c r="R266" s="861" t="s">
        <v>652</v>
      </c>
      <c r="S266" s="861" t="s">
        <v>649</v>
      </c>
      <c r="T266" s="861"/>
      <c r="U266" s="861"/>
      <c r="V266" s="861" t="s">
        <v>685</v>
      </c>
      <c r="W266" s="861" t="s">
        <v>684</v>
      </c>
      <c r="X266" s="863">
        <v>42095</v>
      </c>
      <c r="Y266" s="863">
        <v>43034</v>
      </c>
      <c r="Z266" s="864">
        <v>2017</v>
      </c>
      <c r="AA266" s="861"/>
      <c r="AB266" s="861" t="s">
        <v>675</v>
      </c>
      <c r="AC266" s="861" t="s">
        <v>663</v>
      </c>
      <c r="AD266" s="865"/>
      <c r="AE266" s="865"/>
      <c r="AF266" s="865"/>
      <c r="AG266" s="865"/>
      <c r="AH266" s="865"/>
      <c r="AI266" s="865"/>
      <c r="AJ266" s="865"/>
      <c r="AK266" s="865"/>
      <c r="AL266" s="865"/>
      <c r="AM266" s="865"/>
      <c r="AN266" s="865"/>
      <c r="AO266" s="865"/>
      <c r="AP266" s="865"/>
      <c r="AQ266" s="865"/>
      <c r="AR266" s="865">
        <v>2365442</v>
      </c>
      <c r="AS266" s="865"/>
      <c r="AT266" s="865"/>
      <c r="AU266" s="865"/>
      <c r="AV266" s="865"/>
      <c r="AW266" s="865"/>
      <c r="AX266" s="865"/>
      <c r="AY266" s="865"/>
      <c r="AZ266" s="865"/>
      <c r="BA266" s="865"/>
      <c r="BB266" s="865"/>
      <c r="BC266" s="865"/>
      <c r="BD266" s="865"/>
      <c r="BE266" s="865"/>
      <c r="BF266" s="865"/>
      <c r="BG266" s="865"/>
      <c r="BH266" s="865"/>
      <c r="BI266" s="865"/>
      <c r="BJ266" s="865"/>
      <c r="BK266" s="865"/>
      <c r="BL266" s="865"/>
      <c r="BM266" s="865"/>
      <c r="BN266" s="865"/>
      <c r="BO266" s="865"/>
      <c r="BP266" s="865"/>
      <c r="BQ266" s="865"/>
      <c r="BR266" s="865"/>
      <c r="BS266" s="865">
        <v>2365442</v>
      </c>
      <c r="BT266" s="412">
        <f t="shared" si="9"/>
        <v>2365442</v>
      </c>
      <c r="BU266" s="413">
        <v>0</v>
      </c>
      <c r="BV266" s="413">
        <v>0</v>
      </c>
      <c r="BW266" s="413">
        <v>1</v>
      </c>
      <c r="BX266" s="413">
        <v>0</v>
      </c>
      <c r="BY266" s="413">
        <v>0</v>
      </c>
      <c r="BZ266" s="413">
        <v>0</v>
      </c>
      <c r="CA266" s="413">
        <v>0</v>
      </c>
      <c r="CB266" s="413">
        <v>0</v>
      </c>
      <c r="CC266" s="413">
        <v>0</v>
      </c>
      <c r="CD266" s="413">
        <v>0</v>
      </c>
      <c r="CE266" s="413">
        <v>0</v>
      </c>
      <c r="CF266" s="413">
        <v>0</v>
      </c>
      <c r="CG266" s="413">
        <v>0</v>
      </c>
      <c r="CH266" s="413">
        <v>0</v>
      </c>
      <c r="CI266" s="413">
        <v>0</v>
      </c>
      <c r="CJ266" s="413">
        <v>0</v>
      </c>
      <c r="CK266" s="413">
        <v>0</v>
      </c>
      <c r="CL266" s="413">
        <v>0</v>
      </c>
      <c r="CM266" s="413">
        <v>0</v>
      </c>
      <c r="CN266" s="413">
        <v>0</v>
      </c>
      <c r="CO266" s="414">
        <f t="shared" si="8"/>
        <v>1</v>
      </c>
    </row>
    <row r="267" spans="1:93" s="415" customFormat="1" ht="25.5" x14ac:dyDescent="0.25">
      <c r="A267" s="881" t="s">
        <v>340</v>
      </c>
      <c r="B267" s="862" t="s">
        <v>2045</v>
      </c>
      <c r="C267" s="861" t="s">
        <v>801</v>
      </c>
      <c r="D267" s="862"/>
      <c r="E267" s="861" t="s">
        <v>56</v>
      </c>
      <c r="F267" s="862"/>
      <c r="G267" s="861" t="s">
        <v>722</v>
      </c>
      <c r="H267" s="861" t="s">
        <v>654</v>
      </c>
      <c r="I267" s="861" t="s">
        <v>647</v>
      </c>
      <c r="J267" s="861" t="s">
        <v>641</v>
      </c>
      <c r="K267" s="861" t="s">
        <v>649</v>
      </c>
      <c r="L267" s="861" t="s">
        <v>28</v>
      </c>
      <c r="M267" s="861" t="s">
        <v>646</v>
      </c>
      <c r="N267" s="861"/>
      <c r="O267" s="861"/>
      <c r="P267" s="861" t="s">
        <v>643</v>
      </c>
      <c r="Q267" s="861" t="s">
        <v>656</v>
      </c>
      <c r="R267" s="861" t="s">
        <v>652</v>
      </c>
      <c r="S267" s="861" t="s">
        <v>649</v>
      </c>
      <c r="T267" s="861"/>
      <c r="U267" s="861"/>
      <c r="V267" s="861" t="s">
        <v>685</v>
      </c>
      <c r="W267" s="861" t="s">
        <v>684</v>
      </c>
      <c r="X267" s="863">
        <v>41361</v>
      </c>
      <c r="Y267" s="863">
        <v>42999</v>
      </c>
      <c r="Z267" s="864">
        <v>2017</v>
      </c>
      <c r="AA267" s="861"/>
      <c r="AB267" s="861" t="s">
        <v>675</v>
      </c>
      <c r="AC267" s="861" t="s">
        <v>663</v>
      </c>
      <c r="AD267" s="865"/>
      <c r="AE267" s="865"/>
      <c r="AF267" s="865"/>
      <c r="AG267" s="865"/>
      <c r="AH267" s="865"/>
      <c r="AI267" s="865"/>
      <c r="AJ267" s="865"/>
      <c r="AK267" s="865"/>
      <c r="AL267" s="865"/>
      <c r="AM267" s="865"/>
      <c r="AN267" s="865"/>
      <c r="AO267" s="865"/>
      <c r="AP267" s="865"/>
      <c r="AQ267" s="865"/>
      <c r="AR267" s="865">
        <v>1436800</v>
      </c>
      <c r="AS267" s="865"/>
      <c r="AT267" s="865"/>
      <c r="AU267" s="865"/>
      <c r="AV267" s="865"/>
      <c r="AW267" s="865"/>
      <c r="AX267" s="865"/>
      <c r="AY267" s="865"/>
      <c r="AZ267" s="865"/>
      <c r="BA267" s="865"/>
      <c r="BB267" s="865"/>
      <c r="BC267" s="865"/>
      <c r="BD267" s="865"/>
      <c r="BE267" s="865"/>
      <c r="BF267" s="865"/>
      <c r="BG267" s="865"/>
      <c r="BH267" s="865"/>
      <c r="BI267" s="865"/>
      <c r="BJ267" s="865"/>
      <c r="BK267" s="865"/>
      <c r="BL267" s="865"/>
      <c r="BM267" s="865"/>
      <c r="BN267" s="865"/>
      <c r="BO267" s="865"/>
      <c r="BP267" s="865"/>
      <c r="BQ267" s="865"/>
      <c r="BR267" s="865"/>
      <c r="BS267" s="865">
        <v>1436800</v>
      </c>
      <c r="BT267" s="412">
        <f t="shared" si="9"/>
        <v>1436800</v>
      </c>
      <c r="BU267" s="413">
        <v>0</v>
      </c>
      <c r="BV267" s="413">
        <v>0</v>
      </c>
      <c r="BW267" s="413">
        <v>1</v>
      </c>
      <c r="BX267" s="413">
        <v>0</v>
      </c>
      <c r="BY267" s="413">
        <v>0</v>
      </c>
      <c r="BZ267" s="413">
        <v>0</v>
      </c>
      <c r="CA267" s="413">
        <v>0</v>
      </c>
      <c r="CB267" s="413">
        <v>0</v>
      </c>
      <c r="CC267" s="413">
        <v>0</v>
      </c>
      <c r="CD267" s="413">
        <v>0</v>
      </c>
      <c r="CE267" s="413">
        <v>0</v>
      </c>
      <c r="CF267" s="413">
        <v>0</v>
      </c>
      <c r="CG267" s="413">
        <v>0</v>
      </c>
      <c r="CH267" s="413">
        <v>0</v>
      </c>
      <c r="CI267" s="413">
        <v>0</v>
      </c>
      <c r="CJ267" s="413">
        <v>0</v>
      </c>
      <c r="CK267" s="413">
        <v>0</v>
      </c>
      <c r="CL267" s="413">
        <v>0</v>
      </c>
      <c r="CM267" s="413">
        <v>0</v>
      </c>
      <c r="CN267" s="413">
        <v>0</v>
      </c>
      <c r="CO267" s="414">
        <f t="shared" si="8"/>
        <v>1</v>
      </c>
    </row>
    <row r="268" spans="1:93" s="415" customFormat="1" ht="25.5" x14ac:dyDescent="0.25">
      <c r="A268" s="881" t="s">
        <v>341</v>
      </c>
      <c r="B268" s="862" t="s">
        <v>2047</v>
      </c>
      <c r="C268" s="861" t="s">
        <v>2794</v>
      </c>
      <c r="D268" s="862"/>
      <c r="E268" s="861" t="s">
        <v>56</v>
      </c>
      <c r="F268" s="862"/>
      <c r="G268" s="861"/>
      <c r="H268" s="861" t="s">
        <v>654</v>
      </c>
      <c r="I268" s="861" t="s">
        <v>647</v>
      </c>
      <c r="J268" s="861" t="s">
        <v>641</v>
      </c>
      <c r="K268" s="861" t="s">
        <v>649</v>
      </c>
      <c r="L268" s="861" t="s">
        <v>40</v>
      </c>
      <c r="M268" s="861" t="s">
        <v>646</v>
      </c>
      <c r="N268" s="861" t="s">
        <v>645</v>
      </c>
      <c r="O268" s="861" t="s">
        <v>721</v>
      </c>
      <c r="P268" s="861" t="s">
        <v>971</v>
      </c>
      <c r="Q268" s="861" t="s">
        <v>650</v>
      </c>
      <c r="R268" s="861" t="s">
        <v>652</v>
      </c>
      <c r="S268" s="861" t="s">
        <v>649</v>
      </c>
      <c r="T268" s="861"/>
      <c r="U268" s="861"/>
      <c r="V268" s="861" t="s">
        <v>685</v>
      </c>
      <c r="W268" s="861" t="s">
        <v>2795</v>
      </c>
      <c r="X268" s="863">
        <v>42452</v>
      </c>
      <c r="Y268" s="863">
        <v>43336</v>
      </c>
      <c r="Z268" s="864">
        <v>2018</v>
      </c>
      <c r="AA268" s="861"/>
      <c r="AB268" s="861"/>
      <c r="AC268" s="861"/>
      <c r="AD268" s="865"/>
      <c r="AE268" s="865"/>
      <c r="AF268" s="865"/>
      <c r="AG268" s="865"/>
      <c r="AH268" s="865"/>
      <c r="AI268" s="865"/>
      <c r="AJ268" s="865"/>
      <c r="AK268" s="865"/>
      <c r="AL268" s="865"/>
      <c r="AM268" s="865"/>
      <c r="AN268" s="865"/>
      <c r="AO268" s="865"/>
      <c r="AP268" s="865"/>
      <c r="AQ268" s="865"/>
      <c r="AR268" s="865"/>
      <c r="AS268" s="865"/>
      <c r="AT268" s="865"/>
      <c r="AU268" s="865"/>
      <c r="AV268" s="865"/>
      <c r="AW268" s="865"/>
      <c r="AX268" s="865"/>
      <c r="AY268" s="865"/>
      <c r="AZ268" s="865"/>
      <c r="BA268" s="865"/>
      <c r="BB268" s="865"/>
      <c r="BC268" s="865"/>
      <c r="BD268" s="865"/>
      <c r="BE268" s="865"/>
      <c r="BF268" s="865"/>
      <c r="BG268" s="865"/>
      <c r="BH268" s="865">
        <v>1340007.9999999991</v>
      </c>
      <c r="BI268" s="865"/>
      <c r="BJ268" s="865"/>
      <c r="BK268" s="865"/>
      <c r="BL268" s="865"/>
      <c r="BM268" s="865"/>
      <c r="BN268" s="865"/>
      <c r="BO268" s="865"/>
      <c r="BP268" s="865"/>
      <c r="BQ268" s="865"/>
      <c r="BR268" s="865"/>
      <c r="BS268" s="865">
        <v>1340007.9999999991</v>
      </c>
      <c r="BT268" s="412">
        <f t="shared" si="9"/>
        <v>0</v>
      </c>
      <c r="BU268" s="413">
        <v>0</v>
      </c>
      <c r="BV268" s="413">
        <v>0</v>
      </c>
      <c r="BW268" s="413">
        <v>0</v>
      </c>
      <c r="BX268" s="413">
        <v>0</v>
      </c>
      <c r="BY268" s="413">
        <v>0</v>
      </c>
      <c r="BZ268" s="413">
        <v>0</v>
      </c>
      <c r="CA268" s="413">
        <v>0</v>
      </c>
      <c r="CB268" s="413">
        <v>0</v>
      </c>
      <c r="CC268" s="413">
        <v>0</v>
      </c>
      <c r="CD268" s="413">
        <v>0</v>
      </c>
      <c r="CE268" s="413">
        <v>0</v>
      </c>
      <c r="CF268" s="413">
        <v>0</v>
      </c>
      <c r="CG268" s="413">
        <v>0</v>
      </c>
      <c r="CH268" s="413">
        <v>0</v>
      </c>
      <c r="CI268" s="413">
        <v>0</v>
      </c>
      <c r="CJ268" s="413">
        <v>0</v>
      </c>
      <c r="CK268" s="413">
        <v>0</v>
      </c>
      <c r="CL268" s="413">
        <v>0</v>
      </c>
      <c r="CM268" s="413">
        <v>0</v>
      </c>
      <c r="CN268" s="413">
        <v>0</v>
      </c>
      <c r="CO268" s="414">
        <f t="shared" si="8"/>
        <v>0</v>
      </c>
    </row>
    <row r="269" spans="1:93" s="415" customFormat="1" ht="25.5" x14ac:dyDescent="0.25">
      <c r="A269" s="881" t="s">
        <v>345</v>
      </c>
      <c r="B269" s="862" t="s">
        <v>2059</v>
      </c>
      <c r="C269" s="861" t="s">
        <v>799</v>
      </c>
      <c r="D269" s="862"/>
      <c r="E269" s="861" t="s">
        <v>692</v>
      </c>
      <c r="F269" s="862"/>
      <c r="G269" s="861"/>
      <c r="H269" s="861" t="s">
        <v>654</v>
      </c>
      <c r="I269" s="861" t="s">
        <v>647</v>
      </c>
      <c r="J269" s="861" t="s">
        <v>671</v>
      </c>
      <c r="K269" s="861" t="s">
        <v>649</v>
      </c>
      <c r="L269" s="861" t="s">
        <v>55</v>
      </c>
      <c r="M269" s="861" t="s">
        <v>646</v>
      </c>
      <c r="N269" s="861" t="s">
        <v>645</v>
      </c>
      <c r="O269" s="861"/>
      <c r="P269" s="861"/>
      <c r="Q269" s="861" t="s">
        <v>656</v>
      </c>
      <c r="R269" s="861" t="s">
        <v>652</v>
      </c>
      <c r="S269" s="861" t="s">
        <v>649</v>
      </c>
      <c r="T269" s="861"/>
      <c r="U269" s="861"/>
      <c r="V269" s="861" t="s">
        <v>683</v>
      </c>
      <c r="W269" s="861" t="s">
        <v>640</v>
      </c>
      <c r="X269" s="863">
        <v>42552</v>
      </c>
      <c r="Y269" s="863">
        <v>43430</v>
      </c>
      <c r="Z269" s="864">
        <v>2018</v>
      </c>
      <c r="AA269" s="861"/>
      <c r="AB269" s="861"/>
      <c r="AC269" s="861"/>
      <c r="AD269" s="865"/>
      <c r="AE269" s="865"/>
      <c r="AF269" s="865"/>
      <c r="AG269" s="865"/>
      <c r="AH269" s="865"/>
      <c r="AI269" s="865"/>
      <c r="AJ269" s="865"/>
      <c r="AK269" s="865"/>
      <c r="AL269" s="865"/>
      <c r="AM269" s="865"/>
      <c r="AN269" s="865"/>
      <c r="AO269" s="865"/>
      <c r="AP269" s="865"/>
      <c r="AQ269" s="865"/>
      <c r="AR269" s="865"/>
      <c r="AS269" s="865"/>
      <c r="AT269" s="865"/>
      <c r="AU269" s="865"/>
      <c r="AV269" s="865"/>
      <c r="AW269" s="865">
        <v>211832.99999999974</v>
      </c>
      <c r="AX269" s="865"/>
      <c r="AY269" s="865"/>
      <c r="AZ269" s="865"/>
      <c r="BA269" s="865"/>
      <c r="BB269" s="865"/>
      <c r="BC269" s="865"/>
      <c r="BD269" s="865"/>
      <c r="BE269" s="865"/>
      <c r="BF269" s="865"/>
      <c r="BG269" s="865"/>
      <c r="BH269" s="865">
        <v>671503.76799999957</v>
      </c>
      <c r="BI269" s="865"/>
      <c r="BJ269" s="865"/>
      <c r="BK269" s="865"/>
      <c r="BL269" s="865"/>
      <c r="BM269" s="865"/>
      <c r="BN269" s="865"/>
      <c r="BO269" s="865"/>
      <c r="BP269" s="865"/>
      <c r="BQ269" s="865"/>
      <c r="BR269" s="865"/>
      <c r="BS269" s="865">
        <v>883336.76799999923</v>
      </c>
      <c r="BT269" s="412">
        <f t="shared" si="9"/>
        <v>211832.99999999974</v>
      </c>
      <c r="BU269" s="413">
        <v>0</v>
      </c>
      <c r="BV269" s="413">
        <v>0</v>
      </c>
      <c r="BW269" s="413">
        <v>0</v>
      </c>
      <c r="BX269" s="413">
        <v>1</v>
      </c>
      <c r="BY269" s="413">
        <v>0</v>
      </c>
      <c r="BZ269" s="413">
        <v>0</v>
      </c>
      <c r="CA269" s="413">
        <v>0</v>
      </c>
      <c r="CB269" s="413">
        <v>0</v>
      </c>
      <c r="CC269" s="413">
        <v>0</v>
      </c>
      <c r="CD269" s="413">
        <v>0</v>
      </c>
      <c r="CE269" s="413">
        <v>0</v>
      </c>
      <c r="CF269" s="413">
        <v>0</v>
      </c>
      <c r="CG269" s="413">
        <v>0</v>
      </c>
      <c r="CH269" s="413">
        <v>0</v>
      </c>
      <c r="CI269" s="413">
        <v>0</v>
      </c>
      <c r="CJ269" s="413">
        <v>0</v>
      </c>
      <c r="CK269" s="413">
        <v>0</v>
      </c>
      <c r="CL269" s="413">
        <v>0</v>
      </c>
      <c r="CM269" s="413">
        <v>0</v>
      </c>
      <c r="CN269" s="413">
        <v>0</v>
      </c>
      <c r="CO269" s="414">
        <f t="shared" si="8"/>
        <v>1</v>
      </c>
    </row>
    <row r="270" spans="1:93" s="415" customFormat="1" ht="25.5" x14ac:dyDescent="0.25">
      <c r="A270" s="881" t="s">
        <v>346</v>
      </c>
      <c r="B270" s="862" t="s">
        <v>2061</v>
      </c>
      <c r="C270" s="861" t="s">
        <v>798</v>
      </c>
      <c r="D270" s="862"/>
      <c r="E270" s="861" t="s">
        <v>692</v>
      </c>
      <c r="F270" s="862"/>
      <c r="G270" s="861"/>
      <c r="H270" s="861" t="s">
        <v>654</v>
      </c>
      <c r="I270" s="861" t="s">
        <v>647</v>
      </c>
      <c r="J270" s="861" t="s">
        <v>671</v>
      </c>
      <c r="K270" s="861" t="s">
        <v>649</v>
      </c>
      <c r="L270" s="861" t="s">
        <v>55</v>
      </c>
      <c r="M270" s="861" t="s">
        <v>646</v>
      </c>
      <c r="N270" s="861" t="s">
        <v>645</v>
      </c>
      <c r="O270" s="861"/>
      <c r="P270" s="861"/>
      <c r="Q270" s="861" t="s">
        <v>656</v>
      </c>
      <c r="R270" s="861" t="s">
        <v>652</v>
      </c>
      <c r="S270" s="861" t="s">
        <v>649</v>
      </c>
      <c r="T270" s="861"/>
      <c r="U270" s="861"/>
      <c r="V270" s="861" t="s">
        <v>683</v>
      </c>
      <c r="W270" s="861" t="s">
        <v>640</v>
      </c>
      <c r="X270" s="863">
        <v>42536</v>
      </c>
      <c r="Y270" s="863">
        <v>43388</v>
      </c>
      <c r="Z270" s="864">
        <v>2018</v>
      </c>
      <c r="AA270" s="861"/>
      <c r="AB270" s="861"/>
      <c r="AC270" s="861"/>
      <c r="AD270" s="865"/>
      <c r="AE270" s="865"/>
      <c r="AF270" s="865"/>
      <c r="AG270" s="865"/>
      <c r="AH270" s="865"/>
      <c r="AI270" s="865"/>
      <c r="AJ270" s="865"/>
      <c r="AK270" s="865"/>
      <c r="AL270" s="865"/>
      <c r="AM270" s="865"/>
      <c r="AN270" s="865"/>
      <c r="AO270" s="865"/>
      <c r="AP270" s="865"/>
      <c r="AQ270" s="865"/>
      <c r="AR270" s="865"/>
      <c r="AS270" s="865"/>
      <c r="AT270" s="865"/>
      <c r="AU270" s="865"/>
      <c r="AV270" s="865"/>
      <c r="AW270" s="865">
        <v>449800.00000000058</v>
      </c>
      <c r="AX270" s="865"/>
      <c r="AY270" s="865"/>
      <c r="AZ270" s="865"/>
      <c r="BA270" s="865"/>
      <c r="BB270" s="865"/>
      <c r="BC270" s="865"/>
      <c r="BD270" s="865"/>
      <c r="BE270" s="865"/>
      <c r="BF270" s="865"/>
      <c r="BG270" s="865"/>
      <c r="BH270" s="865">
        <v>1799200.0000000019</v>
      </c>
      <c r="BI270" s="865"/>
      <c r="BJ270" s="865"/>
      <c r="BK270" s="865"/>
      <c r="BL270" s="865"/>
      <c r="BM270" s="865"/>
      <c r="BN270" s="865"/>
      <c r="BO270" s="865"/>
      <c r="BP270" s="865"/>
      <c r="BQ270" s="865"/>
      <c r="BR270" s="865"/>
      <c r="BS270" s="865">
        <v>2249000.0000000023</v>
      </c>
      <c r="BT270" s="412">
        <f t="shared" si="9"/>
        <v>449800.00000000058</v>
      </c>
      <c r="BU270" s="413">
        <v>0</v>
      </c>
      <c r="BV270" s="413">
        <v>0</v>
      </c>
      <c r="BW270" s="413">
        <v>0</v>
      </c>
      <c r="BX270" s="413">
        <v>1</v>
      </c>
      <c r="BY270" s="413">
        <v>0</v>
      </c>
      <c r="BZ270" s="413">
        <v>0</v>
      </c>
      <c r="CA270" s="413">
        <v>0</v>
      </c>
      <c r="CB270" s="413">
        <v>0</v>
      </c>
      <c r="CC270" s="413">
        <v>0</v>
      </c>
      <c r="CD270" s="413">
        <v>0</v>
      </c>
      <c r="CE270" s="413">
        <v>0</v>
      </c>
      <c r="CF270" s="413">
        <v>0</v>
      </c>
      <c r="CG270" s="413">
        <v>0</v>
      </c>
      <c r="CH270" s="413">
        <v>0</v>
      </c>
      <c r="CI270" s="413">
        <v>0</v>
      </c>
      <c r="CJ270" s="413">
        <v>0</v>
      </c>
      <c r="CK270" s="413">
        <v>0</v>
      </c>
      <c r="CL270" s="413">
        <v>0</v>
      </c>
      <c r="CM270" s="413">
        <v>0</v>
      </c>
      <c r="CN270" s="413">
        <v>0</v>
      </c>
      <c r="CO270" s="414">
        <f t="shared" si="8"/>
        <v>1</v>
      </c>
    </row>
    <row r="271" spans="1:93" s="415" customFormat="1" ht="25.5" x14ac:dyDescent="0.25">
      <c r="A271" s="881" t="s">
        <v>347</v>
      </c>
      <c r="B271" s="862" t="s">
        <v>2063</v>
      </c>
      <c r="C271" s="861" t="s">
        <v>797</v>
      </c>
      <c r="D271" s="862"/>
      <c r="E271" s="861" t="s">
        <v>692</v>
      </c>
      <c r="F271" s="862"/>
      <c r="G271" s="861"/>
      <c r="H271" s="861" t="s">
        <v>654</v>
      </c>
      <c r="I271" s="861" t="s">
        <v>647</v>
      </c>
      <c r="J271" s="861" t="s">
        <v>671</v>
      </c>
      <c r="K271" s="861" t="s">
        <v>649</v>
      </c>
      <c r="L271" s="861" t="s">
        <v>55</v>
      </c>
      <c r="M271" s="861" t="s">
        <v>646</v>
      </c>
      <c r="N271" s="861" t="s">
        <v>645</v>
      </c>
      <c r="O271" s="861"/>
      <c r="P271" s="861"/>
      <c r="Q271" s="861" t="s">
        <v>656</v>
      </c>
      <c r="R271" s="861" t="s">
        <v>652</v>
      </c>
      <c r="S271" s="861" t="s">
        <v>649</v>
      </c>
      <c r="T271" s="861"/>
      <c r="U271" s="861"/>
      <c r="V271" s="861" t="s">
        <v>683</v>
      </c>
      <c r="W271" s="861" t="s">
        <v>684</v>
      </c>
      <c r="X271" s="863">
        <v>42795</v>
      </c>
      <c r="Y271" s="863">
        <v>43537</v>
      </c>
      <c r="Z271" s="864">
        <v>2019</v>
      </c>
      <c r="AA271" s="861"/>
      <c r="AB271" s="861"/>
      <c r="AC271" s="861"/>
      <c r="AD271" s="865"/>
      <c r="AE271" s="865"/>
      <c r="AF271" s="865"/>
      <c r="AG271" s="865"/>
      <c r="AH271" s="865"/>
      <c r="AI271" s="865"/>
      <c r="AJ271" s="865"/>
      <c r="AK271" s="865"/>
      <c r="AL271" s="865"/>
      <c r="AM271" s="865"/>
      <c r="AN271" s="865"/>
      <c r="AO271" s="865"/>
      <c r="AP271" s="865"/>
      <c r="AQ271" s="865"/>
      <c r="AR271" s="865"/>
      <c r="AS271" s="865"/>
      <c r="AT271" s="865"/>
      <c r="AU271" s="865"/>
      <c r="AV271" s="865"/>
      <c r="AW271" s="865">
        <v>242337</v>
      </c>
      <c r="AX271" s="865"/>
      <c r="AY271" s="865"/>
      <c r="AZ271" s="865"/>
      <c r="BA271" s="865"/>
      <c r="BB271" s="865"/>
      <c r="BC271" s="865"/>
      <c r="BD271" s="865"/>
      <c r="BE271" s="865"/>
      <c r="BF271" s="865"/>
      <c r="BG271" s="865"/>
      <c r="BH271" s="865">
        <v>969699.27550000069</v>
      </c>
      <c r="BI271" s="865"/>
      <c r="BJ271" s="865"/>
      <c r="BK271" s="865"/>
      <c r="BL271" s="865"/>
      <c r="BM271" s="865"/>
      <c r="BN271" s="865"/>
      <c r="BO271" s="865"/>
      <c r="BP271" s="865"/>
      <c r="BQ271" s="865"/>
      <c r="BR271" s="865"/>
      <c r="BS271" s="865">
        <v>1212036.2755000007</v>
      </c>
      <c r="BT271" s="412">
        <f t="shared" si="9"/>
        <v>242337</v>
      </c>
      <c r="BU271" s="413">
        <v>0</v>
      </c>
      <c r="BV271" s="413">
        <v>0</v>
      </c>
      <c r="BW271" s="413">
        <v>0</v>
      </c>
      <c r="BX271" s="413">
        <v>1</v>
      </c>
      <c r="BY271" s="413">
        <v>0</v>
      </c>
      <c r="BZ271" s="413">
        <v>0</v>
      </c>
      <c r="CA271" s="413">
        <v>0</v>
      </c>
      <c r="CB271" s="413">
        <v>0</v>
      </c>
      <c r="CC271" s="413">
        <v>0</v>
      </c>
      <c r="CD271" s="413">
        <v>0</v>
      </c>
      <c r="CE271" s="413">
        <v>0</v>
      </c>
      <c r="CF271" s="413">
        <v>0</v>
      </c>
      <c r="CG271" s="413">
        <v>0</v>
      </c>
      <c r="CH271" s="413">
        <v>0</v>
      </c>
      <c r="CI271" s="413">
        <v>0</v>
      </c>
      <c r="CJ271" s="413">
        <v>0</v>
      </c>
      <c r="CK271" s="413">
        <v>0</v>
      </c>
      <c r="CL271" s="413">
        <v>0</v>
      </c>
      <c r="CM271" s="413">
        <v>0</v>
      </c>
      <c r="CN271" s="413">
        <v>0</v>
      </c>
      <c r="CO271" s="414">
        <f t="shared" si="8"/>
        <v>1</v>
      </c>
    </row>
    <row r="272" spans="1:93" s="415" customFormat="1" ht="25.5" customHeight="1" x14ac:dyDescent="0.25">
      <c r="A272" s="881" t="s">
        <v>348</v>
      </c>
      <c r="B272" s="862" t="s">
        <v>2065</v>
      </c>
      <c r="C272" s="861" t="s">
        <v>796</v>
      </c>
      <c r="D272" s="862"/>
      <c r="E272" s="861" t="s">
        <v>692</v>
      </c>
      <c r="F272" s="862"/>
      <c r="G272" s="861"/>
      <c r="H272" s="861" t="s">
        <v>654</v>
      </c>
      <c r="I272" s="861" t="s">
        <v>647</v>
      </c>
      <c r="J272" s="861" t="s">
        <v>671</v>
      </c>
      <c r="K272" s="861" t="s">
        <v>649</v>
      </c>
      <c r="L272" s="861" t="s">
        <v>55</v>
      </c>
      <c r="M272" s="861" t="s">
        <v>646</v>
      </c>
      <c r="N272" s="861" t="s">
        <v>645</v>
      </c>
      <c r="O272" s="861"/>
      <c r="P272" s="861"/>
      <c r="Q272" s="861" t="s">
        <v>656</v>
      </c>
      <c r="R272" s="861" t="s">
        <v>652</v>
      </c>
      <c r="S272" s="861" t="s">
        <v>649</v>
      </c>
      <c r="T272" s="861"/>
      <c r="U272" s="861"/>
      <c r="V272" s="861" t="s">
        <v>683</v>
      </c>
      <c r="W272" s="861" t="s">
        <v>684</v>
      </c>
      <c r="X272" s="863">
        <v>42738</v>
      </c>
      <c r="Y272" s="863">
        <v>43374</v>
      </c>
      <c r="Z272" s="864">
        <v>2018</v>
      </c>
      <c r="AA272" s="861"/>
      <c r="AB272" s="861"/>
      <c r="AC272" s="861"/>
      <c r="AD272" s="865"/>
      <c r="AE272" s="865"/>
      <c r="AF272" s="865"/>
      <c r="AG272" s="865"/>
      <c r="AH272" s="865"/>
      <c r="AI272" s="865"/>
      <c r="AJ272" s="865"/>
      <c r="AK272" s="865"/>
      <c r="AL272" s="865"/>
      <c r="AM272" s="865"/>
      <c r="AN272" s="865"/>
      <c r="AO272" s="865"/>
      <c r="AP272" s="865"/>
      <c r="AQ272" s="865"/>
      <c r="AR272" s="865"/>
      <c r="AS272" s="865"/>
      <c r="AT272" s="865"/>
      <c r="AU272" s="865"/>
      <c r="AV272" s="865"/>
      <c r="AW272" s="865">
        <v>210000.00000000023</v>
      </c>
      <c r="AX272" s="865"/>
      <c r="AY272" s="865"/>
      <c r="AZ272" s="865"/>
      <c r="BA272" s="865"/>
      <c r="BB272" s="865"/>
      <c r="BC272" s="865"/>
      <c r="BD272" s="865"/>
      <c r="BE272" s="865"/>
      <c r="BF272" s="865"/>
      <c r="BG272" s="865"/>
      <c r="BH272" s="865">
        <v>1889594.0907738125</v>
      </c>
      <c r="BI272" s="865"/>
      <c r="BJ272" s="865"/>
      <c r="BK272" s="865"/>
      <c r="BL272" s="865"/>
      <c r="BM272" s="865"/>
      <c r="BN272" s="865"/>
      <c r="BO272" s="865"/>
      <c r="BP272" s="865"/>
      <c r="BQ272" s="865"/>
      <c r="BR272" s="865"/>
      <c r="BS272" s="865">
        <v>2099594.090773813</v>
      </c>
      <c r="BT272" s="412">
        <f t="shared" si="9"/>
        <v>210000.00000000023</v>
      </c>
      <c r="BU272" s="413">
        <v>0</v>
      </c>
      <c r="BV272" s="413">
        <v>0</v>
      </c>
      <c r="BW272" s="413">
        <v>0</v>
      </c>
      <c r="BX272" s="413">
        <v>1</v>
      </c>
      <c r="BY272" s="413">
        <v>0</v>
      </c>
      <c r="BZ272" s="413">
        <v>0</v>
      </c>
      <c r="CA272" s="413">
        <v>0</v>
      </c>
      <c r="CB272" s="413">
        <v>0</v>
      </c>
      <c r="CC272" s="413">
        <v>0</v>
      </c>
      <c r="CD272" s="413">
        <v>0</v>
      </c>
      <c r="CE272" s="413">
        <v>0</v>
      </c>
      <c r="CF272" s="413">
        <v>0</v>
      </c>
      <c r="CG272" s="413">
        <v>0</v>
      </c>
      <c r="CH272" s="413">
        <v>0</v>
      </c>
      <c r="CI272" s="413">
        <v>0</v>
      </c>
      <c r="CJ272" s="413">
        <v>0</v>
      </c>
      <c r="CK272" s="413">
        <v>0</v>
      </c>
      <c r="CL272" s="413">
        <v>0</v>
      </c>
      <c r="CM272" s="413">
        <v>0</v>
      </c>
      <c r="CN272" s="413">
        <v>0</v>
      </c>
      <c r="CO272" s="414">
        <f t="shared" si="8"/>
        <v>1</v>
      </c>
    </row>
    <row r="273" spans="1:93" s="415" customFormat="1" ht="25.5" customHeight="1" x14ac:dyDescent="0.25">
      <c r="A273" s="881" t="s">
        <v>352</v>
      </c>
      <c r="B273" s="862" t="s">
        <v>2069</v>
      </c>
      <c r="C273" s="861" t="s">
        <v>793</v>
      </c>
      <c r="D273" s="862"/>
      <c r="E273" s="861" t="s">
        <v>779</v>
      </c>
      <c r="F273" s="862"/>
      <c r="G273" s="861" t="s">
        <v>648</v>
      </c>
      <c r="H273" s="861" t="s">
        <v>654</v>
      </c>
      <c r="I273" s="861" t="s">
        <v>647</v>
      </c>
      <c r="J273" s="861" t="s">
        <v>671</v>
      </c>
      <c r="K273" s="861" t="s">
        <v>649</v>
      </c>
      <c r="L273" s="861" t="s">
        <v>36</v>
      </c>
      <c r="M273" s="861" t="s">
        <v>646</v>
      </c>
      <c r="N273" s="861" t="s">
        <v>680</v>
      </c>
      <c r="O273" s="861"/>
      <c r="P273" s="861" t="s">
        <v>643</v>
      </c>
      <c r="Q273" s="861" t="s">
        <v>650</v>
      </c>
      <c r="R273" s="861" t="s">
        <v>652</v>
      </c>
      <c r="S273" s="861" t="s">
        <v>649</v>
      </c>
      <c r="T273" s="861"/>
      <c r="U273" s="861"/>
      <c r="V273" s="861" t="s">
        <v>36</v>
      </c>
      <c r="W273" s="861" t="s">
        <v>640</v>
      </c>
      <c r="X273" s="863">
        <v>42917</v>
      </c>
      <c r="Y273" s="863">
        <v>43250</v>
      </c>
      <c r="Z273" s="864">
        <v>2018</v>
      </c>
      <c r="AA273" s="861" t="s">
        <v>676</v>
      </c>
      <c r="AB273" s="861" t="s">
        <v>675</v>
      </c>
      <c r="AC273" s="861" t="s">
        <v>663</v>
      </c>
      <c r="AD273" s="865"/>
      <c r="AE273" s="865"/>
      <c r="AF273" s="865"/>
      <c r="AG273" s="865"/>
      <c r="AH273" s="865"/>
      <c r="AI273" s="865"/>
      <c r="AJ273" s="865"/>
      <c r="AK273" s="865"/>
      <c r="AL273" s="865"/>
      <c r="AM273" s="865"/>
      <c r="AN273" s="865"/>
      <c r="AO273" s="865"/>
      <c r="AP273" s="865"/>
      <c r="AQ273" s="865"/>
      <c r="AR273" s="865"/>
      <c r="AS273" s="865"/>
      <c r="AT273" s="865"/>
      <c r="AU273" s="865"/>
      <c r="AV273" s="865">
        <v>100499.99999999997</v>
      </c>
      <c r="AW273" s="865"/>
      <c r="AX273" s="865"/>
      <c r="AY273" s="865"/>
      <c r="AZ273" s="865"/>
      <c r="BA273" s="865"/>
      <c r="BB273" s="865"/>
      <c r="BC273" s="865">
        <v>2199.9999999999995</v>
      </c>
      <c r="BD273" s="865">
        <v>0</v>
      </c>
      <c r="BE273" s="865"/>
      <c r="BF273" s="865"/>
      <c r="BG273" s="865"/>
      <c r="BH273" s="865">
        <v>18519.925257032057</v>
      </c>
      <c r="BI273" s="865"/>
      <c r="BJ273" s="865"/>
      <c r="BK273" s="865"/>
      <c r="BL273" s="865"/>
      <c r="BM273" s="865"/>
      <c r="BN273" s="865"/>
      <c r="BO273" s="865"/>
      <c r="BP273" s="865"/>
      <c r="BQ273" s="865"/>
      <c r="BR273" s="865"/>
      <c r="BS273" s="865">
        <v>121219.92525703202</v>
      </c>
      <c r="BT273" s="412">
        <f t="shared" si="9"/>
        <v>100499.99999999997</v>
      </c>
      <c r="BU273" s="413">
        <v>1</v>
      </c>
      <c r="BV273" s="413">
        <v>0</v>
      </c>
      <c r="BW273" s="413">
        <v>0</v>
      </c>
      <c r="BX273" s="413">
        <v>0</v>
      </c>
      <c r="BY273" s="413">
        <v>0</v>
      </c>
      <c r="BZ273" s="413">
        <v>0</v>
      </c>
      <c r="CA273" s="413">
        <v>0</v>
      </c>
      <c r="CB273" s="413">
        <v>0</v>
      </c>
      <c r="CC273" s="413">
        <v>0</v>
      </c>
      <c r="CD273" s="413">
        <v>0</v>
      </c>
      <c r="CE273" s="413">
        <v>0</v>
      </c>
      <c r="CF273" s="413">
        <v>0</v>
      </c>
      <c r="CG273" s="413">
        <v>0</v>
      </c>
      <c r="CH273" s="413">
        <v>0</v>
      </c>
      <c r="CI273" s="413">
        <v>0</v>
      </c>
      <c r="CJ273" s="413">
        <v>0</v>
      </c>
      <c r="CK273" s="413">
        <v>0</v>
      </c>
      <c r="CL273" s="413">
        <v>0</v>
      </c>
      <c r="CM273" s="413">
        <v>0</v>
      </c>
      <c r="CN273" s="413">
        <v>0</v>
      </c>
      <c r="CO273" s="414">
        <f t="shared" si="8"/>
        <v>1</v>
      </c>
    </row>
    <row r="274" spans="1:93" s="415" customFormat="1" ht="25.5" customHeight="1" x14ac:dyDescent="0.25">
      <c r="A274" s="881" t="s">
        <v>354</v>
      </c>
      <c r="B274" s="862" t="s">
        <v>2071</v>
      </c>
      <c r="C274" s="861" t="s">
        <v>792</v>
      </c>
      <c r="D274" s="862"/>
      <c r="E274" s="861" t="s">
        <v>779</v>
      </c>
      <c r="F274" s="862"/>
      <c r="G274" s="861" t="s">
        <v>648</v>
      </c>
      <c r="H274" s="861" t="s">
        <v>654</v>
      </c>
      <c r="I274" s="861" t="s">
        <v>647</v>
      </c>
      <c r="J274" s="861" t="s">
        <v>671</v>
      </c>
      <c r="K274" s="861" t="s">
        <v>649</v>
      </c>
      <c r="L274" s="861" t="s">
        <v>36</v>
      </c>
      <c r="M274" s="861" t="s">
        <v>646</v>
      </c>
      <c r="N274" s="861" t="s">
        <v>680</v>
      </c>
      <c r="O274" s="861"/>
      <c r="P274" s="861" t="s">
        <v>643</v>
      </c>
      <c r="Q274" s="861" t="s">
        <v>650</v>
      </c>
      <c r="R274" s="861" t="s">
        <v>652</v>
      </c>
      <c r="S274" s="861" t="s">
        <v>649</v>
      </c>
      <c r="T274" s="861"/>
      <c r="U274" s="861"/>
      <c r="V274" s="861" t="s">
        <v>36</v>
      </c>
      <c r="W274" s="861" t="s">
        <v>640</v>
      </c>
      <c r="X274" s="863">
        <v>42917</v>
      </c>
      <c r="Y274" s="863">
        <v>43250</v>
      </c>
      <c r="Z274" s="864">
        <v>2018</v>
      </c>
      <c r="AA274" s="861" t="s">
        <v>676</v>
      </c>
      <c r="AB274" s="861" t="s">
        <v>675</v>
      </c>
      <c r="AC274" s="861" t="s">
        <v>663</v>
      </c>
      <c r="AD274" s="865"/>
      <c r="AE274" s="865"/>
      <c r="AF274" s="865"/>
      <c r="AG274" s="865"/>
      <c r="AH274" s="865"/>
      <c r="AI274" s="865"/>
      <c r="AJ274" s="865"/>
      <c r="AK274" s="865"/>
      <c r="AL274" s="865"/>
      <c r="AM274" s="865"/>
      <c r="AN274" s="865"/>
      <c r="AO274" s="865"/>
      <c r="AP274" s="865"/>
      <c r="AQ274" s="865"/>
      <c r="AR274" s="865"/>
      <c r="AS274" s="865"/>
      <c r="AT274" s="865"/>
      <c r="AU274" s="865"/>
      <c r="AV274" s="865">
        <v>52519.999999999985</v>
      </c>
      <c r="AW274" s="865"/>
      <c r="AX274" s="865"/>
      <c r="AY274" s="865">
        <v>121199.99999999997</v>
      </c>
      <c r="AZ274" s="865"/>
      <c r="BA274" s="865"/>
      <c r="BB274" s="865"/>
      <c r="BC274" s="865">
        <v>16159.999999999996</v>
      </c>
      <c r="BD274" s="865">
        <v>0</v>
      </c>
      <c r="BE274" s="865"/>
      <c r="BF274" s="865"/>
      <c r="BG274" s="865"/>
      <c r="BH274" s="865">
        <v>34241.123737149435</v>
      </c>
      <c r="BI274" s="865"/>
      <c r="BJ274" s="865"/>
      <c r="BK274" s="865"/>
      <c r="BL274" s="865"/>
      <c r="BM274" s="865"/>
      <c r="BN274" s="865"/>
      <c r="BO274" s="865"/>
      <c r="BP274" s="865"/>
      <c r="BQ274" s="865"/>
      <c r="BR274" s="865"/>
      <c r="BS274" s="865">
        <v>224121.12373714938</v>
      </c>
      <c r="BT274" s="412">
        <f t="shared" si="9"/>
        <v>173719.99999999994</v>
      </c>
      <c r="BU274" s="413">
        <v>0.30232558139534887</v>
      </c>
      <c r="BV274" s="413">
        <v>0</v>
      </c>
      <c r="BW274" s="413">
        <v>0</v>
      </c>
      <c r="BX274" s="413">
        <v>0</v>
      </c>
      <c r="BY274" s="413">
        <v>0</v>
      </c>
      <c r="BZ274" s="413">
        <v>0</v>
      </c>
      <c r="CA274" s="413">
        <v>0</v>
      </c>
      <c r="CB274" s="413">
        <v>0.69767441860465118</v>
      </c>
      <c r="CC274" s="413">
        <v>0</v>
      </c>
      <c r="CD274" s="413">
        <v>0</v>
      </c>
      <c r="CE274" s="413">
        <v>0</v>
      </c>
      <c r="CF274" s="413">
        <v>0</v>
      </c>
      <c r="CG274" s="413">
        <v>0</v>
      </c>
      <c r="CH274" s="413">
        <v>0</v>
      </c>
      <c r="CI274" s="413">
        <v>0</v>
      </c>
      <c r="CJ274" s="413">
        <v>0</v>
      </c>
      <c r="CK274" s="413">
        <v>0</v>
      </c>
      <c r="CL274" s="413">
        <v>0</v>
      </c>
      <c r="CM274" s="413">
        <v>0</v>
      </c>
      <c r="CN274" s="413">
        <v>0</v>
      </c>
      <c r="CO274" s="414">
        <f t="shared" si="8"/>
        <v>1</v>
      </c>
    </row>
    <row r="275" spans="1:93" s="415" customFormat="1" ht="25.5" customHeight="1" x14ac:dyDescent="0.25">
      <c r="A275" s="881" t="s">
        <v>356</v>
      </c>
      <c r="B275" s="862" t="s">
        <v>2073</v>
      </c>
      <c r="C275" s="861" t="s">
        <v>791</v>
      </c>
      <c r="D275" s="862"/>
      <c r="E275" s="861" t="s">
        <v>790</v>
      </c>
      <c r="F275" s="862"/>
      <c r="G275" s="861" t="s">
        <v>648</v>
      </c>
      <c r="H275" s="861" t="s">
        <v>654</v>
      </c>
      <c r="I275" s="861" t="s">
        <v>647</v>
      </c>
      <c r="J275" s="861" t="s">
        <v>671</v>
      </c>
      <c r="K275" s="861" t="s">
        <v>649</v>
      </c>
      <c r="L275" s="861" t="s">
        <v>36</v>
      </c>
      <c r="M275" s="861" t="s">
        <v>646</v>
      </c>
      <c r="N275" s="861" t="s">
        <v>680</v>
      </c>
      <c r="O275" s="861"/>
      <c r="P275" s="861" t="s">
        <v>643</v>
      </c>
      <c r="Q275" s="861" t="s">
        <v>650</v>
      </c>
      <c r="R275" s="861" t="s">
        <v>652</v>
      </c>
      <c r="S275" s="861" t="s">
        <v>649</v>
      </c>
      <c r="T275" s="861"/>
      <c r="U275" s="861"/>
      <c r="V275" s="861" t="s">
        <v>36</v>
      </c>
      <c r="W275" s="861" t="s">
        <v>640</v>
      </c>
      <c r="X275" s="863">
        <v>42917</v>
      </c>
      <c r="Y275" s="863">
        <v>43250</v>
      </c>
      <c r="Z275" s="864">
        <v>2018</v>
      </c>
      <c r="AA275" s="861" t="s">
        <v>676</v>
      </c>
      <c r="AB275" s="861" t="s">
        <v>675</v>
      </c>
      <c r="AC275" s="861" t="s">
        <v>663</v>
      </c>
      <c r="AD275" s="865"/>
      <c r="AE275" s="865"/>
      <c r="AF275" s="865"/>
      <c r="AG275" s="865"/>
      <c r="AH275" s="865"/>
      <c r="AI275" s="865"/>
      <c r="AJ275" s="865"/>
      <c r="AK275" s="865"/>
      <c r="AL275" s="865"/>
      <c r="AM275" s="865"/>
      <c r="AN275" s="865"/>
      <c r="AO275" s="865"/>
      <c r="AP275" s="865"/>
      <c r="AQ275" s="865"/>
      <c r="AR275" s="865"/>
      <c r="AS275" s="865"/>
      <c r="AT275" s="865"/>
      <c r="AU275" s="865"/>
      <c r="AV275" s="865">
        <v>69439.999999999985</v>
      </c>
      <c r="AW275" s="865"/>
      <c r="AX275" s="865"/>
      <c r="AY275" s="865">
        <v>37199.999999999993</v>
      </c>
      <c r="AZ275" s="865"/>
      <c r="BA275" s="865"/>
      <c r="BB275" s="865"/>
      <c r="BC275" s="865">
        <v>9919.9999999999982</v>
      </c>
      <c r="BD275" s="865">
        <v>0</v>
      </c>
      <c r="BE275" s="865"/>
      <c r="BF275" s="865"/>
      <c r="BG275" s="865"/>
      <c r="BH275" s="865">
        <v>21019.303680230347</v>
      </c>
      <c r="BI275" s="865"/>
      <c r="BJ275" s="865"/>
      <c r="BK275" s="865"/>
      <c r="BL275" s="865"/>
      <c r="BM275" s="865"/>
      <c r="BN275" s="865"/>
      <c r="BO275" s="865"/>
      <c r="BP275" s="865"/>
      <c r="BQ275" s="865"/>
      <c r="BR275" s="865"/>
      <c r="BS275" s="865">
        <v>137579.30368023031</v>
      </c>
      <c r="BT275" s="412">
        <f t="shared" si="9"/>
        <v>106639.99999999997</v>
      </c>
      <c r="BU275" s="413">
        <v>0.65116279069767447</v>
      </c>
      <c r="BV275" s="413">
        <v>0</v>
      </c>
      <c r="BW275" s="413">
        <v>0</v>
      </c>
      <c r="BX275" s="413">
        <v>0</v>
      </c>
      <c r="BY275" s="413">
        <v>0</v>
      </c>
      <c r="BZ275" s="413">
        <v>0</v>
      </c>
      <c r="CA275" s="413">
        <v>0</v>
      </c>
      <c r="CB275" s="413">
        <v>0.34883720930232559</v>
      </c>
      <c r="CC275" s="413">
        <v>0</v>
      </c>
      <c r="CD275" s="413">
        <v>0</v>
      </c>
      <c r="CE275" s="413">
        <v>0</v>
      </c>
      <c r="CF275" s="413">
        <v>0</v>
      </c>
      <c r="CG275" s="413">
        <v>0</v>
      </c>
      <c r="CH275" s="413">
        <v>0</v>
      </c>
      <c r="CI275" s="413">
        <v>0</v>
      </c>
      <c r="CJ275" s="413">
        <v>0</v>
      </c>
      <c r="CK275" s="413">
        <v>0</v>
      </c>
      <c r="CL275" s="413">
        <v>0</v>
      </c>
      <c r="CM275" s="413">
        <v>0</v>
      </c>
      <c r="CN275" s="413">
        <v>0</v>
      </c>
      <c r="CO275" s="414">
        <f t="shared" si="8"/>
        <v>1</v>
      </c>
    </row>
    <row r="276" spans="1:93" s="415" customFormat="1" ht="38.25" x14ac:dyDescent="0.25">
      <c r="A276" s="881" t="s">
        <v>789</v>
      </c>
      <c r="B276" s="862" t="s">
        <v>2077</v>
      </c>
      <c r="C276" s="861" t="s">
        <v>788</v>
      </c>
      <c r="D276" s="862"/>
      <c r="E276" s="861" t="s">
        <v>779</v>
      </c>
      <c r="F276" s="862"/>
      <c r="G276" s="861" t="s">
        <v>648</v>
      </c>
      <c r="H276" s="861" t="s">
        <v>654</v>
      </c>
      <c r="I276" s="861" t="s">
        <v>647</v>
      </c>
      <c r="J276" s="861" t="s">
        <v>671</v>
      </c>
      <c r="K276" s="861" t="s">
        <v>649</v>
      </c>
      <c r="L276" s="861" t="s">
        <v>36</v>
      </c>
      <c r="M276" s="861" t="s">
        <v>646</v>
      </c>
      <c r="N276" s="861" t="s">
        <v>699</v>
      </c>
      <c r="O276" s="861"/>
      <c r="P276" s="861"/>
      <c r="Q276" s="861" t="s">
        <v>650</v>
      </c>
      <c r="R276" s="861" t="s">
        <v>652</v>
      </c>
      <c r="S276" s="861"/>
      <c r="T276" s="861"/>
      <c r="U276" s="861"/>
      <c r="V276" s="861" t="s">
        <v>36</v>
      </c>
      <c r="W276" s="861" t="s">
        <v>666</v>
      </c>
      <c r="X276" s="863">
        <v>42552</v>
      </c>
      <c r="Y276" s="863">
        <v>43007</v>
      </c>
      <c r="Z276" s="864">
        <v>2017</v>
      </c>
      <c r="AA276" s="861" t="s">
        <v>676</v>
      </c>
      <c r="AB276" s="861" t="s">
        <v>675</v>
      </c>
      <c r="AC276" s="861" t="s">
        <v>663</v>
      </c>
      <c r="AD276" s="865"/>
      <c r="AE276" s="865"/>
      <c r="AF276" s="865"/>
      <c r="AG276" s="865"/>
      <c r="AH276" s="865"/>
      <c r="AI276" s="865"/>
      <c r="AJ276" s="865"/>
      <c r="AK276" s="865"/>
      <c r="AL276" s="865"/>
      <c r="AM276" s="865"/>
      <c r="AN276" s="865"/>
      <c r="AO276" s="865"/>
      <c r="AP276" s="865"/>
      <c r="AQ276" s="865"/>
      <c r="AR276" s="865"/>
      <c r="AS276" s="865"/>
      <c r="AT276" s="865"/>
      <c r="AU276" s="865"/>
      <c r="AV276" s="865">
        <v>64999.999999999985</v>
      </c>
      <c r="AW276" s="865"/>
      <c r="AX276" s="865"/>
      <c r="AY276" s="865"/>
      <c r="AZ276" s="865"/>
      <c r="BA276" s="865"/>
      <c r="BB276" s="865"/>
      <c r="BC276" s="865"/>
      <c r="BD276" s="865"/>
      <c r="BE276" s="865"/>
      <c r="BF276" s="865"/>
      <c r="BG276" s="865"/>
      <c r="BH276" s="865"/>
      <c r="BI276" s="865"/>
      <c r="BJ276" s="865"/>
      <c r="BK276" s="865"/>
      <c r="BL276" s="865"/>
      <c r="BM276" s="865"/>
      <c r="BN276" s="865"/>
      <c r="BO276" s="865"/>
      <c r="BP276" s="865"/>
      <c r="BQ276" s="865"/>
      <c r="BR276" s="865"/>
      <c r="BS276" s="865">
        <v>64999.999999999985</v>
      </c>
      <c r="BT276" s="412">
        <f t="shared" si="9"/>
        <v>64999.999999999985</v>
      </c>
      <c r="BU276" s="413">
        <v>1</v>
      </c>
      <c r="BV276" s="413">
        <v>0</v>
      </c>
      <c r="BW276" s="413">
        <v>0</v>
      </c>
      <c r="BX276" s="413">
        <v>0</v>
      </c>
      <c r="BY276" s="413">
        <v>0</v>
      </c>
      <c r="BZ276" s="413">
        <v>0</v>
      </c>
      <c r="CA276" s="413">
        <v>0</v>
      </c>
      <c r="CB276" s="413">
        <v>0</v>
      </c>
      <c r="CC276" s="413">
        <v>0</v>
      </c>
      <c r="CD276" s="413">
        <v>0</v>
      </c>
      <c r="CE276" s="413">
        <v>0</v>
      </c>
      <c r="CF276" s="413">
        <v>0</v>
      </c>
      <c r="CG276" s="413">
        <v>0</v>
      </c>
      <c r="CH276" s="413">
        <v>0</v>
      </c>
      <c r="CI276" s="413">
        <v>0</v>
      </c>
      <c r="CJ276" s="413">
        <v>0</v>
      </c>
      <c r="CK276" s="413">
        <v>0</v>
      </c>
      <c r="CL276" s="413">
        <v>0</v>
      </c>
      <c r="CM276" s="413">
        <v>0</v>
      </c>
      <c r="CN276" s="413">
        <v>0</v>
      </c>
      <c r="CO276" s="414">
        <f t="shared" si="8"/>
        <v>1</v>
      </c>
    </row>
    <row r="277" spans="1:93" s="415" customFormat="1" ht="25.5" x14ac:dyDescent="0.25">
      <c r="A277" s="881" t="s">
        <v>358</v>
      </c>
      <c r="B277" s="862" t="s">
        <v>2079</v>
      </c>
      <c r="C277" s="861" t="s">
        <v>787</v>
      </c>
      <c r="D277" s="862"/>
      <c r="E277" s="861"/>
      <c r="F277" s="862"/>
      <c r="G277" s="861"/>
      <c r="H277" s="861" t="s">
        <v>654</v>
      </c>
      <c r="I277" s="861" t="s">
        <v>647</v>
      </c>
      <c r="J277" s="861" t="s">
        <v>641</v>
      </c>
      <c r="K277" s="861" t="s">
        <v>649</v>
      </c>
      <c r="L277" s="861" t="s">
        <v>40</v>
      </c>
      <c r="M277" s="861" t="s">
        <v>646</v>
      </c>
      <c r="N277" s="861" t="s">
        <v>680</v>
      </c>
      <c r="O277" s="861" t="s">
        <v>786</v>
      </c>
      <c r="P277" s="861" t="s">
        <v>720</v>
      </c>
      <c r="Q277" s="861" t="s">
        <v>642</v>
      </c>
      <c r="R277" s="861" t="s">
        <v>652</v>
      </c>
      <c r="S277" s="861" t="s">
        <v>649</v>
      </c>
      <c r="T277" s="861" t="s">
        <v>785</v>
      </c>
      <c r="U277" s="861" t="s">
        <v>689</v>
      </c>
      <c r="V277" s="861" t="s">
        <v>641</v>
      </c>
      <c r="W277" s="861" t="s">
        <v>784</v>
      </c>
      <c r="X277" s="863">
        <v>42461</v>
      </c>
      <c r="Y277" s="863">
        <v>43281</v>
      </c>
      <c r="Z277" s="864">
        <v>2018</v>
      </c>
      <c r="AA277" s="861" t="s">
        <v>676</v>
      </c>
      <c r="AB277" s="861" t="s">
        <v>697</v>
      </c>
      <c r="AC277" s="861" t="s">
        <v>663</v>
      </c>
      <c r="AD277" s="865"/>
      <c r="AE277" s="865"/>
      <c r="AF277" s="865"/>
      <c r="AG277" s="865">
        <v>49095474.99999994</v>
      </c>
      <c r="AH277" s="865"/>
      <c r="AI277" s="865"/>
      <c r="AJ277" s="865"/>
      <c r="AK277" s="865"/>
      <c r="AL277" s="865"/>
      <c r="AM277" s="865"/>
      <c r="AN277" s="865"/>
      <c r="AO277" s="865"/>
      <c r="AP277" s="865"/>
      <c r="AQ277" s="865"/>
      <c r="AR277" s="865"/>
      <c r="AS277" s="865"/>
      <c r="AT277" s="865"/>
      <c r="AU277" s="865"/>
      <c r="AV277" s="865"/>
      <c r="AW277" s="865"/>
      <c r="AX277" s="865"/>
      <c r="AY277" s="865"/>
      <c r="AZ277" s="865"/>
      <c r="BA277" s="865"/>
      <c r="BB277" s="865"/>
      <c r="BC277" s="865"/>
      <c r="BD277" s="865"/>
      <c r="BE277" s="865"/>
      <c r="BF277" s="865"/>
      <c r="BG277" s="865"/>
      <c r="BH277" s="865"/>
      <c r="BI277" s="865"/>
      <c r="BJ277" s="865"/>
      <c r="BK277" s="865"/>
      <c r="BL277" s="865"/>
      <c r="BM277" s="865"/>
      <c r="BN277" s="865"/>
      <c r="BO277" s="865"/>
      <c r="BP277" s="865"/>
      <c r="BQ277" s="865"/>
      <c r="BR277" s="865"/>
      <c r="BS277" s="865">
        <v>49095474.99999994</v>
      </c>
      <c r="BT277" s="412">
        <f t="shared" si="9"/>
        <v>49095474.99999994</v>
      </c>
      <c r="BU277" s="413">
        <v>0</v>
      </c>
      <c r="BV277" s="413">
        <v>0</v>
      </c>
      <c r="BW277" s="413">
        <v>0</v>
      </c>
      <c r="BX277" s="413">
        <v>0</v>
      </c>
      <c r="BY277" s="413">
        <v>0</v>
      </c>
      <c r="BZ277" s="413">
        <v>0</v>
      </c>
      <c r="CA277" s="413">
        <v>0</v>
      </c>
      <c r="CB277" s="413">
        <v>0</v>
      </c>
      <c r="CC277" s="413">
        <v>0</v>
      </c>
      <c r="CD277" s="413">
        <v>1</v>
      </c>
      <c r="CE277" s="413">
        <v>0</v>
      </c>
      <c r="CF277" s="413">
        <v>0</v>
      </c>
      <c r="CG277" s="413">
        <v>0</v>
      </c>
      <c r="CH277" s="413">
        <v>0</v>
      </c>
      <c r="CI277" s="413">
        <v>0</v>
      </c>
      <c r="CJ277" s="413">
        <v>0</v>
      </c>
      <c r="CK277" s="413">
        <v>0</v>
      </c>
      <c r="CL277" s="413">
        <v>0</v>
      </c>
      <c r="CM277" s="413">
        <v>0</v>
      </c>
      <c r="CN277" s="413">
        <v>0</v>
      </c>
      <c r="CO277" s="414">
        <f t="shared" si="8"/>
        <v>1</v>
      </c>
    </row>
    <row r="278" spans="1:93" s="415" customFormat="1" ht="25.5" customHeight="1" x14ac:dyDescent="0.25">
      <c r="A278" s="881" t="s">
        <v>360</v>
      </c>
      <c r="B278" s="862" t="s">
        <v>2087</v>
      </c>
      <c r="C278" s="861" t="s">
        <v>783</v>
      </c>
      <c r="D278" s="862"/>
      <c r="E278" s="861"/>
      <c r="F278" s="862"/>
      <c r="G278" s="861" t="s">
        <v>722</v>
      </c>
      <c r="H278" s="861" t="s">
        <v>654</v>
      </c>
      <c r="I278" s="861" t="s">
        <v>647</v>
      </c>
      <c r="J278" s="861" t="s">
        <v>641</v>
      </c>
      <c r="K278" s="861" t="s">
        <v>649</v>
      </c>
      <c r="L278" s="861" t="s">
        <v>60</v>
      </c>
      <c r="M278" s="861" t="s">
        <v>646</v>
      </c>
      <c r="N278" s="861" t="s">
        <v>680</v>
      </c>
      <c r="O278" s="861"/>
      <c r="P278" s="861" t="s">
        <v>643</v>
      </c>
      <c r="Q278" s="861" t="s">
        <v>656</v>
      </c>
      <c r="R278" s="861" t="s">
        <v>652</v>
      </c>
      <c r="S278" s="861" t="s">
        <v>649</v>
      </c>
      <c r="T278" s="861"/>
      <c r="U278" s="861"/>
      <c r="V278" s="861" t="s">
        <v>641</v>
      </c>
      <c r="W278" s="861" t="s">
        <v>640</v>
      </c>
      <c r="X278" s="863">
        <v>42917</v>
      </c>
      <c r="Y278" s="863">
        <v>43342</v>
      </c>
      <c r="Z278" s="864">
        <v>2018</v>
      </c>
      <c r="AA278" s="861" t="s">
        <v>676</v>
      </c>
      <c r="AB278" s="861" t="s">
        <v>675</v>
      </c>
      <c r="AC278" s="861" t="s">
        <v>663</v>
      </c>
      <c r="AD278" s="865"/>
      <c r="AE278" s="865"/>
      <c r="AF278" s="865"/>
      <c r="AG278" s="865">
        <v>1962985.0000000005</v>
      </c>
      <c r="AH278" s="865"/>
      <c r="AI278" s="865"/>
      <c r="AJ278" s="865"/>
      <c r="AK278" s="865"/>
      <c r="AL278" s="865"/>
      <c r="AM278" s="865"/>
      <c r="AN278" s="865"/>
      <c r="AO278" s="865"/>
      <c r="AP278" s="865"/>
      <c r="AQ278" s="865"/>
      <c r="AR278" s="865"/>
      <c r="AS278" s="865"/>
      <c r="AT278" s="865"/>
      <c r="AU278" s="865"/>
      <c r="AV278" s="865"/>
      <c r="AW278" s="865"/>
      <c r="AX278" s="865"/>
      <c r="AY278" s="865"/>
      <c r="AZ278" s="865"/>
      <c r="BA278" s="865"/>
      <c r="BB278" s="865"/>
      <c r="BC278" s="865"/>
      <c r="BD278" s="865"/>
      <c r="BE278" s="865"/>
      <c r="BF278" s="865"/>
      <c r="BG278" s="865"/>
      <c r="BH278" s="865">
        <v>99015.497652297665</v>
      </c>
      <c r="BI278" s="865"/>
      <c r="BJ278" s="865"/>
      <c r="BK278" s="865"/>
      <c r="BL278" s="865"/>
      <c r="BM278" s="865"/>
      <c r="BN278" s="865"/>
      <c r="BO278" s="865"/>
      <c r="BP278" s="865"/>
      <c r="BQ278" s="865"/>
      <c r="BR278" s="865"/>
      <c r="BS278" s="865">
        <v>2062000.4976522983</v>
      </c>
      <c r="BT278" s="412">
        <f t="shared" si="9"/>
        <v>1962985.0000000005</v>
      </c>
      <c r="BU278" s="413">
        <v>0</v>
      </c>
      <c r="BV278" s="413">
        <v>0</v>
      </c>
      <c r="BW278" s="413">
        <v>0</v>
      </c>
      <c r="BX278" s="413">
        <v>0</v>
      </c>
      <c r="BY278" s="413">
        <v>0</v>
      </c>
      <c r="BZ278" s="413">
        <v>0</v>
      </c>
      <c r="CA278" s="413">
        <v>0</v>
      </c>
      <c r="CB278" s="413">
        <v>0</v>
      </c>
      <c r="CC278" s="413">
        <v>0</v>
      </c>
      <c r="CD278" s="413">
        <v>1</v>
      </c>
      <c r="CE278" s="413">
        <v>0</v>
      </c>
      <c r="CF278" s="413">
        <v>0</v>
      </c>
      <c r="CG278" s="413">
        <v>0</v>
      </c>
      <c r="CH278" s="413">
        <v>0</v>
      </c>
      <c r="CI278" s="413">
        <v>0</v>
      </c>
      <c r="CJ278" s="413">
        <v>0</v>
      </c>
      <c r="CK278" s="413">
        <v>0</v>
      </c>
      <c r="CL278" s="413">
        <v>0</v>
      </c>
      <c r="CM278" s="413">
        <v>0</v>
      </c>
      <c r="CN278" s="413">
        <v>0</v>
      </c>
      <c r="CO278" s="414">
        <f t="shared" ref="CO278:CO324" si="10">SUM(BU278:CN278)</f>
        <v>1</v>
      </c>
    </row>
    <row r="279" spans="1:93" s="415" customFormat="1" ht="25.5" customHeight="1" x14ac:dyDescent="0.25">
      <c r="A279" s="881" t="s">
        <v>782</v>
      </c>
      <c r="B279" s="862" t="s">
        <v>2089</v>
      </c>
      <c r="C279" s="861" t="s">
        <v>781</v>
      </c>
      <c r="D279" s="862"/>
      <c r="E279" s="861" t="s">
        <v>779</v>
      </c>
      <c r="F279" s="862"/>
      <c r="G279" s="861" t="s">
        <v>648</v>
      </c>
      <c r="H279" s="861" t="s">
        <v>654</v>
      </c>
      <c r="I279" s="861" t="s">
        <v>647</v>
      </c>
      <c r="J279" s="861" t="s">
        <v>671</v>
      </c>
      <c r="K279" s="861" t="s">
        <v>649</v>
      </c>
      <c r="L279" s="861" t="s">
        <v>36</v>
      </c>
      <c r="M279" s="861" t="s">
        <v>646</v>
      </c>
      <c r="N279" s="861" t="s">
        <v>668</v>
      </c>
      <c r="O279" s="861"/>
      <c r="P279" s="861"/>
      <c r="Q279" s="861" t="s">
        <v>650</v>
      </c>
      <c r="R279" s="861" t="s">
        <v>652</v>
      </c>
      <c r="S279" s="861" t="s">
        <v>649</v>
      </c>
      <c r="T279" s="861"/>
      <c r="U279" s="861"/>
      <c r="V279" s="861" t="s">
        <v>36</v>
      </c>
      <c r="W279" s="861" t="s">
        <v>666</v>
      </c>
      <c r="X279" s="863">
        <v>42917</v>
      </c>
      <c r="Y279" s="863">
        <v>43250</v>
      </c>
      <c r="Z279" s="864">
        <v>2018</v>
      </c>
      <c r="AA279" s="861" t="s">
        <v>676</v>
      </c>
      <c r="AB279" s="861" t="s">
        <v>675</v>
      </c>
      <c r="AC279" s="861" t="s">
        <v>663</v>
      </c>
      <c r="AD279" s="865"/>
      <c r="AE279" s="865"/>
      <c r="AF279" s="865"/>
      <c r="AG279" s="865"/>
      <c r="AH279" s="865"/>
      <c r="AI279" s="865"/>
      <c r="AJ279" s="865"/>
      <c r="AK279" s="865"/>
      <c r="AL279" s="865"/>
      <c r="AM279" s="865"/>
      <c r="AN279" s="865"/>
      <c r="AO279" s="865"/>
      <c r="AP279" s="865"/>
      <c r="AQ279" s="865"/>
      <c r="AR279" s="865"/>
      <c r="AS279" s="865"/>
      <c r="AT279" s="865"/>
      <c r="AU279" s="865"/>
      <c r="AV279" s="865">
        <v>17099.999999999996</v>
      </c>
      <c r="AW279" s="865"/>
      <c r="AX279" s="865"/>
      <c r="AY279" s="865">
        <v>39899.999999999985</v>
      </c>
      <c r="AZ279" s="865"/>
      <c r="BA279" s="865"/>
      <c r="BB279" s="865"/>
      <c r="BC279" s="865"/>
      <c r="BD279" s="865"/>
      <c r="BE279" s="865"/>
      <c r="BF279" s="865"/>
      <c r="BG279" s="865"/>
      <c r="BH279" s="865"/>
      <c r="BI279" s="865"/>
      <c r="BJ279" s="865"/>
      <c r="BK279" s="865"/>
      <c r="BL279" s="865"/>
      <c r="BM279" s="865"/>
      <c r="BN279" s="865"/>
      <c r="BO279" s="865"/>
      <c r="BP279" s="865"/>
      <c r="BQ279" s="865"/>
      <c r="BR279" s="865"/>
      <c r="BS279" s="865">
        <v>56999.999999999985</v>
      </c>
      <c r="BT279" s="412">
        <f t="shared" ref="BT279:BT324" si="11">SUM(AD279:BB279)</f>
        <v>56999.999999999985</v>
      </c>
      <c r="BU279" s="413">
        <v>0.3</v>
      </c>
      <c r="BV279" s="413">
        <v>0</v>
      </c>
      <c r="BW279" s="413">
        <v>0</v>
      </c>
      <c r="BX279" s="413">
        <v>0</v>
      </c>
      <c r="BY279" s="413">
        <v>0</v>
      </c>
      <c r="BZ279" s="413">
        <v>0</v>
      </c>
      <c r="CA279" s="413">
        <v>0</v>
      </c>
      <c r="CB279" s="413">
        <v>0.7</v>
      </c>
      <c r="CC279" s="413">
        <v>0</v>
      </c>
      <c r="CD279" s="413">
        <v>0</v>
      </c>
      <c r="CE279" s="413">
        <v>0</v>
      </c>
      <c r="CF279" s="413">
        <v>0</v>
      </c>
      <c r="CG279" s="413">
        <v>0</v>
      </c>
      <c r="CH279" s="413">
        <v>0</v>
      </c>
      <c r="CI279" s="413">
        <v>0</v>
      </c>
      <c r="CJ279" s="413">
        <v>0</v>
      </c>
      <c r="CK279" s="413">
        <v>0</v>
      </c>
      <c r="CL279" s="413">
        <v>0</v>
      </c>
      <c r="CM279" s="413">
        <v>0</v>
      </c>
      <c r="CN279" s="413">
        <v>0</v>
      </c>
      <c r="CO279" s="414">
        <f t="shared" si="10"/>
        <v>1</v>
      </c>
    </row>
    <row r="280" spans="1:93" s="415" customFormat="1" ht="38.25" x14ac:dyDescent="0.25">
      <c r="A280" s="881" t="s">
        <v>364</v>
      </c>
      <c r="B280" s="862" t="s">
        <v>2093</v>
      </c>
      <c r="C280" s="861" t="s">
        <v>780</v>
      </c>
      <c r="D280" s="862"/>
      <c r="E280" s="861" t="s">
        <v>779</v>
      </c>
      <c r="F280" s="862"/>
      <c r="G280" s="861" t="s">
        <v>648</v>
      </c>
      <c r="H280" s="861" t="s">
        <v>654</v>
      </c>
      <c r="I280" s="861" t="s">
        <v>647</v>
      </c>
      <c r="J280" s="861" t="s">
        <v>671</v>
      </c>
      <c r="K280" s="861" t="s">
        <v>649</v>
      </c>
      <c r="L280" s="861" t="s">
        <v>36</v>
      </c>
      <c r="M280" s="861" t="s">
        <v>646</v>
      </c>
      <c r="N280" s="861" t="s">
        <v>680</v>
      </c>
      <c r="O280" s="861"/>
      <c r="P280" s="861" t="s">
        <v>643</v>
      </c>
      <c r="Q280" s="861" t="s">
        <v>650</v>
      </c>
      <c r="R280" s="861" t="s">
        <v>652</v>
      </c>
      <c r="S280" s="861" t="s">
        <v>649</v>
      </c>
      <c r="T280" s="861"/>
      <c r="U280" s="861"/>
      <c r="V280" s="861" t="s">
        <v>36</v>
      </c>
      <c r="W280" s="861" t="s">
        <v>640</v>
      </c>
      <c r="X280" s="863">
        <v>42917</v>
      </c>
      <c r="Y280" s="863">
        <v>43250</v>
      </c>
      <c r="Z280" s="864">
        <v>2018</v>
      </c>
      <c r="AA280" s="861" t="s">
        <v>676</v>
      </c>
      <c r="AB280" s="861" t="s">
        <v>675</v>
      </c>
      <c r="AC280" s="861" t="s">
        <v>663</v>
      </c>
      <c r="AD280" s="865"/>
      <c r="AE280" s="865"/>
      <c r="AF280" s="865"/>
      <c r="AG280" s="865"/>
      <c r="AH280" s="865"/>
      <c r="AI280" s="865"/>
      <c r="AJ280" s="865"/>
      <c r="AK280" s="865"/>
      <c r="AL280" s="865"/>
      <c r="AM280" s="865"/>
      <c r="AN280" s="865"/>
      <c r="AO280" s="865"/>
      <c r="AP280" s="865"/>
      <c r="AQ280" s="865"/>
      <c r="AR280" s="865"/>
      <c r="AS280" s="865"/>
      <c r="AT280" s="865"/>
      <c r="AU280" s="865"/>
      <c r="AV280" s="865"/>
      <c r="AW280" s="865"/>
      <c r="AX280" s="865"/>
      <c r="AY280" s="865"/>
      <c r="AZ280" s="865"/>
      <c r="BA280" s="865">
        <v>130559.99999999997</v>
      </c>
      <c r="BB280" s="865"/>
      <c r="BC280" s="865"/>
      <c r="BD280" s="865"/>
      <c r="BE280" s="865"/>
      <c r="BF280" s="865"/>
      <c r="BG280" s="865"/>
      <c r="BH280" s="865">
        <v>18759.2995623733</v>
      </c>
      <c r="BI280" s="865"/>
      <c r="BJ280" s="865"/>
      <c r="BK280" s="865"/>
      <c r="BL280" s="865"/>
      <c r="BM280" s="865"/>
      <c r="BN280" s="865"/>
      <c r="BO280" s="865"/>
      <c r="BP280" s="865"/>
      <c r="BQ280" s="865"/>
      <c r="BR280" s="865"/>
      <c r="BS280" s="865">
        <v>149319.29956237326</v>
      </c>
      <c r="BT280" s="412">
        <f t="shared" si="11"/>
        <v>130559.99999999997</v>
      </c>
      <c r="BU280" s="413">
        <v>0</v>
      </c>
      <c r="BV280" s="413">
        <v>0</v>
      </c>
      <c r="BW280" s="413">
        <v>0</v>
      </c>
      <c r="BX280" s="413">
        <v>0</v>
      </c>
      <c r="BY280" s="413">
        <v>0</v>
      </c>
      <c r="BZ280" s="413">
        <v>0</v>
      </c>
      <c r="CA280" s="413">
        <v>0</v>
      </c>
      <c r="CB280" s="413">
        <v>1</v>
      </c>
      <c r="CC280" s="413">
        <v>0</v>
      </c>
      <c r="CD280" s="413">
        <v>0</v>
      </c>
      <c r="CE280" s="413">
        <v>0</v>
      </c>
      <c r="CF280" s="413">
        <v>0</v>
      </c>
      <c r="CG280" s="413">
        <v>0</v>
      </c>
      <c r="CH280" s="413">
        <v>0</v>
      </c>
      <c r="CI280" s="413">
        <v>0</v>
      </c>
      <c r="CJ280" s="413">
        <v>0</v>
      </c>
      <c r="CK280" s="413">
        <v>0</v>
      </c>
      <c r="CL280" s="413">
        <v>0</v>
      </c>
      <c r="CM280" s="413">
        <v>0</v>
      </c>
      <c r="CN280" s="413">
        <v>0</v>
      </c>
      <c r="CO280" s="414">
        <f t="shared" si="10"/>
        <v>1</v>
      </c>
    </row>
    <row r="281" spans="1:93" s="415" customFormat="1" ht="25.5" customHeight="1" x14ac:dyDescent="0.25">
      <c r="A281" s="881" t="s">
        <v>366</v>
      </c>
      <c r="B281" s="862" t="s">
        <v>2834</v>
      </c>
      <c r="C281" s="861" t="s">
        <v>778</v>
      </c>
      <c r="D281" s="862"/>
      <c r="E281" s="861" t="s">
        <v>692</v>
      </c>
      <c r="F281" s="862"/>
      <c r="G281" s="861"/>
      <c r="H281" s="861" t="s">
        <v>654</v>
      </c>
      <c r="I281" s="861" t="s">
        <v>647</v>
      </c>
      <c r="J281" s="861" t="s">
        <v>671</v>
      </c>
      <c r="K281" s="861" t="s">
        <v>649</v>
      </c>
      <c r="L281" s="861" t="s">
        <v>55</v>
      </c>
      <c r="M281" s="861" t="s">
        <v>646</v>
      </c>
      <c r="N281" s="861" t="s">
        <v>645</v>
      </c>
      <c r="O281" s="861"/>
      <c r="P281" s="861"/>
      <c r="Q281" s="861" t="s">
        <v>650</v>
      </c>
      <c r="R281" s="861" t="s">
        <v>652</v>
      </c>
      <c r="S281" s="861" t="s">
        <v>649</v>
      </c>
      <c r="T281" s="861"/>
      <c r="U281" s="861"/>
      <c r="V281" s="861" t="s">
        <v>683</v>
      </c>
      <c r="W281" s="861"/>
      <c r="X281" s="863">
        <v>42430</v>
      </c>
      <c r="Y281" s="863">
        <v>42780</v>
      </c>
      <c r="Z281" s="864">
        <v>2017</v>
      </c>
      <c r="AA281" s="861"/>
      <c r="AB281" s="861"/>
      <c r="AC281" s="861"/>
      <c r="AD281" s="865"/>
      <c r="AE281" s="865"/>
      <c r="AF281" s="865"/>
      <c r="AG281" s="865"/>
      <c r="AH281" s="865"/>
      <c r="AI281" s="865"/>
      <c r="AJ281" s="865"/>
      <c r="AK281" s="865"/>
      <c r="AL281" s="865"/>
      <c r="AM281" s="865"/>
      <c r="AN281" s="865"/>
      <c r="AO281" s="865"/>
      <c r="AP281" s="865"/>
      <c r="AQ281" s="865"/>
      <c r="AR281" s="865"/>
      <c r="AS281" s="865"/>
      <c r="AT281" s="865"/>
      <c r="AU281" s="865"/>
      <c r="AV281" s="865"/>
      <c r="AW281" s="865">
        <v>37400.000000000029</v>
      </c>
      <c r="AX281" s="865"/>
      <c r="AY281" s="865"/>
      <c r="AZ281" s="865"/>
      <c r="BA281" s="865"/>
      <c r="BB281" s="865"/>
      <c r="BC281" s="865"/>
      <c r="BD281" s="865"/>
      <c r="BE281" s="865"/>
      <c r="BF281" s="865"/>
      <c r="BG281" s="865"/>
      <c r="BH281" s="865">
        <v>149600.00000000017</v>
      </c>
      <c r="BI281" s="865"/>
      <c r="BJ281" s="865"/>
      <c r="BK281" s="865"/>
      <c r="BL281" s="865"/>
      <c r="BM281" s="865"/>
      <c r="BN281" s="865"/>
      <c r="BO281" s="865"/>
      <c r="BP281" s="865"/>
      <c r="BQ281" s="865"/>
      <c r="BR281" s="865"/>
      <c r="BS281" s="865">
        <v>187000.00000000023</v>
      </c>
      <c r="BT281" s="412">
        <f t="shared" si="11"/>
        <v>37400.000000000029</v>
      </c>
      <c r="BU281" s="413">
        <v>0</v>
      </c>
      <c r="BV281" s="413">
        <v>0</v>
      </c>
      <c r="BW281" s="413">
        <v>0</v>
      </c>
      <c r="BX281" s="413">
        <v>1</v>
      </c>
      <c r="BY281" s="413">
        <v>0</v>
      </c>
      <c r="BZ281" s="413">
        <v>0</v>
      </c>
      <c r="CA281" s="413">
        <v>0</v>
      </c>
      <c r="CB281" s="413">
        <v>0</v>
      </c>
      <c r="CC281" s="413">
        <v>0</v>
      </c>
      <c r="CD281" s="413">
        <v>0</v>
      </c>
      <c r="CE281" s="413">
        <v>0</v>
      </c>
      <c r="CF281" s="413">
        <v>0</v>
      </c>
      <c r="CG281" s="413">
        <v>0</v>
      </c>
      <c r="CH281" s="413">
        <v>0</v>
      </c>
      <c r="CI281" s="413">
        <v>0</v>
      </c>
      <c r="CJ281" s="413">
        <v>0</v>
      </c>
      <c r="CK281" s="413">
        <v>0</v>
      </c>
      <c r="CL281" s="413">
        <v>0</v>
      </c>
      <c r="CM281" s="413">
        <v>0</v>
      </c>
      <c r="CN281" s="413">
        <v>0</v>
      </c>
      <c r="CO281" s="414">
        <f t="shared" si="10"/>
        <v>1</v>
      </c>
    </row>
    <row r="282" spans="1:93" s="415" customFormat="1" ht="25.5" customHeight="1" x14ac:dyDescent="0.25">
      <c r="A282" s="881" t="s">
        <v>773</v>
      </c>
      <c r="B282" s="862" t="s">
        <v>2109</v>
      </c>
      <c r="C282" s="861" t="s">
        <v>772</v>
      </c>
      <c r="D282" s="862"/>
      <c r="E282" s="861" t="s">
        <v>55</v>
      </c>
      <c r="F282" s="862"/>
      <c r="G282" s="861" t="s">
        <v>648</v>
      </c>
      <c r="H282" s="861" t="s">
        <v>654</v>
      </c>
      <c r="I282" s="861" t="s">
        <v>647</v>
      </c>
      <c r="J282" s="861" t="s">
        <v>641</v>
      </c>
      <c r="K282" s="861" t="s">
        <v>649</v>
      </c>
      <c r="L282" s="861" t="s">
        <v>40</v>
      </c>
      <c r="M282" s="861" t="s">
        <v>646</v>
      </c>
      <c r="N282" s="861"/>
      <c r="O282" s="861"/>
      <c r="P282" s="861" t="s">
        <v>643</v>
      </c>
      <c r="Q282" s="861" t="s">
        <v>656</v>
      </c>
      <c r="R282" s="861" t="s">
        <v>652</v>
      </c>
      <c r="S282" s="861" t="s">
        <v>649</v>
      </c>
      <c r="T282" s="861"/>
      <c r="U282" s="861"/>
      <c r="V282" s="861" t="s">
        <v>683</v>
      </c>
      <c r="W282" s="861" t="s">
        <v>640</v>
      </c>
      <c r="X282" s="863">
        <v>42856</v>
      </c>
      <c r="Y282" s="863">
        <v>43642</v>
      </c>
      <c r="Z282" s="864">
        <v>2019</v>
      </c>
      <c r="AA282" s="861" t="s">
        <v>676</v>
      </c>
      <c r="AB282" s="861" t="s">
        <v>675</v>
      </c>
      <c r="AC282" s="861" t="s">
        <v>663</v>
      </c>
      <c r="AD282" s="865"/>
      <c r="AE282" s="865"/>
      <c r="AF282" s="865"/>
      <c r="AG282" s="865"/>
      <c r="AH282" s="865"/>
      <c r="AI282" s="865"/>
      <c r="AJ282" s="865"/>
      <c r="AK282" s="865"/>
      <c r="AL282" s="865"/>
      <c r="AM282" s="865"/>
      <c r="AN282" s="865"/>
      <c r="AO282" s="865"/>
      <c r="AP282" s="865"/>
      <c r="AQ282" s="865"/>
      <c r="AR282" s="865">
        <v>1100000.0000000009</v>
      </c>
      <c r="AS282" s="865"/>
      <c r="AT282" s="865"/>
      <c r="AU282" s="865"/>
      <c r="AV282" s="865"/>
      <c r="AW282" s="865"/>
      <c r="AX282" s="865"/>
      <c r="AY282" s="865"/>
      <c r="AZ282" s="865"/>
      <c r="BA282" s="865"/>
      <c r="BB282" s="865"/>
      <c r="BC282" s="865"/>
      <c r="BD282" s="865"/>
      <c r="BE282" s="865"/>
      <c r="BF282" s="865"/>
      <c r="BG282" s="865"/>
      <c r="BH282" s="865"/>
      <c r="BI282" s="865"/>
      <c r="BJ282" s="865"/>
      <c r="BK282" s="865"/>
      <c r="BL282" s="865"/>
      <c r="BM282" s="865"/>
      <c r="BN282" s="865"/>
      <c r="BO282" s="865"/>
      <c r="BP282" s="865"/>
      <c r="BQ282" s="865"/>
      <c r="BR282" s="865"/>
      <c r="BS282" s="865">
        <v>1100000.0000000009</v>
      </c>
      <c r="BT282" s="412">
        <f t="shared" si="11"/>
        <v>1100000.0000000009</v>
      </c>
      <c r="BU282" s="413">
        <v>0</v>
      </c>
      <c r="BV282" s="413">
        <v>0</v>
      </c>
      <c r="BW282" s="413">
        <v>1</v>
      </c>
      <c r="BX282" s="413">
        <v>0</v>
      </c>
      <c r="BY282" s="413">
        <v>0</v>
      </c>
      <c r="BZ282" s="413">
        <v>0</v>
      </c>
      <c r="CA282" s="413">
        <v>0</v>
      </c>
      <c r="CB282" s="413">
        <v>0</v>
      </c>
      <c r="CC282" s="413">
        <v>0</v>
      </c>
      <c r="CD282" s="413">
        <v>0</v>
      </c>
      <c r="CE282" s="413">
        <v>0</v>
      </c>
      <c r="CF282" s="413">
        <v>0</v>
      </c>
      <c r="CG282" s="413">
        <v>0</v>
      </c>
      <c r="CH282" s="413">
        <v>0</v>
      </c>
      <c r="CI282" s="413">
        <v>0</v>
      </c>
      <c r="CJ282" s="413">
        <v>0</v>
      </c>
      <c r="CK282" s="413">
        <v>0</v>
      </c>
      <c r="CL282" s="413">
        <v>0</v>
      </c>
      <c r="CM282" s="413">
        <v>0</v>
      </c>
      <c r="CN282" s="413">
        <v>0</v>
      </c>
      <c r="CO282" s="414">
        <f t="shared" si="10"/>
        <v>1</v>
      </c>
    </row>
    <row r="283" spans="1:93" s="415" customFormat="1" ht="63.75" x14ac:dyDescent="0.25">
      <c r="A283" s="881" t="s">
        <v>771</v>
      </c>
      <c r="B283" s="862" t="s">
        <v>2115</v>
      </c>
      <c r="C283" s="861" t="s">
        <v>770</v>
      </c>
      <c r="D283" s="862"/>
      <c r="E283" s="861" t="s">
        <v>769</v>
      </c>
      <c r="F283" s="862"/>
      <c r="G283" s="861" t="s">
        <v>648</v>
      </c>
      <c r="H283" s="861" t="s">
        <v>654</v>
      </c>
      <c r="I283" s="861" t="s">
        <v>647</v>
      </c>
      <c r="J283" s="861" t="s">
        <v>671</v>
      </c>
      <c r="K283" s="861" t="s">
        <v>649</v>
      </c>
      <c r="L283" s="861" t="s">
        <v>55</v>
      </c>
      <c r="M283" s="861" t="s">
        <v>646</v>
      </c>
      <c r="N283" s="861"/>
      <c r="O283" s="861"/>
      <c r="P283" s="861"/>
      <c r="Q283" s="861" t="s">
        <v>656</v>
      </c>
      <c r="R283" s="861" t="s">
        <v>652</v>
      </c>
      <c r="S283" s="861" t="s">
        <v>649</v>
      </c>
      <c r="T283" s="861"/>
      <c r="U283" s="861"/>
      <c r="V283" s="861" t="s">
        <v>683</v>
      </c>
      <c r="W283" s="861" t="s">
        <v>666</v>
      </c>
      <c r="X283" s="863">
        <v>41671</v>
      </c>
      <c r="Y283" s="863">
        <v>42429</v>
      </c>
      <c r="Z283" s="864">
        <v>2015</v>
      </c>
      <c r="AA283" s="861" t="s">
        <v>676</v>
      </c>
      <c r="AB283" s="861" t="s">
        <v>675</v>
      </c>
      <c r="AC283" s="861" t="s">
        <v>663</v>
      </c>
      <c r="AD283" s="865"/>
      <c r="AE283" s="865"/>
      <c r="AF283" s="865"/>
      <c r="AG283" s="865"/>
      <c r="AH283" s="865"/>
      <c r="AI283" s="865"/>
      <c r="AJ283" s="865"/>
      <c r="AK283" s="865"/>
      <c r="AL283" s="865"/>
      <c r="AM283" s="865"/>
      <c r="AN283" s="865"/>
      <c r="AO283" s="865"/>
      <c r="AP283" s="865"/>
      <c r="AQ283" s="865"/>
      <c r="AR283" s="865"/>
      <c r="AS283" s="865"/>
      <c r="AT283" s="865"/>
      <c r="AU283" s="865"/>
      <c r="AV283" s="865"/>
      <c r="AW283" s="865">
        <v>209232.00000000029</v>
      </c>
      <c r="AX283" s="865">
        <v>1993216.0000000028</v>
      </c>
      <c r="AY283" s="865"/>
      <c r="AZ283" s="865"/>
      <c r="BA283" s="865"/>
      <c r="BB283" s="865"/>
      <c r="BC283" s="865"/>
      <c r="BD283" s="865"/>
      <c r="BE283" s="865"/>
      <c r="BF283" s="865"/>
      <c r="BG283" s="865"/>
      <c r="BH283" s="865"/>
      <c r="BI283" s="865"/>
      <c r="BJ283" s="865"/>
      <c r="BK283" s="865"/>
      <c r="BL283" s="865"/>
      <c r="BM283" s="865"/>
      <c r="BN283" s="865"/>
      <c r="BO283" s="865"/>
      <c r="BP283" s="865"/>
      <c r="BQ283" s="865"/>
      <c r="BR283" s="865"/>
      <c r="BS283" s="865">
        <v>2202448.0000000033</v>
      </c>
      <c r="BT283" s="412">
        <f t="shared" si="11"/>
        <v>2202448.0000000033</v>
      </c>
      <c r="BU283" s="413">
        <v>0</v>
      </c>
      <c r="BV283" s="413">
        <v>0</v>
      </c>
      <c r="BW283" s="413">
        <v>0</v>
      </c>
      <c r="BX283" s="413">
        <v>1</v>
      </c>
      <c r="BY283" s="413">
        <v>0</v>
      </c>
      <c r="BZ283" s="413">
        <v>0</v>
      </c>
      <c r="CA283" s="413">
        <v>0</v>
      </c>
      <c r="CB283" s="413">
        <v>0</v>
      </c>
      <c r="CC283" s="413">
        <v>0</v>
      </c>
      <c r="CD283" s="413">
        <v>0</v>
      </c>
      <c r="CE283" s="413">
        <v>0</v>
      </c>
      <c r="CF283" s="413">
        <v>0</v>
      </c>
      <c r="CG283" s="413">
        <v>0</v>
      </c>
      <c r="CH283" s="413">
        <v>0</v>
      </c>
      <c r="CI283" s="413">
        <v>0</v>
      </c>
      <c r="CJ283" s="413">
        <v>0</v>
      </c>
      <c r="CK283" s="413">
        <v>0</v>
      </c>
      <c r="CL283" s="413">
        <v>0</v>
      </c>
      <c r="CM283" s="413">
        <v>0</v>
      </c>
      <c r="CN283" s="413">
        <v>0</v>
      </c>
      <c r="CO283" s="414">
        <f t="shared" si="10"/>
        <v>1</v>
      </c>
    </row>
    <row r="284" spans="1:93" s="415" customFormat="1" ht="25.5" x14ac:dyDescent="0.25">
      <c r="A284" s="881" t="s">
        <v>387</v>
      </c>
      <c r="B284" s="862" t="s">
        <v>2120</v>
      </c>
      <c r="C284" s="861" t="s">
        <v>768</v>
      </c>
      <c r="D284" s="862"/>
      <c r="E284" s="861" t="s">
        <v>692</v>
      </c>
      <c r="F284" s="862"/>
      <c r="G284" s="861"/>
      <c r="H284" s="861" t="s">
        <v>654</v>
      </c>
      <c r="I284" s="861" t="s">
        <v>647</v>
      </c>
      <c r="J284" s="861" t="s">
        <v>671</v>
      </c>
      <c r="K284" s="861" t="s">
        <v>649</v>
      </c>
      <c r="L284" s="861" t="s">
        <v>55</v>
      </c>
      <c r="M284" s="861" t="s">
        <v>646</v>
      </c>
      <c r="N284" s="861" t="s">
        <v>645</v>
      </c>
      <c r="O284" s="861"/>
      <c r="P284" s="861"/>
      <c r="Q284" s="861" t="s">
        <v>650</v>
      </c>
      <c r="R284" s="861" t="s">
        <v>652</v>
      </c>
      <c r="S284" s="861" t="s">
        <v>649</v>
      </c>
      <c r="T284" s="861"/>
      <c r="U284" s="861"/>
      <c r="V284" s="861" t="s">
        <v>683</v>
      </c>
      <c r="W284" s="861" t="s">
        <v>640</v>
      </c>
      <c r="X284" s="863">
        <v>42552</v>
      </c>
      <c r="Y284" s="863">
        <v>43242</v>
      </c>
      <c r="Z284" s="864">
        <v>2018</v>
      </c>
      <c r="AA284" s="861"/>
      <c r="AB284" s="861"/>
      <c r="AC284" s="861"/>
      <c r="AD284" s="865"/>
      <c r="AE284" s="865"/>
      <c r="AF284" s="865"/>
      <c r="AG284" s="865"/>
      <c r="AH284" s="865"/>
      <c r="AI284" s="865"/>
      <c r="AJ284" s="865"/>
      <c r="AK284" s="865"/>
      <c r="AL284" s="865"/>
      <c r="AM284" s="865"/>
      <c r="AN284" s="865"/>
      <c r="AO284" s="865"/>
      <c r="AP284" s="865"/>
      <c r="AQ284" s="865"/>
      <c r="AR284" s="865"/>
      <c r="AS284" s="865"/>
      <c r="AT284" s="865"/>
      <c r="AU284" s="865"/>
      <c r="AV284" s="865"/>
      <c r="AW284" s="865">
        <v>43599.999999999971</v>
      </c>
      <c r="AX284" s="865"/>
      <c r="AY284" s="865"/>
      <c r="AZ284" s="865"/>
      <c r="BA284" s="865"/>
      <c r="BB284" s="865"/>
      <c r="BC284" s="865"/>
      <c r="BD284" s="865"/>
      <c r="BE284" s="865"/>
      <c r="BF284" s="865"/>
      <c r="BG284" s="865"/>
      <c r="BH284" s="865">
        <v>174400.00000000003</v>
      </c>
      <c r="BI284" s="865"/>
      <c r="BJ284" s="865"/>
      <c r="BK284" s="865"/>
      <c r="BL284" s="865"/>
      <c r="BM284" s="865"/>
      <c r="BN284" s="865"/>
      <c r="BO284" s="865"/>
      <c r="BP284" s="865"/>
      <c r="BQ284" s="865"/>
      <c r="BR284" s="865"/>
      <c r="BS284" s="865">
        <v>218000</v>
      </c>
      <c r="BT284" s="412">
        <f t="shared" si="11"/>
        <v>43599.999999999971</v>
      </c>
      <c r="BU284" s="413">
        <v>0</v>
      </c>
      <c r="BV284" s="413">
        <v>0</v>
      </c>
      <c r="BW284" s="413">
        <v>0</v>
      </c>
      <c r="BX284" s="413">
        <v>1</v>
      </c>
      <c r="BY284" s="413">
        <v>0</v>
      </c>
      <c r="BZ284" s="413">
        <v>0</v>
      </c>
      <c r="CA284" s="413">
        <v>0</v>
      </c>
      <c r="CB284" s="413">
        <v>0</v>
      </c>
      <c r="CC284" s="413">
        <v>0</v>
      </c>
      <c r="CD284" s="413">
        <v>0</v>
      </c>
      <c r="CE284" s="413">
        <v>0</v>
      </c>
      <c r="CF284" s="413">
        <v>0</v>
      </c>
      <c r="CG284" s="413">
        <v>0</v>
      </c>
      <c r="CH284" s="413">
        <v>0</v>
      </c>
      <c r="CI284" s="413">
        <v>0</v>
      </c>
      <c r="CJ284" s="413">
        <v>0</v>
      </c>
      <c r="CK284" s="413">
        <v>0</v>
      </c>
      <c r="CL284" s="413">
        <v>0</v>
      </c>
      <c r="CM284" s="413">
        <v>0</v>
      </c>
      <c r="CN284" s="413">
        <v>0</v>
      </c>
      <c r="CO284" s="414">
        <f t="shared" si="10"/>
        <v>1</v>
      </c>
    </row>
    <row r="285" spans="1:93" s="415" customFormat="1" ht="25.5" x14ac:dyDescent="0.25">
      <c r="A285" s="881" t="s">
        <v>390</v>
      </c>
      <c r="B285" s="862" t="s">
        <v>2839</v>
      </c>
      <c r="C285" s="861" t="s">
        <v>767</v>
      </c>
      <c r="D285" s="862"/>
      <c r="E285" s="861" t="s">
        <v>655</v>
      </c>
      <c r="F285" s="862"/>
      <c r="G285" s="861"/>
      <c r="H285" s="861" t="s">
        <v>654</v>
      </c>
      <c r="I285" s="861" t="s">
        <v>647</v>
      </c>
      <c r="J285" s="861" t="s">
        <v>671</v>
      </c>
      <c r="K285" s="861" t="s">
        <v>649</v>
      </c>
      <c r="L285" s="861" t="s">
        <v>55</v>
      </c>
      <c r="M285" s="861" t="s">
        <v>646</v>
      </c>
      <c r="N285" s="861" t="s">
        <v>645</v>
      </c>
      <c r="O285" s="861"/>
      <c r="P285" s="861"/>
      <c r="Q285" s="861" t="s">
        <v>656</v>
      </c>
      <c r="R285" s="861" t="s">
        <v>652</v>
      </c>
      <c r="S285" s="861" t="s">
        <v>649</v>
      </c>
      <c r="T285" s="861"/>
      <c r="U285" s="861"/>
      <c r="V285" s="861" t="s">
        <v>683</v>
      </c>
      <c r="W285" s="861" t="s">
        <v>677</v>
      </c>
      <c r="X285" s="863">
        <v>42675</v>
      </c>
      <c r="Y285" s="863">
        <v>43839</v>
      </c>
      <c r="Z285" s="864">
        <v>2020</v>
      </c>
      <c r="AA285" s="861"/>
      <c r="AB285" s="861"/>
      <c r="AC285" s="861"/>
      <c r="AD285" s="865"/>
      <c r="AE285" s="865"/>
      <c r="AF285" s="865"/>
      <c r="AG285" s="865"/>
      <c r="AH285" s="865"/>
      <c r="AI285" s="865"/>
      <c r="AJ285" s="865"/>
      <c r="AK285" s="865"/>
      <c r="AL285" s="865"/>
      <c r="AM285" s="865"/>
      <c r="AN285" s="865"/>
      <c r="AO285" s="865"/>
      <c r="AP285" s="865"/>
      <c r="AQ285" s="865"/>
      <c r="AR285" s="865"/>
      <c r="AS285" s="865"/>
      <c r="AT285" s="865"/>
      <c r="AU285" s="865"/>
      <c r="AV285" s="865"/>
      <c r="AW285" s="865">
        <v>300000.00000000012</v>
      </c>
      <c r="AX285" s="865"/>
      <c r="AY285" s="865"/>
      <c r="AZ285" s="865"/>
      <c r="BA285" s="865"/>
      <c r="BB285" s="865"/>
      <c r="BC285" s="865"/>
      <c r="BD285" s="865"/>
      <c r="BE285" s="865"/>
      <c r="BF285" s="865"/>
      <c r="BG285" s="865"/>
      <c r="BH285" s="865">
        <v>1200000.0000000009</v>
      </c>
      <c r="BI285" s="865"/>
      <c r="BJ285" s="865"/>
      <c r="BK285" s="865"/>
      <c r="BL285" s="865"/>
      <c r="BM285" s="865"/>
      <c r="BN285" s="865"/>
      <c r="BO285" s="865"/>
      <c r="BP285" s="865"/>
      <c r="BQ285" s="865"/>
      <c r="BR285" s="865"/>
      <c r="BS285" s="865">
        <v>1500000.0000000012</v>
      </c>
      <c r="BT285" s="412">
        <f t="shared" si="11"/>
        <v>300000.00000000012</v>
      </c>
      <c r="BU285" s="413">
        <v>0</v>
      </c>
      <c r="BV285" s="413">
        <v>0</v>
      </c>
      <c r="BW285" s="413">
        <v>0</v>
      </c>
      <c r="BX285" s="413">
        <v>1</v>
      </c>
      <c r="BY285" s="413">
        <v>0</v>
      </c>
      <c r="BZ285" s="413">
        <v>0</v>
      </c>
      <c r="CA285" s="413">
        <v>0</v>
      </c>
      <c r="CB285" s="413">
        <v>0</v>
      </c>
      <c r="CC285" s="413">
        <v>0</v>
      </c>
      <c r="CD285" s="413">
        <v>0</v>
      </c>
      <c r="CE285" s="413">
        <v>0</v>
      </c>
      <c r="CF285" s="413">
        <v>0</v>
      </c>
      <c r="CG285" s="413">
        <v>0</v>
      </c>
      <c r="CH285" s="413">
        <v>0</v>
      </c>
      <c r="CI285" s="413">
        <v>0</v>
      </c>
      <c r="CJ285" s="413">
        <v>0</v>
      </c>
      <c r="CK285" s="413">
        <v>0</v>
      </c>
      <c r="CL285" s="413">
        <v>0</v>
      </c>
      <c r="CM285" s="413">
        <v>0</v>
      </c>
      <c r="CN285" s="413">
        <v>0</v>
      </c>
      <c r="CO285" s="414">
        <f t="shared" si="10"/>
        <v>1</v>
      </c>
    </row>
    <row r="286" spans="1:93" s="415" customFormat="1" ht="25.5" customHeight="1" x14ac:dyDescent="0.25">
      <c r="A286" s="881" t="s">
        <v>408</v>
      </c>
      <c r="B286" s="862" t="s">
        <v>2825</v>
      </c>
      <c r="C286" s="861" t="s">
        <v>761</v>
      </c>
      <c r="D286" s="862"/>
      <c r="E286" s="861" t="s">
        <v>692</v>
      </c>
      <c r="F286" s="862"/>
      <c r="G286" s="861"/>
      <c r="H286" s="861" t="s">
        <v>654</v>
      </c>
      <c r="I286" s="861" t="s">
        <v>647</v>
      </c>
      <c r="J286" s="861" t="s">
        <v>671</v>
      </c>
      <c r="K286" s="861" t="s">
        <v>649</v>
      </c>
      <c r="L286" s="861" t="s">
        <v>55</v>
      </c>
      <c r="M286" s="861" t="s">
        <v>646</v>
      </c>
      <c r="N286" s="861" t="s">
        <v>645</v>
      </c>
      <c r="O286" s="861"/>
      <c r="P286" s="861"/>
      <c r="Q286" s="861" t="s">
        <v>656</v>
      </c>
      <c r="R286" s="861" t="s">
        <v>652</v>
      </c>
      <c r="S286" s="861" t="s">
        <v>649</v>
      </c>
      <c r="T286" s="861"/>
      <c r="U286" s="861"/>
      <c r="V286" s="861" t="s">
        <v>683</v>
      </c>
      <c r="W286" s="861"/>
      <c r="X286" s="863">
        <v>42430</v>
      </c>
      <c r="Y286" s="863">
        <v>43339</v>
      </c>
      <c r="Z286" s="864">
        <v>2018</v>
      </c>
      <c r="AA286" s="861"/>
      <c r="AB286" s="861"/>
      <c r="AC286" s="861"/>
      <c r="AD286" s="865"/>
      <c r="AE286" s="865"/>
      <c r="AF286" s="865"/>
      <c r="AG286" s="865"/>
      <c r="AH286" s="865"/>
      <c r="AI286" s="865"/>
      <c r="AJ286" s="865"/>
      <c r="AK286" s="865"/>
      <c r="AL286" s="865"/>
      <c r="AM286" s="865"/>
      <c r="AN286" s="865"/>
      <c r="AO286" s="865"/>
      <c r="AP286" s="865"/>
      <c r="AQ286" s="865"/>
      <c r="AR286" s="865"/>
      <c r="AS286" s="865"/>
      <c r="AT286" s="865"/>
      <c r="AU286" s="865"/>
      <c r="AV286" s="865"/>
      <c r="AW286" s="865">
        <v>107250.0000000001</v>
      </c>
      <c r="AX286" s="865"/>
      <c r="AY286" s="865"/>
      <c r="AZ286" s="865"/>
      <c r="BA286" s="865"/>
      <c r="BB286" s="865"/>
      <c r="BC286" s="865"/>
      <c r="BD286" s="865"/>
      <c r="BE286" s="865"/>
      <c r="BF286" s="865"/>
      <c r="BG286" s="865"/>
      <c r="BH286" s="865">
        <v>2037750.0000000023</v>
      </c>
      <c r="BI286" s="865"/>
      <c r="BJ286" s="865"/>
      <c r="BK286" s="865"/>
      <c r="BL286" s="865"/>
      <c r="BM286" s="865"/>
      <c r="BN286" s="865"/>
      <c r="BO286" s="865"/>
      <c r="BP286" s="865"/>
      <c r="BQ286" s="865"/>
      <c r="BR286" s="865"/>
      <c r="BS286" s="865">
        <v>2145000.0000000023</v>
      </c>
      <c r="BT286" s="412">
        <f t="shared" si="11"/>
        <v>107250.0000000001</v>
      </c>
      <c r="BU286" s="413">
        <v>0</v>
      </c>
      <c r="BV286" s="413">
        <v>0</v>
      </c>
      <c r="BW286" s="413">
        <v>0</v>
      </c>
      <c r="BX286" s="413">
        <v>1</v>
      </c>
      <c r="BY286" s="413">
        <v>0</v>
      </c>
      <c r="BZ286" s="413">
        <v>0</v>
      </c>
      <c r="CA286" s="413">
        <v>0</v>
      </c>
      <c r="CB286" s="413">
        <v>0</v>
      </c>
      <c r="CC286" s="413">
        <v>0</v>
      </c>
      <c r="CD286" s="413">
        <v>0</v>
      </c>
      <c r="CE286" s="413">
        <v>0</v>
      </c>
      <c r="CF286" s="413">
        <v>0</v>
      </c>
      <c r="CG286" s="413">
        <v>0</v>
      </c>
      <c r="CH286" s="413">
        <v>0</v>
      </c>
      <c r="CI286" s="413">
        <v>0</v>
      </c>
      <c r="CJ286" s="413">
        <v>0</v>
      </c>
      <c r="CK286" s="413">
        <v>0</v>
      </c>
      <c r="CL286" s="413">
        <v>0</v>
      </c>
      <c r="CM286" s="413">
        <v>0</v>
      </c>
      <c r="CN286" s="413">
        <v>0</v>
      </c>
      <c r="CO286" s="414">
        <f t="shared" si="10"/>
        <v>1</v>
      </c>
    </row>
    <row r="287" spans="1:93" s="415" customFormat="1" ht="153" x14ac:dyDescent="0.25">
      <c r="A287" s="881" t="s">
        <v>754</v>
      </c>
      <c r="B287" s="862" t="s">
        <v>2156</v>
      </c>
      <c r="C287" s="861" t="s">
        <v>753</v>
      </c>
      <c r="D287" s="862"/>
      <c r="E287" s="861" t="s">
        <v>752</v>
      </c>
      <c r="F287" s="862"/>
      <c r="G287" s="861" t="s">
        <v>648</v>
      </c>
      <c r="H287" s="861" t="s">
        <v>654</v>
      </c>
      <c r="I287" s="861" t="s">
        <v>647</v>
      </c>
      <c r="J287" s="861" t="s">
        <v>671</v>
      </c>
      <c r="K287" s="861" t="s">
        <v>649</v>
      </c>
      <c r="L287" s="861" t="s">
        <v>28</v>
      </c>
      <c r="M287" s="861" t="s">
        <v>646</v>
      </c>
      <c r="N287" s="861"/>
      <c r="O287" s="861"/>
      <c r="P287" s="861"/>
      <c r="Q287" s="861" t="s">
        <v>650</v>
      </c>
      <c r="R287" s="861" t="s">
        <v>652</v>
      </c>
      <c r="S287" s="861" t="s">
        <v>649</v>
      </c>
      <c r="T287" s="861"/>
      <c r="U287" s="861"/>
      <c r="V287" s="861"/>
      <c r="W287" s="861" t="s">
        <v>666</v>
      </c>
      <c r="X287" s="863">
        <v>44256</v>
      </c>
      <c r="Y287" s="863">
        <v>44830</v>
      </c>
      <c r="Z287" s="864">
        <v>2022</v>
      </c>
      <c r="AA287" s="861"/>
      <c r="AB287" s="861" t="s">
        <v>675</v>
      </c>
      <c r="AC287" s="861" t="s">
        <v>663</v>
      </c>
      <c r="AD287" s="865"/>
      <c r="AE287" s="865"/>
      <c r="AF287" s="865"/>
      <c r="AG287" s="865"/>
      <c r="AH287" s="865"/>
      <c r="AI287" s="865"/>
      <c r="AJ287" s="865"/>
      <c r="AK287" s="865"/>
      <c r="AL287" s="865"/>
      <c r="AM287" s="865"/>
      <c r="AN287" s="865"/>
      <c r="AO287" s="865"/>
      <c r="AP287" s="865"/>
      <c r="AQ287" s="865"/>
      <c r="AR287" s="865"/>
      <c r="AS287" s="865"/>
      <c r="AT287" s="865"/>
      <c r="AU287" s="865"/>
      <c r="AV287" s="865"/>
      <c r="AW287" s="865">
        <v>75999.999999999971</v>
      </c>
      <c r="AX287" s="865">
        <v>723999.99999999977</v>
      </c>
      <c r="AY287" s="865"/>
      <c r="AZ287" s="865"/>
      <c r="BA287" s="865"/>
      <c r="BB287" s="865"/>
      <c r="BC287" s="865"/>
      <c r="BD287" s="865"/>
      <c r="BE287" s="865"/>
      <c r="BF287" s="865"/>
      <c r="BG287" s="865"/>
      <c r="BH287" s="865"/>
      <c r="BI287" s="865"/>
      <c r="BJ287" s="865"/>
      <c r="BK287" s="865"/>
      <c r="BL287" s="865"/>
      <c r="BM287" s="865"/>
      <c r="BN287" s="865"/>
      <c r="BO287" s="865"/>
      <c r="BP287" s="865"/>
      <c r="BQ287" s="865"/>
      <c r="BR287" s="865"/>
      <c r="BS287" s="865">
        <v>799999.99999999988</v>
      </c>
      <c r="BT287" s="412">
        <f t="shared" si="11"/>
        <v>799999.99999999977</v>
      </c>
      <c r="BU287" s="413">
        <v>0</v>
      </c>
      <c r="BV287" s="413">
        <v>0</v>
      </c>
      <c r="BW287" s="413">
        <v>0</v>
      </c>
      <c r="BX287" s="413">
        <v>1</v>
      </c>
      <c r="BY287" s="413">
        <v>0</v>
      </c>
      <c r="BZ287" s="413">
        <v>0</v>
      </c>
      <c r="CA287" s="413">
        <v>0</v>
      </c>
      <c r="CB287" s="413">
        <v>0</v>
      </c>
      <c r="CC287" s="413">
        <v>0</v>
      </c>
      <c r="CD287" s="413">
        <v>0</v>
      </c>
      <c r="CE287" s="413">
        <v>0</v>
      </c>
      <c r="CF287" s="413">
        <v>0</v>
      </c>
      <c r="CG287" s="413">
        <v>0</v>
      </c>
      <c r="CH287" s="413">
        <v>0</v>
      </c>
      <c r="CI287" s="413">
        <v>0</v>
      </c>
      <c r="CJ287" s="413">
        <v>0</v>
      </c>
      <c r="CK287" s="413">
        <v>0</v>
      </c>
      <c r="CL287" s="413">
        <v>0</v>
      </c>
      <c r="CM287" s="413">
        <v>0</v>
      </c>
      <c r="CN287" s="413">
        <v>0</v>
      </c>
      <c r="CO287" s="414">
        <f t="shared" si="10"/>
        <v>1</v>
      </c>
    </row>
    <row r="288" spans="1:93" s="415" customFormat="1" ht="25.5" x14ac:dyDescent="0.25">
      <c r="A288" s="881" t="s">
        <v>457</v>
      </c>
      <c r="B288" s="862" t="s">
        <v>2243</v>
      </c>
      <c r="C288" s="861" t="s">
        <v>740</v>
      </c>
      <c r="D288" s="862"/>
      <c r="E288" s="861" t="s">
        <v>692</v>
      </c>
      <c r="F288" s="862"/>
      <c r="G288" s="861"/>
      <c r="H288" s="861" t="s">
        <v>654</v>
      </c>
      <c r="I288" s="861" t="s">
        <v>647</v>
      </c>
      <c r="J288" s="861" t="s">
        <v>671</v>
      </c>
      <c r="K288" s="861" t="s">
        <v>649</v>
      </c>
      <c r="L288" s="861" t="s">
        <v>55</v>
      </c>
      <c r="M288" s="861" t="s">
        <v>646</v>
      </c>
      <c r="N288" s="861" t="s">
        <v>645</v>
      </c>
      <c r="O288" s="861"/>
      <c r="P288" s="861"/>
      <c r="Q288" s="861" t="s">
        <v>650</v>
      </c>
      <c r="R288" s="861" t="s">
        <v>652</v>
      </c>
      <c r="S288" s="861" t="s">
        <v>649</v>
      </c>
      <c r="T288" s="861"/>
      <c r="U288" s="861"/>
      <c r="V288" s="861" t="s">
        <v>683</v>
      </c>
      <c r="W288" s="861"/>
      <c r="X288" s="863">
        <v>42552</v>
      </c>
      <c r="Y288" s="863">
        <v>43145</v>
      </c>
      <c r="Z288" s="864">
        <v>2018</v>
      </c>
      <c r="AA288" s="861"/>
      <c r="AB288" s="861"/>
      <c r="AC288" s="861"/>
      <c r="AD288" s="865"/>
      <c r="AE288" s="865"/>
      <c r="AF288" s="865"/>
      <c r="AG288" s="865"/>
      <c r="AH288" s="865"/>
      <c r="AI288" s="865"/>
      <c r="AJ288" s="865"/>
      <c r="AK288" s="865"/>
      <c r="AL288" s="865"/>
      <c r="AM288" s="865"/>
      <c r="AN288" s="865"/>
      <c r="AO288" s="865"/>
      <c r="AP288" s="865"/>
      <c r="AQ288" s="865"/>
      <c r="AR288" s="865"/>
      <c r="AS288" s="865"/>
      <c r="AT288" s="865"/>
      <c r="AU288" s="865"/>
      <c r="AV288" s="865"/>
      <c r="AW288" s="865">
        <v>0</v>
      </c>
      <c r="AX288" s="865"/>
      <c r="AY288" s="865"/>
      <c r="AZ288" s="865"/>
      <c r="BA288" s="865"/>
      <c r="BB288" s="865"/>
      <c r="BC288" s="865"/>
      <c r="BD288" s="865"/>
      <c r="BE288" s="865"/>
      <c r="BF288" s="865"/>
      <c r="BG288" s="865"/>
      <c r="BH288" s="865">
        <v>600000.00000000093</v>
      </c>
      <c r="BI288" s="865"/>
      <c r="BJ288" s="865"/>
      <c r="BK288" s="865"/>
      <c r="BL288" s="865"/>
      <c r="BM288" s="865"/>
      <c r="BN288" s="865"/>
      <c r="BO288" s="865"/>
      <c r="BP288" s="865"/>
      <c r="BQ288" s="865"/>
      <c r="BR288" s="865"/>
      <c r="BS288" s="865">
        <v>600000.00000000093</v>
      </c>
      <c r="BT288" s="412">
        <f t="shared" si="11"/>
        <v>0</v>
      </c>
      <c r="BU288" s="413">
        <v>0</v>
      </c>
      <c r="BV288" s="413">
        <v>0</v>
      </c>
      <c r="BW288" s="413">
        <v>0</v>
      </c>
      <c r="BX288" s="413">
        <v>1</v>
      </c>
      <c r="BY288" s="413">
        <v>0</v>
      </c>
      <c r="BZ288" s="413">
        <v>0</v>
      </c>
      <c r="CA288" s="413">
        <v>0</v>
      </c>
      <c r="CB288" s="413">
        <v>0</v>
      </c>
      <c r="CC288" s="413">
        <v>0</v>
      </c>
      <c r="CD288" s="413">
        <v>0</v>
      </c>
      <c r="CE288" s="413">
        <v>0</v>
      </c>
      <c r="CF288" s="413">
        <v>0</v>
      </c>
      <c r="CG288" s="413">
        <v>0</v>
      </c>
      <c r="CH288" s="413">
        <v>0</v>
      </c>
      <c r="CI288" s="413">
        <v>0</v>
      </c>
      <c r="CJ288" s="413">
        <v>0</v>
      </c>
      <c r="CK288" s="413">
        <v>0</v>
      </c>
      <c r="CL288" s="413">
        <v>0</v>
      </c>
      <c r="CM288" s="413">
        <v>0</v>
      </c>
      <c r="CN288" s="413">
        <v>0</v>
      </c>
      <c r="CO288" s="414">
        <f t="shared" si="10"/>
        <v>1</v>
      </c>
    </row>
    <row r="289" spans="1:93" s="415" customFormat="1" ht="25.5" x14ac:dyDescent="0.25">
      <c r="A289" s="881" t="s">
        <v>467</v>
      </c>
      <c r="B289" s="862" t="s">
        <v>2247</v>
      </c>
      <c r="C289" s="861" t="s">
        <v>736</v>
      </c>
      <c r="D289" s="862"/>
      <c r="E289" s="861" t="s">
        <v>692</v>
      </c>
      <c r="F289" s="862"/>
      <c r="G289" s="861"/>
      <c r="H289" s="861" t="s">
        <v>654</v>
      </c>
      <c r="I289" s="861" t="s">
        <v>647</v>
      </c>
      <c r="J289" s="861" t="s">
        <v>671</v>
      </c>
      <c r="K289" s="861" t="s">
        <v>649</v>
      </c>
      <c r="L289" s="861" t="s">
        <v>55</v>
      </c>
      <c r="M289" s="861" t="s">
        <v>646</v>
      </c>
      <c r="N289" s="861" t="s">
        <v>645</v>
      </c>
      <c r="O289" s="861"/>
      <c r="P289" s="861"/>
      <c r="Q289" s="861" t="s">
        <v>650</v>
      </c>
      <c r="R289" s="861" t="s">
        <v>652</v>
      </c>
      <c r="S289" s="861" t="s">
        <v>649</v>
      </c>
      <c r="T289" s="861"/>
      <c r="U289" s="861"/>
      <c r="V289" s="861" t="s">
        <v>683</v>
      </c>
      <c r="W289" s="861"/>
      <c r="X289" s="863">
        <v>42644</v>
      </c>
      <c r="Y289" s="863">
        <v>42993</v>
      </c>
      <c r="Z289" s="864">
        <v>2017</v>
      </c>
      <c r="AA289" s="861"/>
      <c r="AB289" s="861"/>
      <c r="AC289" s="861"/>
      <c r="AD289" s="865"/>
      <c r="AE289" s="865"/>
      <c r="AF289" s="865"/>
      <c r="AG289" s="865"/>
      <c r="AH289" s="865"/>
      <c r="AI289" s="865"/>
      <c r="AJ289" s="865"/>
      <c r="AK289" s="865"/>
      <c r="AL289" s="865"/>
      <c r="AM289" s="865"/>
      <c r="AN289" s="865"/>
      <c r="AO289" s="865"/>
      <c r="AP289" s="865"/>
      <c r="AQ289" s="865"/>
      <c r="AR289" s="865"/>
      <c r="AS289" s="865"/>
      <c r="AT289" s="865"/>
      <c r="AU289" s="865"/>
      <c r="AV289" s="865"/>
      <c r="AW289" s="865">
        <v>0</v>
      </c>
      <c r="AX289" s="865"/>
      <c r="AY289" s="865"/>
      <c r="AZ289" s="865"/>
      <c r="BA289" s="865"/>
      <c r="BB289" s="865"/>
      <c r="BC289" s="865"/>
      <c r="BD289" s="865"/>
      <c r="BE289" s="865"/>
      <c r="BF289" s="865"/>
      <c r="BG289" s="865"/>
      <c r="BH289" s="865">
        <v>323000.00000000012</v>
      </c>
      <c r="BI289" s="865"/>
      <c r="BJ289" s="865"/>
      <c r="BK289" s="865"/>
      <c r="BL289" s="865"/>
      <c r="BM289" s="865"/>
      <c r="BN289" s="865"/>
      <c r="BO289" s="865"/>
      <c r="BP289" s="865"/>
      <c r="BQ289" s="865"/>
      <c r="BR289" s="865"/>
      <c r="BS289" s="865">
        <v>323000.00000000012</v>
      </c>
      <c r="BT289" s="412">
        <f t="shared" si="11"/>
        <v>0</v>
      </c>
      <c r="BU289" s="413">
        <v>0</v>
      </c>
      <c r="BV289" s="413">
        <v>0</v>
      </c>
      <c r="BW289" s="413">
        <v>0</v>
      </c>
      <c r="BX289" s="413">
        <v>1</v>
      </c>
      <c r="BY289" s="413">
        <v>0</v>
      </c>
      <c r="BZ289" s="413">
        <v>0</v>
      </c>
      <c r="CA289" s="413">
        <v>0</v>
      </c>
      <c r="CB289" s="413">
        <v>0</v>
      </c>
      <c r="CC289" s="413">
        <v>0</v>
      </c>
      <c r="CD289" s="413">
        <v>0</v>
      </c>
      <c r="CE289" s="413">
        <v>0</v>
      </c>
      <c r="CF289" s="413">
        <v>0</v>
      </c>
      <c r="CG289" s="413">
        <v>0</v>
      </c>
      <c r="CH289" s="413">
        <v>0</v>
      </c>
      <c r="CI289" s="413">
        <v>0</v>
      </c>
      <c r="CJ289" s="413">
        <v>0</v>
      </c>
      <c r="CK289" s="413">
        <v>0</v>
      </c>
      <c r="CL289" s="413">
        <v>0</v>
      </c>
      <c r="CM289" s="413">
        <v>0</v>
      </c>
      <c r="CN289" s="413">
        <v>0</v>
      </c>
      <c r="CO289" s="414">
        <f t="shared" si="10"/>
        <v>1</v>
      </c>
    </row>
    <row r="290" spans="1:93" s="415" customFormat="1" ht="25.5" x14ac:dyDescent="0.25">
      <c r="A290" s="881" t="s">
        <v>472</v>
      </c>
      <c r="B290" s="862" t="s">
        <v>2249</v>
      </c>
      <c r="C290" s="861" t="s">
        <v>734</v>
      </c>
      <c r="D290" s="862"/>
      <c r="E290" s="861" t="s">
        <v>692</v>
      </c>
      <c r="F290" s="862"/>
      <c r="G290" s="861"/>
      <c r="H290" s="861" t="s">
        <v>654</v>
      </c>
      <c r="I290" s="861" t="s">
        <v>647</v>
      </c>
      <c r="J290" s="861" t="s">
        <v>671</v>
      </c>
      <c r="K290" s="861" t="s">
        <v>649</v>
      </c>
      <c r="L290" s="861" t="s">
        <v>55</v>
      </c>
      <c r="M290" s="861" t="s">
        <v>646</v>
      </c>
      <c r="N290" s="861" t="s">
        <v>645</v>
      </c>
      <c r="O290" s="861"/>
      <c r="P290" s="861"/>
      <c r="Q290" s="861" t="s">
        <v>650</v>
      </c>
      <c r="R290" s="861" t="s">
        <v>652</v>
      </c>
      <c r="S290" s="861" t="s">
        <v>649</v>
      </c>
      <c r="T290" s="861"/>
      <c r="U290" s="861"/>
      <c r="V290" s="861" t="s">
        <v>683</v>
      </c>
      <c r="W290" s="861"/>
      <c r="X290" s="863">
        <v>42491</v>
      </c>
      <c r="Y290" s="863">
        <v>43025</v>
      </c>
      <c r="Z290" s="864">
        <v>2017</v>
      </c>
      <c r="AA290" s="861"/>
      <c r="AB290" s="861"/>
      <c r="AC290" s="861"/>
      <c r="AD290" s="865"/>
      <c r="AE290" s="865"/>
      <c r="AF290" s="865"/>
      <c r="AG290" s="865"/>
      <c r="AH290" s="865"/>
      <c r="AI290" s="865"/>
      <c r="AJ290" s="865"/>
      <c r="AK290" s="865"/>
      <c r="AL290" s="865"/>
      <c r="AM290" s="865"/>
      <c r="AN290" s="865"/>
      <c r="AO290" s="865"/>
      <c r="AP290" s="865"/>
      <c r="AQ290" s="865"/>
      <c r="AR290" s="865"/>
      <c r="AS290" s="865"/>
      <c r="AT290" s="865"/>
      <c r="AU290" s="865"/>
      <c r="AV290" s="865"/>
      <c r="AW290" s="865">
        <v>0</v>
      </c>
      <c r="AX290" s="865"/>
      <c r="AY290" s="865"/>
      <c r="AZ290" s="865"/>
      <c r="BA290" s="865"/>
      <c r="BB290" s="865"/>
      <c r="BC290" s="865"/>
      <c r="BD290" s="865"/>
      <c r="BE290" s="865"/>
      <c r="BF290" s="865"/>
      <c r="BG290" s="865"/>
      <c r="BH290" s="865">
        <v>537999.99999999988</v>
      </c>
      <c r="BI290" s="865"/>
      <c r="BJ290" s="865"/>
      <c r="BK290" s="865"/>
      <c r="BL290" s="865"/>
      <c r="BM290" s="865"/>
      <c r="BN290" s="865"/>
      <c r="BO290" s="865"/>
      <c r="BP290" s="865"/>
      <c r="BQ290" s="865"/>
      <c r="BR290" s="865"/>
      <c r="BS290" s="865">
        <v>537999.99999999988</v>
      </c>
      <c r="BT290" s="412">
        <f t="shared" si="11"/>
        <v>0</v>
      </c>
      <c r="BU290" s="413">
        <v>0</v>
      </c>
      <c r="BV290" s="413">
        <v>0</v>
      </c>
      <c r="BW290" s="413">
        <v>0</v>
      </c>
      <c r="BX290" s="413">
        <v>0</v>
      </c>
      <c r="BY290" s="413">
        <v>0</v>
      </c>
      <c r="BZ290" s="413">
        <v>0</v>
      </c>
      <c r="CA290" s="413">
        <v>0</v>
      </c>
      <c r="CB290" s="413">
        <v>0</v>
      </c>
      <c r="CC290" s="413">
        <v>0</v>
      </c>
      <c r="CD290" s="413">
        <v>0</v>
      </c>
      <c r="CE290" s="413">
        <v>0</v>
      </c>
      <c r="CF290" s="413">
        <v>0</v>
      </c>
      <c r="CG290" s="413">
        <v>0</v>
      </c>
      <c r="CH290" s="413">
        <v>0</v>
      </c>
      <c r="CI290" s="413">
        <v>0</v>
      </c>
      <c r="CJ290" s="413">
        <v>0</v>
      </c>
      <c r="CK290" s="413">
        <v>0</v>
      </c>
      <c r="CL290" s="413">
        <v>0</v>
      </c>
      <c r="CM290" s="413">
        <v>0</v>
      </c>
      <c r="CN290" s="413">
        <v>0</v>
      </c>
      <c r="CO290" s="414">
        <f t="shared" si="10"/>
        <v>0</v>
      </c>
    </row>
    <row r="291" spans="1:93" s="415" customFormat="1" ht="25.5" x14ac:dyDescent="0.25">
      <c r="A291" s="881" t="s">
        <v>475</v>
      </c>
      <c r="B291" s="862" t="s">
        <v>2218</v>
      </c>
      <c r="C291" s="861" t="s">
        <v>733</v>
      </c>
      <c r="D291" s="862"/>
      <c r="E291" s="861" t="s">
        <v>692</v>
      </c>
      <c r="F291" s="862"/>
      <c r="G291" s="861"/>
      <c r="H291" s="861" t="s">
        <v>654</v>
      </c>
      <c r="I291" s="861" t="s">
        <v>647</v>
      </c>
      <c r="J291" s="861" t="s">
        <v>671</v>
      </c>
      <c r="K291" s="861" t="s">
        <v>649</v>
      </c>
      <c r="L291" s="861" t="s">
        <v>55</v>
      </c>
      <c r="M291" s="861" t="s">
        <v>646</v>
      </c>
      <c r="N291" s="861" t="s">
        <v>645</v>
      </c>
      <c r="O291" s="861"/>
      <c r="P291" s="861"/>
      <c r="Q291" s="861" t="s">
        <v>650</v>
      </c>
      <c r="R291" s="861" t="s">
        <v>652</v>
      </c>
      <c r="S291" s="861" t="s">
        <v>649</v>
      </c>
      <c r="T291" s="861"/>
      <c r="U291" s="861"/>
      <c r="V291" s="861" t="s">
        <v>683</v>
      </c>
      <c r="W291" s="861"/>
      <c r="X291" s="863">
        <v>42325</v>
      </c>
      <c r="Y291" s="863">
        <v>42709</v>
      </c>
      <c r="Z291" s="864">
        <v>2016</v>
      </c>
      <c r="AA291" s="861"/>
      <c r="AB291" s="861"/>
      <c r="AC291" s="861"/>
      <c r="AD291" s="865"/>
      <c r="AE291" s="865"/>
      <c r="AF291" s="865"/>
      <c r="AG291" s="865"/>
      <c r="AH291" s="865"/>
      <c r="AI291" s="865"/>
      <c r="AJ291" s="865"/>
      <c r="AK291" s="865"/>
      <c r="AL291" s="865"/>
      <c r="AM291" s="865"/>
      <c r="AN291" s="865"/>
      <c r="AO291" s="865"/>
      <c r="AP291" s="865"/>
      <c r="AQ291" s="865"/>
      <c r="AR291" s="865"/>
      <c r="AS291" s="865"/>
      <c r="AT291" s="865"/>
      <c r="AU291" s="865"/>
      <c r="AV291" s="865"/>
      <c r="AW291" s="865">
        <v>19950.000000000025</v>
      </c>
      <c r="AX291" s="865"/>
      <c r="AY291" s="865"/>
      <c r="AZ291" s="865"/>
      <c r="BA291" s="865"/>
      <c r="BB291" s="865"/>
      <c r="BC291" s="865"/>
      <c r="BD291" s="865"/>
      <c r="BE291" s="865"/>
      <c r="BF291" s="865"/>
      <c r="BG291" s="865"/>
      <c r="BH291" s="865">
        <v>379050.00000000064</v>
      </c>
      <c r="BI291" s="865"/>
      <c r="BJ291" s="865"/>
      <c r="BK291" s="865"/>
      <c r="BL291" s="865"/>
      <c r="BM291" s="865"/>
      <c r="BN291" s="865"/>
      <c r="BO291" s="865"/>
      <c r="BP291" s="865"/>
      <c r="BQ291" s="865"/>
      <c r="BR291" s="865"/>
      <c r="BS291" s="865">
        <v>399000.00000000064</v>
      </c>
      <c r="BT291" s="412">
        <f t="shared" si="11"/>
        <v>19950.000000000025</v>
      </c>
      <c r="BU291" s="413">
        <v>0</v>
      </c>
      <c r="BV291" s="413">
        <v>0</v>
      </c>
      <c r="BW291" s="413">
        <v>0</v>
      </c>
      <c r="BX291" s="413">
        <v>1</v>
      </c>
      <c r="BY291" s="413">
        <v>0</v>
      </c>
      <c r="BZ291" s="413">
        <v>0</v>
      </c>
      <c r="CA291" s="413">
        <v>0</v>
      </c>
      <c r="CB291" s="413">
        <v>0</v>
      </c>
      <c r="CC291" s="413">
        <v>0</v>
      </c>
      <c r="CD291" s="413">
        <v>0</v>
      </c>
      <c r="CE291" s="413">
        <v>0</v>
      </c>
      <c r="CF291" s="413">
        <v>0</v>
      </c>
      <c r="CG291" s="413">
        <v>0</v>
      </c>
      <c r="CH291" s="413">
        <v>0</v>
      </c>
      <c r="CI291" s="413">
        <v>0</v>
      </c>
      <c r="CJ291" s="413">
        <v>0</v>
      </c>
      <c r="CK291" s="413">
        <v>0</v>
      </c>
      <c r="CL291" s="413">
        <v>0</v>
      </c>
      <c r="CM291" s="413">
        <v>0</v>
      </c>
      <c r="CN291" s="413">
        <v>0</v>
      </c>
      <c r="CO291" s="414">
        <f t="shared" si="10"/>
        <v>1</v>
      </c>
    </row>
    <row r="292" spans="1:93" s="415" customFormat="1" ht="25.5" x14ac:dyDescent="0.25">
      <c r="A292" s="881" t="s">
        <v>477</v>
      </c>
      <c r="B292" s="862" t="s">
        <v>2250</v>
      </c>
      <c r="C292" s="861" t="s">
        <v>732</v>
      </c>
      <c r="D292" s="862"/>
      <c r="E292" s="861" t="s">
        <v>692</v>
      </c>
      <c r="F292" s="862"/>
      <c r="G292" s="861"/>
      <c r="H292" s="861" t="s">
        <v>654</v>
      </c>
      <c r="I292" s="861" t="s">
        <v>647</v>
      </c>
      <c r="J292" s="861" t="s">
        <v>671</v>
      </c>
      <c r="K292" s="861" t="s">
        <v>649</v>
      </c>
      <c r="L292" s="861" t="s">
        <v>55</v>
      </c>
      <c r="M292" s="861" t="s">
        <v>646</v>
      </c>
      <c r="N292" s="861" t="s">
        <v>645</v>
      </c>
      <c r="O292" s="861"/>
      <c r="P292" s="861"/>
      <c r="Q292" s="861" t="s">
        <v>650</v>
      </c>
      <c r="R292" s="861" t="s">
        <v>652</v>
      </c>
      <c r="S292" s="861" t="s">
        <v>649</v>
      </c>
      <c r="T292" s="861"/>
      <c r="U292" s="861"/>
      <c r="V292" s="861" t="s">
        <v>683</v>
      </c>
      <c r="W292" s="861"/>
      <c r="X292" s="863">
        <v>42675</v>
      </c>
      <c r="Y292" s="863">
        <v>43271</v>
      </c>
      <c r="Z292" s="864">
        <v>2018</v>
      </c>
      <c r="AA292" s="861"/>
      <c r="AB292" s="861"/>
      <c r="AC292" s="861"/>
      <c r="AD292" s="865"/>
      <c r="AE292" s="865"/>
      <c r="AF292" s="865"/>
      <c r="AG292" s="865"/>
      <c r="AH292" s="865"/>
      <c r="AI292" s="865"/>
      <c r="AJ292" s="865"/>
      <c r="AK292" s="865"/>
      <c r="AL292" s="865"/>
      <c r="AM292" s="865"/>
      <c r="AN292" s="865"/>
      <c r="AO292" s="865"/>
      <c r="AP292" s="865"/>
      <c r="AQ292" s="865"/>
      <c r="AR292" s="865"/>
      <c r="AS292" s="865"/>
      <c r="AT292" s="865"/>
      <c r="AU292" s="865"/>
      <c r="AV292" s="865"/>
      <c r="AW292" s="865">
        <v>0</v>
      </c>
      <c r="AX292" s="865"/>
      <c r="AY292" s="865"/>
      <c r="AZ292" s="865"/>
      <c r="BA292" s="865"/>
      <c r="BB292" s="865"/>
      <c r="BC292" s="865"/>
      <c r="BD292" s="865"/>
      <c r="BE292" s="865"/>
      <c r="BF292" s="865"/>
      <c r="BG292" s="865"/>
      <c r="BH292" s="865">
        <v>274000.00000000006</v>
      </c>
      <c r="BI292" s="865"/>
      <c r="BJ292" s="865"/>
      <c r="BK292" s="865"/>
      <c r="BL292" s="865"/>
      <c r="BM292" s="865"/>
      <c r="BN292" s="865"/>
      <c r="BO292" s="865"/>
      <c r="BP292" s="865"/>
      <c r="BQ292" s="865"/>
      <c r="BR292" s="865"/>
      <c r="BS292" s="865">
        <v>274000.00000000006</v>
      </c>
      <c r="BT292" s="412">
        <f t="shared" si="11"/>
        <v>0</v>
      </c>
      <c r="BU292" s="413">
        <v>0</v>
      </c>
      <c r="BV292" s="413">
        <v>0</v>
      </c>
      <c r="BW292" s="413">
        <v>0</v>
      </c>
      <c r="BX292" s="413">
        <v>1</v>
      </c>
      <c r="BY292" s="413">
        <v>0</v>
      </c>
      <c r="BZ292" s="413">
        <v>0</v>
      </c>
      <c r="CA292" s="413">
        <v>0</v>
      </c>
      <c r="CB292" s="413">
        <v>0</v>
      </c>
      <c r="CC292" s="413">
        <v>0</v>
      </c>
      <c r="CD292" s="413">
        <v>0</v>
      </c>
      <c r="CE292" s="413">
        <v>0</v>
      </c>
      <c r="CF292" s="413">
        <v>0</v>
      </c>
      <c r="CG292" s="413">
        <v>0</v>
      </c>
      <c r="CH292" s="413">
        <v>0</v>
      </c>
      <c r="CI292" s="413">
        <v>0</v>
      </c>
      <c r="CJ292" s="413">
        <v>0</v>
      </c>
      <c r="CK292" s="413">
        <v>0</v>
      </c>
      <c r="CL292" s="413">
        <v>0</v>
      </c>
      <c r="CM292" s="413">
        <v>0</v>
      </c>
      <c r="CN292" s="413">
        <v>0</v>
      </c>
      <c r="CO292" s="414">
        <f t="shared" si="10"/>
        <v>1</v>
      </c>
    </row>
    <row r="293" spans="1:93" s="415" customFormat="1" ht="25.5" x14ac:dyDescent="0.25">
      <c r="A293" s="881" t="s">
        <v>479</v>
      </c>
      <c r="B293" s="862" t="s">
        <v>2251</v>
      </c>
      <c r="C293" s="861" t="s">
        <v>731</v>
      </c>
      <c r="D293" s="862"/>
      <c r="E293" s="861" t="s">
        <v>692</v>
      </c>
      <c r="F293" s="862"/>
      <c r="G293" s="861"/>
      <c r="H293" s="861" t="s">
        <v>654</v>
      </c>
      <c r="I293" s="861" t="s">
        <v>647</v>
      </c>
      <c r="J293" s="861" t="s">
        <v>671</v>
      </c>
      <c r="K293" s="861" t="s">
        <v>649</v>
      </c>
      <c r="L293" s="861" t="s">
        <v>55</v>
      </c>
      <c r="M293" s="861" t="s">
        <v>646</v>
      </c>
      <c r="N293" s="861" t="s">
        <v>645</v>
      </c>
      <c r="O293" s="861"/>
      <c r="P293" s="861"/>
      <c r="Q293" s="861" t="s">
        <v>650</v>
      </c>
      <c r="R293" s="861" t="s">
        <v>652</v>
      </c>
      <c r="S293" s="861" t="s">
        <v>649</v>
      </c>
      <c r="T293" s="861"/>
      <c r="U293" s="861"/>
      <c r="V293" s="861" t="s">
        <v>683</v>
      </c>
      <c r="W293" s="861"/>
      <c r="X293" s="863">
        <v>42461</v>
      </c>
      <c r="Y293" s="863">
        <v>43306</v>
      </c>
      <c r="Z293" s="864">
        <v>2018</v>
      </c>
      <c r="AA293" s="861"/>
      <c r="AB293" s="861"/>
      <c r="AC293" s="861"/>
      <c r="AD293" s="865"/>
      <c r="AE293" s="865"/>
      <c r="AF293" s="865"/>
      <c r="AG293" s="865"/>
      <c r="AH293" s="865"/>
      <c r="AI293" s="865"/>
      <c r="AJ293" s="865"/>
      <c r="AK293" s="865"/>
      <c r="AL293" s="865"/>
      <c r="AM293" s="865"/>
      <c r="AN293" s="865"/>
      <c r="AO293" s="865"/>
      <c r="AP293" s="865"/>
      <c r="AQ293" s="865"/>
      <c r="AR293" s="865"/>
      <c r="AS293" s="865"/>
      <c r="AT293" s="865"/>
      <c r="AU293" s="865"/>
      <c r="AV293" s="865"/>
      <c r="AW293" s="865">
        <v>0</v>
      </c>
      <c r="AX293" s="865"/>
      <c r="AY293" s="865"/>
      <c r="AZ293" s="865"/>
      <c r="BA293" s="865"/>
      <c r="BB293" s="865"/>
      <c r="BC293" s="865"/>
      <c r="BD293" s="865"/>
      <c r="BE293" s="865"/>
      <c r="BF293" s="865"/>
      <c r="BG293" s="865"/>
      <c r="BH293" s="865">
        <v>699999.99999999884</v>
      </c>
      <c r="BI293" s="865"/>
      <c r="BJ293" s="865"/>
      <c r="BK293" s="865"/>
      <c r="BL293" s="865"/>
      <c r="BM293" s="865"/>
      <c r="BN293" s="865"/>
      <c r="BO293" s="865"/>
      <c r="BP293" s="865"/>
      <c r="BQ293" s="865"/>
      <c r="BR293" s="865"/>
      <c r="BS293" s="865">
        <v>699999.99999999884</v>
      </c>
      <c r="BT293" s="412">
        <f t="shared" si="11"/>
        <v>0</v>
      </c>
      <c r="BU293" s="413">
        <v>0</v>
      </c>
      <c r="BV293" s="413">
        <v>0</v>
      </c>
      <c r="BW293" s="413">
        <v>0</v>
      </c>
      <c r="BX293" s="413">
        <v>0</v>
      </c>
      <c r="BY293" s="413">
        <v>0</v>
      </c>
      <c r="BZ293" s="413">
        <v>0</v>
      </c>
      <c r="CA293" s="413">
        <v>0</v>
      </c>
      <c r="CB293" s="413">
        <v>0</v>
      </c>
      <c r="CC293" s="413">
        <v>0</v>
      </c>
      <c r="CD293" s="413">
        <v>0</v>
      </c>
      <c r="CE293" s="413">
        <v>0</v>
      </c>
      <c r="CF293" s="413">
        <v>0</v>
      </c>
      <c r="CG293" s="413">
        <v>0</v>
      </c>
      <c r="CH293" s="413">
        <v>0</v>
      </c>
      <c r="CI293" s="413">
        <v>0</v>
      </c>
      <c r="CJ293" s="413">
        <v>0</v>
      </c>
      <c r="CK293" s="413">
        <v>0</v>
      </c>
      <c r="CL293" s="413">
        <v>0</v>
      </c>
      <c r="CM293" s="413">
        <v>0</v>
      </c>
      <c r="CN293" s="413">
        <v>0</v>
      </c>
      <c r="CO293" s="414">
        <f t="shared" si="10"/>
        <v>0</v>
      </c>
    </row>
    <row r="294" spans="1:93" s="415" customFormat="1" ht="25.5" x14ac:dyDescent="0.25">
      <c r="A294" s="881" t="s">
        <v>502</v>
      </c>
      <c r="B294" s="862" t="s">
        <v>2216</v>
      </c>
      <c r="C294" s="861" t="s">
        <v>728</v>
      </c>
      <c r="D294" s="862"/>
      <c r="E294" s="861"/>
      <c r="F294" s="862"/>
      <c r="G294" s="861"/>
      <c r="H294" s="861"/>
      <c r="I294" s="861" t="s">
        <v>647</v>
      </c>
      <c r="J294" s="861" t="s">
        <v>641</v>
      </c>
      <c r="K294" s="861"/>
      <c r="L294" s="861" t="s">
        <v>107</v>
      </c>
      <c r="M294" s="861" t="s">
        <v>646</v>
      </c>
      <c r="N294" s="861" t="s">
        <v>668</v>
      </c>
      <c r="O294" s="861"/>
      <c r="P294" s="861"/>
      <c r="Q294" s="861" t="s">
        <v>656</v>
      </c>
      <c r="R294" s="861" t="s">
        <v>652</v>
      </c>
      <c r="S294" s="861"/>
      <c r="T294" s="861"/>
      <c r="U294" s="861"/>
      <c r="V294" s="861" t="s">
        <v>641</v>
      </c>
      <c r="W294" s="861" t="s">
        <v>666</v>
      </c>
      <c r="X294" s="863">
        <v>42552</v>
      </c>
      <c r="Y294" s="863">
        <v>43281</v>
      </c>
      <c r="Z294" s="864">
        <v>2018</v>
      </c>
      <c r="AA294" s="861"/>
      <c r="AB294" s="861"/>
      <c r="AC294" s="861"/>
      <c r="AD294" s="865"/>
      <c r="AE294" s="865"/>
      <c r="AF294" s="865"/>
      <c r="AG294" s="865"/>
      <c r="AH294" s="865"/>
      <c r="AI294" s="866">
        <v>0</v>
      </c>
      <c r="AJ294" s="865"/>
      <c r="AK294" s="866">
        <v>0</v>
      </c>
      <c r="AL294" s="865"/>
      <c r="AM294" s="865"/>
      <c r="AN294" s="865"/>
      <c r="AO294" s="866">
        <v>0</v>
      </c>
      <c r="AP294" s="866">
        <v>1366642.3195024</v>
      </c>
      <c r="AQ294" s="866"/>
      <c r="AR294" s="865"/>
      <c r="AS294" s="865"/>
      <c r="AT294" s="865"/>
      <c r="AU294" s="865"/>
      <c r="AV294" s="865"/>
      <c r="AW294" s="865"/>
      <c r="AX294" s="865"/>
      <c r="AY294" s="865"/>
      <c r="AZ294" s="865"/>
      <c r="BA294" s="865"/>
      <c r="BB294" s="865"/>
      <c r="BC294" s="865">
        <v>250387.15904870725</v>
      </c>
      <c r="BD294" s="865"/>
      <c r="BE294" s="865">
        <v>212696.35322774685</v>
      </c>
      <c r="BF294" s="865">
        <v>4918.2165880526281</v>
      </c>
      <c r="BG294" s="865">
        <v>0</v>
      </c>
      <c r="BH294" s="865">
        <v>584842</v>
      </c>
      <c r="BI294" s="865"/>
      <c r="BJ294" s="865"/>
      <c r="BK294" s="865"/>
      <c r="BL294" s="865"/>
      <c r="BM294" s="865"/>
      <c r="BN294" s="865"/>
      <c r="BO294" s="865">
        <v>110000</v>
      </c>
      <c r="BP294" s="865"/>
      <c r="BQ294" s="865"/>
      <c r="BR294" s="865"/>
      <c r="BS294" s="865">
        <v>2529486.0483669024</v>
      </c>
      <c r="BT294" s="412">
        <f t="shared" si="11"/>
        <v>1366642.3195024</v>
      </c>
      <c r="BU294" s="413">
        <v>0</v>
      </c>
      <c r="BV294" s="413">
        <v>0</v>
      </c>
      <c r="BW294" s="413">
        <v>0</v>
      </c>
      <c r="BX294" s="413">
        <v>0</v>
      </c>
      <c r="BY294" s="413">
        <v>0</v>
      </c>
      <c r="BZ294" s="413">
        <v>0</v>
      </c>
      <c r="CA294" s="413">
        <v>0</v>
      </c>
      <c r="CB294" s="413">
        <v>0</v>
      </c>
      <c r="CC294" s="413">
        <v>0</v>
      </c>
      <c r="CD294" s="413">
        <v>0</v>
      </c>
      <c r="CE294" s="413">
        <v>0</v>
      </c>
      <c r="CF294" s="413">
        <v>0</v>
      </c>
      <c r="CG294" s="413">
        <v>0</v>
      </c>
      <c r="CH294" s="413">
        <v>0</v>
      </c>
      <c r="CI294" s="413">
        <v>0</v>
      </c>
      <c r="CJ294" s="413">
        <v>0</v>
      </c>
      <c r="CK294" s="413">
        <v>0</v>
      </c>
      <c r="CL294" s="413">
        <v>0</v>
      </c>
      <c r="CM294" s="413">
        <v>1</v>
      </c>
      <c r="CN294" s="413">
        <v>0</v>
      </c>
      <c r="CO294" s="414">
        <f t="shared" si="10"/>
        <v>1</v>
      </c>
    </row>
    <row r="295" spans="1:93" s="415" customFormat="1" ht="25.5" x14ac:dyDescent="0.25">
      <c r="A295" s="881" t="s">
        <v>520</v>
      </c>
      <c r="B295" s="862" t="s">
        <v>2885</v>
      </c>
      <c r="C295" s="861" t="s">
        <v>724</v>
      </c>
      <c r="D295" s="862"/>
      <c r="E295" s="861"/>
      <c r="F295" s="862"/>
      <c r="G295" s="861"/>
      <c r="H295" s="861" t="s">
        <v>654</v>
      </c>
      <c r="I295" s="861" t="s">
        <v>647</v>
      </c>
      <c r="J295" s="861" t="s">
        <v>641</v>
      </c>
      <c r="K295" s="861" t="s">
        <v>649</v>
      </c>
      <c r="L295" s="861" t="s">
        <v>55</v>
      </c>
      <c r="M295" s="861" t="s">
        <v>646</v>
      </c>
      <c r="N295" s="861" t="s">
        <v>645</v>
      </c>
      <c r="O295" s="861"/>
      <c r="P295" s="861"/>
      <c r="Q295" s="861" t="s">
        <v>656</v>
      </c>
      <c r="R295" s="861" t="s">
        <v>652</v>
      </c>
      <c r="S295" s="861"/>
      <c r="T295" s="861"/>
      <c r="U295" s="861"/>
      <c r="V295" s="861" t="s">
        <v>685</v>
      </c>
      <c r="W295" s="861" t="s">
        <v>666</v>
      </c>
      <c r="X295" s="863">
        <v>42552</v>
      </c>
      <c r="Y295" s="863">
        <v>43579</v>
      </c>
      <c r="Z295" s="864">
        <v>2019</v>
      </c>
      <c r="AA295" s="861"/>
      <c r="AB295" s="861"/>
      <c r="AC295" s="861"/>
      <c r="AD295" s="865"/>
      <c r="AE295" s="865"/>
      <c r="AF295" s="865"/>
      <c r="AG295" s="865"/>
      <c r="AH295" s="865"/>
      <c r="AI295" s="865"/>
      <c r="AJ295" s="865"/>
      <c r="AK295" s="865"/>
      <c r="AL295" s="865"/>
      <c r="AM295" s="865"/>
      <c r="AN295" s="865"/>
      <c r="AO295" s="865"/>
      <c r="AP295" s="865"/>
      <c r="AQ295" s="865"/>
      <c r="AR295" s="865"/>
      <c r="AS295" s="865"/>
      <c r="AT295" s="865"/>
      <c r="AU295" s="865"/>
      <c r="AV295" s="865"/>
      <c r="AW295" s="865">
        <v>200000.00000000035</v>
      </c>
      <c r="AX295" s="865"/>
      <c r="AY295" s="865"/>
      <c r="AZ295" s="865"/>
      <c r="BA295" s="865"/>
      <c r="BB295" s="865"/>
      <c r="BC295" s="865"/>
      <c r="BD295" s="865"/>
      <c r="BE295" s="865"/>
      <c r="BF295" s="865"/>
      <c r="BG295" s="865"/>
      <c r="BH295" s="865">
        <v>849655.24316666846</v>
      </c>
      <c r="BI295" s="865"/>
      <c r="BJ295" s="865"/>
      <c r="BK295" s="865"/>
      <c r="BL295" s="865"/>
      <c r="BM295" s="865"/>
      <c r="BN295" s="865"/>
      <c r="BO295" s="865"/>
      <c r="BP295" s="865"/>
      <c r="BQ295" s="865"/>
      <c r="BR295" s="865"/>
      <c r="BS295" s="865">
        <v>1049655.2431666688</v>
      </c>
      <c r="BT295" s="412">
        <f t="shared" si="11"/>
        <v>200000.00000000035</v>
      </c>
      <c r="BU295" s="413">
        <v>0</v>
      </c>
      <c r="BV295" s="413">
        <v>0</v>
      </c>
      <c r="BW295" s="413">
        <v>0</v>
      </c>
      <c r="BX295" s="413">
        <v>1</v>
      </c>
      <c r="BY295" s="413">
        <v>0</v>
      </c>
      <c r="BZ295" s="413">
        <v>0</v>
      </c>
      <c r="CA295" s="413">
        <v>0</v>
      </c>
      <c r="CB295" s="413">
        <v>0</v>
      </c>
      <c r="CC295" s="413">
        <v>0</v>
      </c>
      <c r="CD295" s="413">
        <v>0</v>
      </c>
      <c r="CE295" s="413">
        <v>0</v>
      </c>
      <c r="CF295" s="413">
        <v>0</v>
      </c>
      <c r="CG295" s="413">
        <v>0</v>
      </c>
      <c r="CH295" s="413">
        <v>0</v>
      </c>
      <c r="CI295" s="413">
        <v>0</v>
      </c>
      <c r="CJ295" s="413">
        <v>0</v>
      </c>
      <c r="CK295" s="413">
        <v>0</v>
      </c>
      <c r="CL295" s="413">
        <v>0</v>
      </c>
      <c r="CM295" s="413">
        <v>0</v>
      </c>
      <c r="CN295" s="413">
        <v>0</v>
      </c>
      <c r="CO295" s="414">
        <f t="shared" si="10"/>
        <v>1</v>
      </c>
    </row>
    <row r="296" spans="1:93" s="415" customFormat="1" ht="25.5" x14ac:dyDescent="0.25">
      <c r="A296" s="881" t="s">
        <v>523</v>
      </c>
      <c r="B296" s="862" t="s">
        <v>2219</v>
      </c>
      <c r="C296" s="861" t="s">
        <v>723</v>
      </c>
      <c r="D296" s="862"/>
      <c r="E296" s="861"/>
      <c r="F296" s="862"/>
      <c r="G296" s="861" t="s">
        <v>722</v>
      </c>
      <c r="H296" s="861" t="s">
        <v>654</v>
      </c>
      <c r="I296" s="861" t="s">
        <v>647</v>
      </c>
      <c r="J296" s="861" t="s">
        <v>641</v>
      </c>
      <c r="K296" s="861" t="s">
        <v>663</v>
      </c>
      <c r="L296" s="861" t="s">
        <v>55</v>
      </c>
      <c r="M296" s="861" t="s">
        <v>646</v>
      </c>
      <c r="N296" s="861" t="s">
        <v>680</v>
      </c>
      <c r="O296" s="861" t="s">
        <v>721</v>
      </c>
      <c r="P296" s="861" t="s">
        <v>720</v>
      </c>
      <c r="Q296" s="861" t="s">
        <v>650</v>
      </c>
      <c r="R296" s="861" t="s">
        <v>652</v>
      </c>
      <c r="S296" s="861" t="s">
        <v>663</v>
      </c>
      <c r="T296" s="861" t="s">
        <v>107</v>
      </c>
      <c r="U296" s="861" t="s">
        <v>689</v>
      </c>
      <c r="V296" s="861" t="s">
        <v>683</v>
      </c>
      <c r="W296" s="861" t="s">
        <v>684</v>
      </c>
      <c r="X296" s="863">
        <v>41821</v>
      </c>
      <c r="Y296" s="863">
        <v>43281</v>
      </c>
      <c r="Z296" s="864">
        <v>2018</v>
      </c>
      <c r="AA296" s="861" t="s">
        <v>663</v>
      </c>
      <c r="AB296" s="861"/>
      <c r="AC296" s="861" t="s">
        <v>663</v>
      </c>
      <c r="AD296" s="865"/>
      <c r="AE296" s="865"/>
      <c r="AF296" s="865"/>
      <c r="AG296" s="865"/>
      <c r="AH296" s="865"/>
      <c r="AI296" s="865"/>
      <c r="AJ296" s="865"/>
      <c r="AK296" s="865"/>
      <c r="AL296" s="865"/>
      <c r="AM296" s="865"/>
      <c r="AN296" s="865"/>
      <c r="AO296" s="865"/>
      <c r="AP296" s="865"/>
      <c r="AQ296" s="865"/>
      <c r="AR296" s="865"/>
      <c r="AS296" s="865"/>
      <c r="AT296" s="865"/>
      <c r="AU296" s="865"/>
      <c r="AV296" s="865"/>
      <c r="AW296" s="865">
        <v>145691.76999999999</v>
      </c>
      <c r="AX296" s="865"/>
      <c r="AY296" s="865"/>
      <c r="AZ296" s="865"/>
      <c r="BA296" s="865"/>
      <c r="BB296" s="865"/>
      <c r="BC296" s="865"/>
      <c r="BD296" s="865"/>
      <c r="BE296" s="865"/>
      <c r="BF296" s="865"/>
      <c r="BG296" s="865"/>
      <c r="BH296" s="865">
        <v>169255.73</v>
      </c>
      <c r="BI296" s="865"/>
      <c r="BJ296" s="865"/>
      <c r="BK296" s="865"/>
      <c r="BL296" s="865"/>
      <c r="BM296" s="865"/>
      <c r="BN296" s="865"/>
      <c r="BO296" s="865"/>
      <c r="BP296" s="865"/>
      <c r="BQ296" s="865"/>
      <c r="BR296" s="865"/>
      <c r="BS296" s="865">
        <v>314947.49999999994</v>
      </c>
      <c r="BT296" s="412">
        <f t="shared" si="11"/>
        <v>145691.76999999999</v>
      </c>
      <c r="BU296" s="413">
        <v>0</v>
      </c>
      <c r="BV296" s="413">
        <v>0</v>
      </c>
      <c r="BW296" s="413">
        <v>0</v>
      </c>
      <c r="BX296" s="413">
        <v>1</v>
      </c>
      <c r="BY296" s="413">
        <v>0</v>
      </c>
      <c r="BZ296" s="413">
        <v>0</v>
      </c>
      <c r="CA296" s="413">
        <v>0</v>
      </c>
      <c r="CB296" s="413">
        <v>0</v>
      </c>
      <c r="CC296" s="413">
        <v>0</v>
      </c>
      <c r="CD296" s="413">
        <v>0</v>
      </c>
      <c r="CE296" s="413">
        <v>0</v>
      </c>
      <c r="CF296" s="413">
        <v>0</v>
      </c>
      <c r="CG296" s="413">
        <v>0</v>
      </c>
      <c r="CH296" s="413">
        <v>0</v>
      </c>
      <c r="CI296" s="413">
        <v>0</v>
      </c>
      <c r="CJ296" s="413">
        <v>0</v>
      </c>
      <c r="CK296" s="413">
        <v>0</v>
      </c>
      <c r="CL296" s="413">
        <v>0</v>
      </c>
      <c r="CM296" s="413">
        <v>0</v>
      </c>
      <c r="CN296" s="413">
        <v>0</v>
      </c>
      <c r="CO296" s="414">
        <f t="shared" si="10"/>
        <v>1</v>
      </c>
    </row>
    <row r="297" spans="1:93" s="415" customFormat="1" ht="25.5" x14ac:dyDescent="0.25">
      <c r="A297" s="881" t="s">
        <v>528</v>
      </c>
      <c r="B297" s="862" t="s">
        <v>2887</v>
      </c>
      <c r="C297" s="861" t="s">
        <v>716</v>
      </c>
      <c r="D297" s="862"/>
      <c r="E297" s="861"/>
      <c r="F297" s="862"/>
      <c r="G297" s="861" t="s">
        <v>648</v>
      </c>
      <c r="H297" s="861" t="s">
        <v>654</v>
      </c>
      <c r="I297" s="861" t="s">
        <v>647</v>
      </c>
      <c r="J297" s="861" t="s">
        <v>671</v>
      </c>
      <c r="K297" s="861"/>
      <c r="L297" s="861" t="s">
        <v>36</v>
      </c>
      <c r="M297" s="861" t="s">
        <v>646</v>
      </c>
      <c r="N297" s="861" t="s">
        <v>645</v>
      </c>
      <c r="O297" s="861"/>
      <c r="P297" s="861"/>
      <c r="Q297" s="861" t="s">
        <v>650</v>
      </c>
      <c r="R297" s="861" t="s">
        <v>652</v>
      </c>
      <c r="S297" s="861" t="s">
        <v>649</v>
      </c>
      <c r="T297" s="861"/>
      <c r="U297" s="861"/>
      <c r="V297" s="861" t="s">
        <v>36</v>
      </c>
      <c r="W297" s="861"/>
      <c r="X297" s="863">
        <v>42552</v>
      </c>
      <c r="Y297" s="863">
        <v>42963</v>
      </c>
      <c r="Z297" s="864">
        <v>2017</v>
      </c>
      <c r="AA297" s="861" t="s">
        <v>663</v>
      </c>
      <c r="AB297" s="861"/>
      <c r="AC297" s="861"/>
      <c r="AD297" s="865"/>
      <c r="AE297" s="865"/>
      <c r="AF297" s="865"/>
      <c r="AG297" s="865"/>
      <c r="AH297" s="865"/>
      <c r="AI297" s="865"/>
      <c r="AJ297" s="865"/>
      <c r="AK297" s="865"/>
      <c r="AL297" s="865"/>
      <c r="AM297" s="865"/>
      <c r="AN297" s="865"/>
      <c r="AO297" s="865"/>
      <c r="AP297" s="865"/>
      <c r="AQ297" s="865"/>
      <c r="AR297" s="865"/>
      <c r="AS297" s="865"/>
      <c r="AT297" s="865"/>
      <c r="AU297" s="865"/>
      <c r="AV297" s="865">
        <v>200000.00000000009</v>
      </c>
      <c r="AW297" s="865"/>
      <c r="AX297" s="865"/>
      <c r="AY297" s="865">
        <v>0</v>
      </c>
      <c r="AZ297" s="865"/>
      <c r="BA297" s="865"/>
      <c r="BB297" s="865"/>
      <c r="BC297" s="865">
        <v>0</v>
      </c>
      <c r="BD297" s="865">
        <v>0</v>
      </c>
      <c r="BE297" s="865"/>
      <c r="BF297" s="865"/>
      <c r="BG297" s="865"/>
      <c r="BH297" s="865">
        <v>36066.06671281805</v>
      </c>
      <c r="BI297" s="865"/>
      <c r="BJ297" s="865"/>
      <c r="BK297" s="865"/>
      <c r="BL297" s="865"/>
      <c r="BM297" s="865"/>
      <c r="BN297" s="865"/>
      <c r="BO297" s="865"/>
      <c r="BP297" s="865"/>
      <c r="BQ297" s="865"/>
      <c r="BR297" s="865"/>
      <c r="BS297" s="865">
        <v>236066.06671281817</v>
      </c>
      <c r="BT297" s="412">
        <f t="shared" si="11"/>
        <v>200000.00000000009</v>
      </c>
      <c r="BU297" s="413">
        <v>1</v>
      </c>
      <c r="BV297" s="413">
        <v>0</v>
      </c>
      <c r="BW297" s="413">
        <v>0</v>
      </c>
      <c r="BX297" s="413">
        <v>0</v>
      </c>
      <c r="BY297" s="413">
        <v>0</v>
      </c>
      <c r="BZ297" s="413">
        <v>0</v>
      </c>
      <c r="CA297" s="413">
        <v>0</v>
      </c>
      <c r="CB297" s="413">
        <v>0</v>
      </c>
      <c r="CC297" s="413">
        <v>0</v>
      </c>
      <c r="CD297" s="413">
        <v>0</v>
      </c>
      <c r="CE297" s="413">
        <v>0</v>
      </c>
      <c r="CF297" s="413">
        <v>0</v>
      </c>
      <c r="CG297" s="413">
        <v>0</v>
      </c>
      <c r="CH297" s="413">
        <v>0</v>
      </c>
      <c r="CI297" s="413">
        <v>0</v>
      </c>
      <c r="CJ297" s="413">
        <v>0</v>
      </c>
      <c r="CK297" s="413">
        <v>0</v>
      </c>
      <c r="CL297" s="413">
        <v>0</v>
      </c>
      <c r="CM297" s="413">
        <v>0</v>
      </c>
      <c r="CN297" s="413">
        <v>0</v>
      </c>
      <c r="CO297" s="414">
        <f t="shared" si="10"/>
        <v>1</v>
      </c>
    </row>
    <row r="298" spans="1:93" s="415" customFormat="1" ht="25.5" x14ac:dyDescent="0.25">
      <c r="A298" s="881" t="s">
        <v>530</v>
      </c>
      <c r="B298" s="862" t="s">
        <v>2213</v>
      </c>
      <c r="C298" s="861" t="s">
        <v>715</v>
      </c>
      <c r="D298" s="862"/>
      <c r="E298" s="861"/>
      <c r="F298" s="862"/>
      <c r="G298" s="861"/>
      <c r="H298" s="861" t="s">
        <v>654</v>
      </c>
      <c r="I298" s="861" t="s">
        <v>647</v>
      </c>
      <c r="J298" s="861" t="s">
        <v>671</v>
      </c>
      <c r="K298" s="861"/>
      <c r="L298" s="861" t="s">
        <v>36</v>
      </c>
      <c r="M298" s="861" t="s">
        <v>646</v>
      </c>
      <c r="N298" s="861" t="s">
        <v>645</v>
      </c>
      <c r="O298" s="861"/>
      <c r="P298" s="861"/>
      <c r="Q298" s="861" t="s">
        <v>650</v>
      </c>
      <c r="R298" s="861" t="s">
        <v>652</v>
      </c>
      <c r="S298" s="861" t="s">
        <v>649</v>
      </c>
      <c r="T298" s="861"/>
      <c r="U298" s="861"/>
      <c r="V298" s="861" t="s">
        <v>36</v>
      </c>
      <c r="W298" s="861"/>
      <c r="X298" s="863">
        <v>42186</v>
      </c>
      <c r="Y298" s="863">
        <v>42598</v>
      </c>
      <c r="Z298" s="864">
        <v>2016</v>
      </c>
      <c r="AA298" s="861" t="s">
        <v>663</v>
      </c>
      <c r="AB298" s="861"/>
      <c r="AC298" s="861"/>
      <c r="AD298" s="865"/>
      <c r="AE298" s="865"/>
      <c r="AF298" s="865"/>
      <c r="AG298" s="865"/>
      <c r="AH298" s="865"/>
      <c r="AI298" s="865"/>
      <c r="AJ298" s="865"/>
      <c r="AK298" s="865"/>
      <c r="AL298" s="865"/>
      <c r="AM298" s="865"/>
      <c r="AN298" s="865"/>
      <c r="AO298" s="865"/>
      <c r="AP298" s="865"/>
      <c r="AQ298" s="865"/>
      <c r="AR298" s="865"/>
      <c r="AS298" s="865"/>
      <c r="AT298" s="865"/>
      <c r="AU298" s="865"/>
      <c r="AV298" s="865">
        <v>119999.99999999991</v>
      </c>
      <c r="AW298" s="865"/>
      <c r="AX298" s="865"/>
      <c r="AY298" s="865">
        <v>0</v>
      </c>
      <c r="AZ298" s="865"/>
      <c r="BA298" s="865"/>
      <c r="BB298" s="865"/>
      <c r="BC298" s="865">
        <v>0</v>
      </c>
      <c r="BD298" s="865">
        <v>0</v>
      </c>
      <c r="BE298" s="865"/>
      <c r="BF298" s="865"/>
      <c r="BG298" s="865"/>
      <c r="BH298" s="865">
        <v>21639.640027690806</v>
      </c>
      <c r="BI298" s="865"/>
      <c r="BJ298" s="865"/>
      <c r="BK298" s="865"/>
      <c r="BL298" s="865"/>
      <c r="BM298" s="865"/>
      <c r="BN298" s="865"/>
      <c r="BO298" s="865"/>
      <c r="BP298" s="865"/>
      <c r="BQ298" s="865"/>
      <c r="BR298" s="865"/>
      <c r="BS298" s="865">
        <v>141639.64002769074</v>
      </c>
      <c r="BT298" s="412">
        <f t="shared" si="11"/>
        <v>119999.99999999991</v>
      </c>
      <c r="BU298" s="413">
        <v>1</v>
      </c>
      <c r="BV298" s="413">
        <v>0</v>
      </c>
      <c r="BW298" s="413">
        <v>0</v>
      </c>
      <c r="BX298" s="413">
        <v>0</v>
      </c>
      <c r="BY298" s="413">
        <v>0</v>
      </c>
      <c r="BZ298" s="413">
        <v>0</v>
      </c>
      <c r="CA298" s="413">
        <v>0</v>
      </c>
      <c r="CB298" s="413">
        <v>0</v>
      </c>
      <c r="CC298" s="413">
        <v>0</v>
      </c>
      <c r="CD298" s="413">
        <v>0</v>
      </c>
      <c r="CE298" s="413">
        <v>0</v>
      </c>
      <c r="CF298" s="413">
        <v>0</v>
      </c>
      <c r="CG298" s="413">
        <v>0</v>
      </c>
      <c r="CH298" s="413">
        <v>0</v>
      </c>
      <c r="CI298" s="413">
        <v>0</v>
      </c>
      <c r="CJ298" s="413">
        <v>0</v>
      </c>
      <c r="CK298" s="413">
        <v>0</v>
      </c>
      <c r="CL298" s="413">
        <v>0</v>
      </c>
      <c r="CM298" s="413">
        <v>0</v>
      </c>
      <c r="CN298" s="413">
        <v>0</v>
      </c>
      <c r="CO298" s="414">
        <f t="shared" si="10"/>
        <v>1</v>
      </c>
    </row>
    <row r="299" spans="1:93" s="415" customFormat="1" ht="25.5" x14ac:dyDescent="0.25">
      <c r="A299" s="881" t="s">
        <v>545</v>
      </c>
      <c r="B299" s="862" t="s">
        <v>2826</v>
      </c>
      <c r="C299" s="861" t="s">
        <v>710</v>
      </c>
      <c r="D299" s="862"/>
      <c r="E299" s="861" t="s">
        <v>655</v>
      </c>
      <c r="F299" s="862"/>
      <c r="G299" s="861"/>
      <c r="H299" s="861" t="s">
        <v>654</v>
      </c>
      <c r="I299" s="861" t="s">
        <v>647</v>
      </c>
      <c r="J299" s="861" t="s">
        <v>641</v>
      </c>
      <c r="K299" s="861" t="s">
        <v>649</v>
      </c>
      <c r="L299" s="861" t="s">
        <v>54</v>
      </c>
      <c r="M299" s="861" t="s">
        <v>646</v>
      </c>
      <c r="N299" s="861" t="s">
        <v>645</v>
      </c>
      <c r="O299" s="861"/>
      <c r="P299" s="861"/>
      <c r="Q299" s="861" t="s">
        <v>650</v>
      </c>
      <c r="R299" s="861" t="s">
        <v>652</v>
      </c>
      <c r="S299" s="861" t="s">
        <v>649</v>
      </c>
      <c r="T299" s="861"/>
      <c r="U299" s="861"/>
      <c r="V299" s="861" t="s">
        <v>641</v>
      </c>
      <c r="W299" s="861" t="s">
        <v>677</v>
      </c>
      <c r="X299" s="863">
        <v>42552</v>
      </c>
      <c r="Y299" s="863">
        <v>43288</v>
      </c>
      <c r="Z299" s="864">
        <v>2018</v>
      </c>
      <c r="AA299" s="861"/>
      <c r="AB299" s="861"/>
      <c r="AC299" s="861"/>
      <c r="AD299" s="865"/>
      <c r="AE299" s="865"/>
      <c r="AF299" s="865"/>
      <c r="AG299" s="865"/>
      <c r="AH299" s="865"/>
      <c r="AI299" s="865"/>
      <c r="AJ299" s="865"/>
      <c r="AK299" s="865"/>
      <c r="AL299" s="865">
        <v>349700.01500794443</v>
      </c>
      <c r="AM299" s="865"/>
      <c r="AN299" s="865"/>
      <c r="AO299" s="865"/>
      <c r="AP299" s="865"/>
      <c r="AQ299" s="865"/>
      <c r="AR299" s="865">
        <v>29999.999999999996</v>
      </c>
      <c r="AS299" s="865"/>
      <c r="AT299" s="865"/>
      <c r="AU299" s="865"/>
      <c r="AV299" s="865"/>
      <c r="AW299" s="865"/>
      <c r="AX299" s="865"/>
      <c r="AY299" s="865"/>
      <c r="AZ299" s="865"/>
      <c r="BA299" s="865"/>
      <c r="BB299" s="865"/>
      <c r="BC299" s="865">
        <v>48705.002251191661</v>
      </c>
      <c r="BD299" s="865"/>
      <c r="BE299" s="865">
        <v>50409.677329983373</v>
      </c>
      <c r="BF299" s="865">
        <v>1165.4904101200789</v>
      </c>
      <c r="BG299" s="865">
        <v>0</v>
      </c>
      <c r="BH299" s="865">
        <v>137787.36563054242</v>
      </c>
      <c r="BI299" s="865"/>
      <c r="BJ299" s="865"/>
      <c r="BK299" s="865"/>
      <c r="BL299" s="865"/>
      <c r="BM299" s="865"/>
      <c r="BN299" s="865"/>
      <c r="BO299" s="865"/>
      <c r="BP299" s="865"/>
      <c r="BQ299" s="865"/>
      <c r="BR299" s="865"/>
      <c r="BS299" s="865">
        <v>617767.55062978191</v>
      </c>
      <c r="BT299" s="412">
        <f t="shared" si="11"/>
        <v>379700.01500794443</v>
      </c>
      <c r="BU299" s="413">
        <v>0</v>
      </c>
      <c r="BV299" s="413">
        <v>0</v>
      </c>
      <c r="BW299" s="413">
        <v>7.9009741412236476E-2</v>
      </c>
      <c r="BX299" s="413">
        <v>0</v>
      </c>
      <c r="BY299" s="413">
        <v>0</v>
      </c>
      <c r="BZ299" s="413">
        <v>0</v>
      </c>
      <c r="CA299" s="413">
        <v>0</v>
      </c>
      <c r="CB299" s="413">
        <v>0</v>
      </c>
      <c r="CC299" s="413">
        <v>0</v>
      </c>
      <c r="CD299" s="413">
        <v>0</v>
      </c>
      <c r="CE299" s="413">
        <v>0</v>
      </c>
      <c r="CF299" s="413">
        <v>0</v>
      </c>
      <c r="CG299" s="413">
        <v>0</v>
      </c>
      <c r="CH299" s="413">
        <v>0</v>
      </c>
      <c r="CI299" s="413">
        <v>0.92099025858776351</v>
      </c>
      <c r="CJ299" s="413">
        <v>0</v>
      </c>
      <c r="CK299" s="413">
        <v>0</v>
      </c>
      <c r="CL299" s="413">
        <v>0</v>
      </c>
      <c r="CM299" s="413">
        <v>0</v>
      </c>
      <c r="CN299" s="413">
        <v>0</v>
      </c>
      <c r="CO299" s="414">
        <f t="shared" si="10"/>
        <v>1</v>
      </c>
    </row>
    <row r="300" spans="1:93" s="415" customFormat="1" ht="25.5" x14ac:dyDescent="0.25">
      <c r="A300" s="881" t="s">
        <v>573</v>
      </c>
      <c r="B300" s="862" t="s">
        <v>2902</v>
      </c>
      <c r="C300" s="861" t="s">
        <v>693</v>
      </c>
      <c r="D300" s="862"/>
      <c r="E300" s="861" t="s">
        <v>692</v>
      </c>
      <c r="F300" s="862"/>
      <c r="G300" s="861"/>
      <c r="H300" s="861" t="s">
        <v>654</v>
      </c>
      <c r="I300" s="861" t="s">
        <v>647</v>
      </c>
      <c r="J300" s="861" t="s">
        <v>671</v>
      </c>
      <c r="K300" s="861" t="s">
        <v>649</v>
      </c>
      <c r="L300" s="861" t="s">
        <v>55</v>
      </c>
      <c r="M300" s="861" t="s">
        <v>646</v>
      </c>
      <c r="N300" s="861" t="s">
        <v>645</v>
      </c>
      <c r="O300" s="861"/>
      <c r="P300" s="861"/>
      <c r="Q300" s="861" t="s">
        <v>650</v>
      </c>
      <c r="R300" s="861" t="s">
        <v>652</v>
      </c>
      <c r="S300" s="861" t="s">
        <v>649</v>
      </c>
      <c r="T300" s="861"/>
      <c r="U300" s="861"/>
      <c r="V300" s="861" t="s">
        <v>683</v>
      </c>
      <c r="W300" s="861"/>
      <c r="X300" s="863">
        <v>42948</v>
      </c>
      <c r="Y300" s="863">
        <v>43280</v>
      </c>
      <c r="Z300" s="864">
        <v>2018</v>
      </c>
      <c r="AA300" s="861"/>
      <c r="AB300" s="861"/>
      <c r="AC300" s="861"/>
      <c r="AD300" s="865"/>
      <c r="AE300" s="865"/>
      <c r="AF300" s="865"/>
      <c r="AG300" s="865"/>
      <c r="AH300" s="865"/>
      <c r="AI300" s="865"/>
      <c r="AJ300" s="865"/>
      <c r="AK300" s="865"/>
      <c r="AL300" s="865"/>
      <c r="AM300" s="865"/>
      <c r="AN300" s="865"/>
      <c r="AO300" s="865"/>
      <c r="AP300" s="865"/>
      <c r="AQ300" s="865"/>
      <c r="AR300" s="865"/>
      <c r="AS300" s="865"/>
      <c r="AT300" s="865"/>
      <c r="AU300" s="865"/>
      <c r="AV300" s="865"/>
      <c r="AW300" s="865">
        <v>67400.000000000015</v>
      </c>
      <c r="AX300" s="865"/>
      <c r="AY300" s="865"/>
      <c r="AZ300" s="865"/>
      <c r="BA300" s="865"/>
      <c r="BB300" s="865"/>
      <c r="BC300" s="865"/>
      <c r="BD300" s="865"/>
      <c r="BE300" s="865"/>
      <c r="BF300" s="865"/>
      <c r="BG300" s="865"/>
      <c r="BH300" s="865">
        <v>269600.00000000035</v>
      </c>
      <c r="BI300" s="865"/>
      <c r="BJ300" s="865"/>
      <c r="BK300" s="865"/>
      <c r="BL300" s="865"/>
      <c r="BM300" s="865"/>
      <c r="BN300" s="865"/>
      <c r="BO300" s="865"/>
      <c r="BP300" s="865"/>
      <c r="BQ300" s="865"/>
      <c r="BR300" s="865"/>
      <c r="BS300" s="865">
        <v>337000.00000000035</v>
      </c>
      <c r="BT300" s="412">
        <f t="shared" si="11"/>
        <v>67400.000000000015</v>
      </c>
      <c r="BU300" s="413">
        <v>0</v>
      </c>
      <c r="BV300" s="413">
        <v>0</v>
      </c>
      <c r="BW300" s="413">
        <v>0</v>
      </c>
      <c r="BX300" s="413">
        <v>1</v>
      </c>
      <c r="BY300" s="413">
        <v>0</v>
      </c>
      <c r="BZ300" s="413">
        <v>0</v>
      </c>
      <c r="CA300" s="413">
        <v>0</v>
      </c>
      <c r="CB300" s="413">
        <v>0</v>
      </c>
      <c r="CC300" s="413">
        <v>0</v>
      </c>
      <c r="CD300" s="413">
        <v>0</v>
      </c>
      <c r="CE300" s="413">
        <v>0</v>
      </c>
      <c r="CF300" s="413">
        <v>0</v>
      </c>
      <c r="CG300" s="413">
        <v>0</v>
      </c>
      <c r="CH300" s="413">
        <v>0</v>
      </c>
      <c r="CI300" s="413">
        <v>0</v>
      </c>
      <c r="CJ300" s="413">
        <v>0</v>
      </c>
      <c r="CK300" s="413">
        <v>0</v>
      </c>
      <c r="CL300" s="413">
        <v>0</v>
      </c>
      <c r="CM300" s="413">
        <v>0</v>
      </c>
      <c r="CN300" s="413">
        <v>0</v>
      </c>
      <c r="CO300" s="414">
        <f t="shared" si="10"/>
        <v>1</v>
      </c>
    </row>
    <row r="301" spans="1:93" s="415" customFormat="1" ht="25.5" x14ac:dyDescent="0.25">
      <c r="A301" s="881" t="s">
        <v>621</v>
      </c>
      <c r="B301" s="862" t="s">
        <v>2234</v>
      </c>
      <c r="C301" s="861" t="s">
        <v>682</v>
      </c>
      <c r="D301" s="862"/>
      <c r="E301" s="861"/>
      <c r="F301" s="862"/>
      <c r="G301" s="861" t="s">
        <v>681</v>
      </c>
      <c r="H301" s="861" t="s">
        <v>654</v>
      </c>
      <c r="I301" s="861" t="s">
        <v>647</v>
      </c>
      <c r="J301" s="861" t="s">
        <v>641</v>
      </c>
      <c r="K301" s="861" t="s">
        <v>663</v>
      </c>
      <c r="L301" s="861" t="s">
        <v>54</v>
      </c>
      <c r="M301" s="861" t="s">
        <v>646</v>
      </c>
      <c r="N301" s="861" t="s">
        <v>680</v>
      </c>
      <c r="O301" s="861" t="s">
        <v>679</v>
      </c>
      <c r="P301" s="861" t="s">
        <v>643</v>
      </c>
      <c r="Q301" s="861" t="s">
        <v>650</v>
      </c>
      <c r="R301" s="861" t="s">
        <v>652</v>
      </c>
      <c r="S301" s="861" t="s">
        <v>663</v>
      </c>
      <c r="T301" s="861"/>
      <c r="U301" s="861" t="s">
        <v>678</v>
      </c>
      <c r="V301" s="861" t="s">
        <v>641</v>
      </c>
      <c r="W301" s="861" t="s">
        <v>677</v>
      </c>
      <c r="X301" s="863">
        <v>42401</v>
      </c>
      <c r="Y301" s="863">
        <v>42734</v>
      </c>
      <c r="Z301" s="864">
        <v>2016</v>
      </c>
      <c r="AA301" s="861" t="s">
        <v>676</v>
      </c>
      <c r="AB301" s="861" t="s">
        <v>675</v>
      </c>
      <c r="AC301" s="861" t="s">
        <v>649</v>
      </c>
      <c r="AD301" s="865"/>
      <c r="AE301" s="865"/>
      <c r="AF301" s="865"/>
      <c r="AG301" s="865"/>
      <c r="AH301" s="865"/>
      <c r="AI301" s="865"/>
      <c r="AJ301" s="865"/>
      <c r="AK301" s="865"/>
      <c r="AL301" s="865">
        <v>151800.00500264816</v>
      </c>
      <c r="AM301" s="865"/>
      <c r="AN301" s="865"/>
      <c r="AO301" s="865">
        <v>10000.000000000002</v>
      </c>
      <c r="AP301" s="865"/>
      <c r="AQ301" s="865"/>
      <c r="AR301" s="865"/>
      <c r="AS301" s="865"/>
      <c r="AT301" s="865"/>
      <c r="AU301" s="865"/>
      <c r="AV301" s="865"/>
      <c r="AW301" s="865"/>
      <c r="AX301" s="865"/>
      <c r="AY301" s="865"/>
      <c r="AZ301" s="865"/>
      <c r="BA301" s="865"/>
      <c r="BB301" s="865"/>
      <c r="BC301" s="865">
        <v>22770.000750397223</v>
      </c>
      <c r="BD301" s="865">
        <v>15180.000500264818</v>
      </c>
      <c r="BE301" s="865">
        <v>25616.250844196882</v>
      </c>
      <c r="BF301" s="865">
        <v>592.25720701814453</v>
      </c>
      <c r="BG301" s="865">
        <v>48540.001500794446</v>
      </c>
      <c r="BH301" s="865">
        <v>104505.97327739999</v>
      </c>
      <c r="BI301" s="865"/>
      <c r="BJ301" s="865"/>
      <c r="BK301" s="865"/>
      <c r="BL301" s="865"/>
      <c r="BM301" s="865"/>
      <c r="BN301" s="865"/>
      <c r="BO301" s="865"/>
      <c r="BP301" s="865"/>
      <c r="BQ301" s="865"/>
      <c r="BR301" s="865"/>
      <c r="BS301" s="865">
        <v>379004.48908271961</v>
      </c>
      <c r="BT301" s="412">
        <f t="shared" si="11"/>
        <v>161800.00500264816</v>
      </c>
      <c r="BU301" s="413">
        <v>0</v>
      </c>
      <c r="BV301" s="413">
        <v>0</v>
      </c>
      <c r="BW301" s="413">
        <v>0</v>
      </c>
      <c r="BX301" s="413">
        <v>0</v>
      </c>
      <c r="BY301" s="413">
        <v>0</v>
      </c>
      <c r="BZ301" s="413">
        <v>0</v>
      </c>
      <c r="CA301" s="413">
        <v>0</v>
      </c>
      <c r="CB301" s="413">
        <v>0</v>
      </c>
      <c r="CC301" s="413">
        <v>0</v>
      </c>
      <c r="CD301" s="413">
        <v>0</v>
      </c>
      <c r="CE301" s="413">
        <v>0</v>
      </c>
      <c r="CF301" s="413">
        <v>0</v>
      </c>
      <c r="CG301" s="413">
        <v>0</v>
      </c>
      <c r="CH301" s="413">
        <v>0</v>
      </c>
      <c r="CI301" s="413">
        <v>0.93819530475393786</v>
      </c>
      <c r="CJ301" s="413">
        <v>6.1804695246062157E-2</v>
      </c>
      <c r="CK301" s="413">
        <v>0</v>
      </c>
      <c r="CL301" s="413">
        <v>0</v>
      </c>
      <c r="CM301" s="413">
        <v>0</v>
      </c>
      <c r="CN301" s="413">
        <v>0</v>
      </c>
      <c r="CO301" s="414">
        <f t="shared" si="10"/>
        <v>1</v>
      </c>
    </row>
    <row r="302" spans="1:93" s="415" customFormat="1" ht="25.5" x14ac:dyDescent="0.25">
      <c r="A302" s="881" t="s">
        <v>623</v>
      </c>
      <c r="B302" s="862" t="s">
        <v>2827</v>
      </c>
      <c r="C302" s="861" t="s">
        <v>674</v>
      </c>
      <c r="D302" s="862"/>
      <c r="E302" s="861"/>
      <c r="F302" s="862"/>
      <c r="G302" s="861"/>
      <c r="H302" s="861" t="s">
        <v>654</v>
      </c>
      <c r="I302" s="861" t="s">
        <v>647</v>
      </c>
      <c r="J302" s="861" t="s">
        <v>641</v>
      </c>
      <c r="K302" s="861" t="s">
        <v>649</v>
      </c>
      <c r="L302" s="861" t="s">
        <v>40</v>
      </c>
      <c r="M302" s="861" t="s">
        <v>646</v>
      </c>
      <c r="N302" s="861" t="s">
        <v>645</v>
      </c>
      <c r="O302" s="861"/>
      <c r="P302" s="861"/>
      <c r="Q302" s="861" t="s">
        <v>656</v>
      </c>
      <c r="R302" s="861" t="s">
        <v>652</v>
      </c>
      <c r="S302" s="861" t="s">
        <v>649</v>
      </c>
      <c r="T302" s="861"/>
      <c r="U302" s="861"/>
      <c r="V302" s="861" t="s">
        <v>641</v>
      </c>
      <c r="W302" s="861" t="s">
        <v>666</v>
      </c>
      <c r="X302" s="863">
        <v>42495</v>
      </c>
      <c r="Y302" s="863">
        <v>43282</v>
      </c>
      <c r="Z302" s="864">
        <v>2018</v>
      </c>
      <c r="AA302" s="861"/>
      <c r="AB302" s="861"/>
      <c r="AC302" s="861"/>
      <c r="AD302" s="865"/>
      <c r="AE302" s="865"/>
      <c r="AF302" s="865"/>
      <c r="AG302" s="865"/>
      <c r="AH302" s="865"/>
      <c r="AI302" s="865"/>
      <c r="AJ302" s="865"/>
      <c r="AK302" s="865"/>
      <c r="AL302" s="865">
        <v>1114310.0010009985</v>
      </c>
      <c r="AM302" s="865"/>
      <c r="AN302" s="865"/>
      <c r="AO302" s="865"/>
      <c r="AP302" s="865"/>
      <c r="AQ302" s="865"/>
      <c r="AR302" s="865"/>
      <c r="AS302" s="865"/>
      <c r="AT302" s="865"/>
      <c r="AU302" s="865"/>
      <c r="AV302" s="865"/>
      <c r="AW302" s="865"/>
      <c r="AX302" s="865"/>
      <c r="AY302" s="865"/>
      <c r="AZ302" s="865"/>
      <c r="BA302" s="865"/>
      <c r="BB302" s="865"/>
      <c r="BC302" s="865">
        <v>167146.5001501498</v>
      </c>
      <c r="BD302" s="865"/>
      <c r="BE302" s="865">
        <v>172996.62765540503</v>
      </c>
      <c r="BF302" s="865">
        <v>3999.746104218023</v>
      </c>
      <c r="BG302" s="865">
        <v>0</v>
      </c>
      <c r="BH302" s="865">
        <v>444197.43813864427</v>
      </c>
      <c r="BI302" s="865"/>
      <c r="BJ302" s="865"/>
      <c r="BK302" s="865"/>
      <c r="BL302" s="865"/>
      <c r="BM302" s="865"/>
      <c r="BN302" s="865"/>
      <c r="BO302" s="865"/>
      <c r="BP302" s="865"/>
      <c r="BQ302" s="865"/>
      <c r="BR302" s="865"/>
      <c r="BS302" s="865">
        <v>1902650.3130494158</v>
      </c>
      <c r="BT302" s="412">
        <f t="shared" si="11"/>
        <v>1114310.0010009985</v>
      </c>
      <c r="BU302" s="413">
        <v>0</v>
      </c>
      <c r="BV302" s="413">
        <v>0</v>
      </c>
      <c r="BW302" s="413">
        <v>0</v>
      </c>
      <c r="BX302" s="413">
        <v>0</v>
      </c>
      <c r="BY302" s="413">
        <v>0</v>
      </c>
      <c r="BZ302" s="413">
        <v>0</v>
      </c>
      <c r="CA302" s="413">
        <v>0</v>
      </c>
      <c r="CB302" s="413">
        <v>0</v>
      </c>
      <c r="CC302" s="413">
        <v>0</v>
      </c>
      <c r="CD302" s="413">
        <v>0</v>
      </c>
      <c r="CE302" s="413">
        <v>0</v>
      </c>
      <c r="CF302" s="413">
        <v>0</v>
      </c>
      <c r="CG302" s="413">
        <v>0</v>
      </c>
      <c r="CH302" s="413">
        <v>0</v>
      </c>
      <c r="CI302" s="413">
        <v>1</v>
      </c>
      <c r="CJ302" s="413">
        <v>0</v>
      </c>
      <c r="CK302" s="413">
        <v>0</v>
      </c>
      <c r="CL302" s="413">
        <v>0</v>
      </c>
      <c r="CM302" s="413">
        <v>0</v>
      </c>
      <c r="CN302" s="413">
        <v>0</v>
      </c>
      <c r="CO302" s="414">
        <f t="shared" si="10"/>
        <v>1</v>
      </c>
    </row>
    <row r="303" spans="1:93" s="415" customFormat="1" ht="25.5" x14ac:dyDescent="0.25">
      <c r="A303" s="881" t="s">
        <v>625</v>
      </c>
      <c r="B303" s="862" t="s">
        <v>2828</v>
      </c>
      <c r="C303" s="861" t="s">
        <v>673</v>
      </c>
      <c r="D303" s="862"/>
      <c r="E303" s="861"/>
      <c r="F303" s="862"/>
      <c r="G303" s="861"/>
      <c r="H303" s="861" t="s">
        <v>654</v>
      </c>
      <c r="I303" s="861" t="s">
        <v>647</v>
      </c>
      <c r="J303" s="861" t="s">
        <v>641</v>
      </c>
      <c r="K303" s="861"/>
      <c r="L303" s="861" t="s">
        <v>40</v>
      </c>
      <c r="M303" s="861" t="s">
        <v>646</v>
      </c>
      <c r="N303" s="861" t="s">
        <v>645</v>
      </c>
      <c r="O303" s="861"/>
      <c r="P303" s="861"/>
      <c r="Q303" s="861" t="s">
        <v>656</v>
      </c>
      <c r="R303" s="861" t="s">
        <v>652</v>
      </c>
      <c r="S303" s="861" t="s">
        <v>649</v>
      </c>
      <c r="T303" s="861"/>
      <c r="U303" s="861"/>
      <c r="V303" s="861" t="s">
        <v>641</v>
      </c>
      <c r="W303" s="861"/>
      <c r="X303" s="863">
        <v>42552</v>
      </c>
      <c r="Y303" s="863">
        <v>43488</v>
      </c>
      <c r="Z303" s="864">
        <v>2019</v>
      </c>
      <c r="AA303" s="861" t="s">
        <v>663</v>
      </c>
      <c r="AB303" s="861"/>
      <c r="AC303" s="861"/>
      <c r="AD303" s="865"/>
      <c r="AE303" s="865"/>
      <c r="AF303" s="865"/>
      <c r="AG303" s="865"/>
      <c r="AH303" s="865"/>
      <c r="AI303" s="865"/>
      <c r="AJ303" s="865"/>
      <c r="AK303" s="865"/>
      <c r="AL303" s="865">
        <v>1489691.0000000012</v>
      </c>
      <c r="AM303" s="865"/>
      <c r="AN303" s="865"/>
      <c r="AO303" s="865"/>
      <c r="AP303" s="865"/>
      <c r="AQ303" s="865"/>
      <c r="AR303" s="865"/>
      <c r="AS303" s="865"/>
      <c r="AT303" s="865"/>
      <c r="AU303" s="865"/>
      <c r="AV303" s="865"/>
      <c r="AW303" s="865"/>
      <c r="AX303" s="865"/>
      <c r="AY303" s="865"/>
      <c r="AZ303" s="865"/>
      <c r="BA303" s="865"/>
      <c r="BB303" s="865"/>
      <c r="BC303" s="865">
        <v>223453.65000000014</v>
      </c>
      <c r="BD303" s="865"/>
      <c r="BE303" s="865">
        <v>231274.52775000018</v>
      </c>
      <c r="BF303" s="865">
        <v>5347.1527388125041</v>
      </c>
      <c r="BG303" s="865">
        <v>0</v>
      </c>
      <c r="BH303" s="865">
        <v>593050.55130135221</v>
      </c>
      <c r="BI303" s="865"/>
      <c r="BJ303" s="865"/>
      <c r="BK303" s="865"/>
      <c r="BL303" s="865"/>
      <c r="BM303" s="865"/>
      <c r="BN303" s="865"/>
      <c r="BO303" s="865"/>
      <c r="BP303" s="865"/>
      <c r="BQ303" s="865"/>
      <c r="BR303" s="865"/>
      <c r="BS303" s="865">
        <v>2542816.8817901663</v>
      </c>
      <c r="BT303" s="412">
        <f t="shared" si="11"/>
        <v>1489691.0000000012</v>
      </c>
      <c r="BU303" s="413">
        <v>0</v>
      </c>
      <c r="BV303" s="413">
        <v>0</v>
      </c>
      <c r="BW303" s="413">
        <v>0</v>
      </c>
      <c r="BX303" s="413">
        <v>0</v>
      </c>
      <c r="BY303" s="413">
        <v>0</v>
      </c>
      <c r="BZ303" s="413">
        <v>0</v>
      </c>
      <c r="CA303" s="413">
        <v>0</v>
      </c>
      <c r="CB303" s="413">
        <v>0</v>
      </c>
      <c r="CC303" s="413">
        <v>0</v>
      </c>
      <c r="CD303" s="413">
        <v>0</v>
      </c>
      <c r="CE303" s="413">
        <v>0</v>
      </c>
      <c r="CF303" s="413">
        <v>0</v>
      </c>
      <c r="CG303" s="413">
        <v>0</v>
      </c>
      <c r="CH303" s="413">
        <v>0</v>
      </c>
      <c r="CI303" s="413">
        <v>1</v>
      </c>
      <c r="CJ303" s="413">
        <v>0</v>
      </c>
      <c r="CK303" s="413">
        <v>0</v>
      </c>
      <c r="CL303" s="413">
        <v>0</v>
      </c>
      <c r="CM303" s="413">
        <v>0</v>
      </c>
      <c r="CN303" s="413">
        <v>0</v>
      </c>
      <c r="CO303" s="414">
        <f t="shared" si="10"/>
        <v>1</v>
      </c>
    </row>
    <row r="304" spans="1:93" s="415" customFormat="1" ht="25.5" x14ac:dyDescent="0.25">
      <c r="A304" s="881" t="s">
        <v>627</v>
      </c>
      <c r="B304" s="862" t="s">
        <v>2260</v>
      </c>
      <c r="C304" s="861" t="s">
        <v>672</v>
      </c>
      <c r="D304" s="862"/>
      <c r="E304" s="861"/>
      <c r="F304" s="862"/>
      <c r="G304" s="861"/>
      <c r="H304" s="861" t="s">
        <v>654</v>
      </c>
      <c r="I304" s="861" t="s">
        <v>647</v>
      </c>
      <c r="J304" s="861" t="s">
        <v>671</v>
      </c>
      <c r="K304" s="861"/>
      <c r="L304" s="861" t="s">
        <v>107</v>
      </c>
      <c r="M304" s="861" t="s">
        <v>646</v>
      </c>
      <c r="N304" s="861" t="s">
        <v>645</v>
      </c>
      <c r="O304" s="861"/>
      <c r="P304" s="861" t="s">
        <v>643</v>
      </c>
      <c r="Q304" s="861" t="s">
        <v>650</v>
      </c>
      <c r="R304" s="861" t="s">
        <v>652</v>
      </c>
      <c r="S304" s="861" t="s">
        <v>649</v>
      </c>
      <c r="T304" s="861"/>
      <c r="U304" s="861"/>
      <c r="V304" s="861" t="s">
        <v>670</v>
      </c>
      <c r="W304" s="861" t="s">
        <v>666</v>
      </c>
      <c r="X304" s="863">
        <v>42186</v>
      </c>
      <c r="Y304" s="863">
        <v>43272</v>
      </c>
      <c r="Z304" s="864">
        <v>2018</v>
      </c>
      <c r="AA304" s="861" t="s">
        <v>663</v>
      </c>
      <c r="AB304" s="861"/>
      <c r="AC304" s="861"/>
      <c r="AD304" s="865"/>
      <c r="AE304" s="865"/>
      <c r="AF304" s="865"/>
      <c r="AG304" s="865"/>
      <c r="AH304" s="865"/>
      <c r="AI304" s="865"/>
      <c r="AJ304" s="865"/>
      <c r="AK304" s="865"/>
      <c r="AL304" s="865"/>
      <c r="AM304" s="865"/>
      <c r="AN304" s="865"/>
      <c r="AO304" s="865"/>
      <c r="AP304" s="865"/>
      <c r="AQ304" s="865"/>
      <c r="AR304" s="865"/>
      <c r="AS304" s="865"/>
      <c r="AT304" s="865"/>
      <c r="AU304" s="865"/>
      <c r="AV304" s="865"/>
      <c r="AW304" s="865"/>
      <c r="AX304" s="865"/>
      <c r="AY304" s="865"/>
      <c r="AZ304" s="865"/>
      <c r="BA304" s="865"/>
      <c r="BB304" s="865"/>
      <c r="BC304" s="865"/>
      <c r="BD304" s="865"/>
      <c r="BE304" s="865"/>
      <c r="BF304" s="865"/>
      <c r="BG304" s="865"/>
      <c r="BH304" s="865">
        <v>395102.1239999996</v>
      </c>
      <c r="BI304" s="865"/>
      <c r="BJ304" s="865"/>
      <c r="BK304" s="865"/>
      <c r="BL304" s="865"/>
      <c r="BM304" s="865"/>
      <c r="BN304" s="865"/>
      <c r="BO304" s="865"/>
      <c r="BP304" s="865"/>
      <c r="BQ304" s="865"/>
      <c r="BR304" s="865"/>
      <c r="BS304" s="865">
        <v>395102.1239999996</v>
      </c>
      <c r="BT304" s="412">
        <f t="shared" si="11"/>
        <v>0</v>
      </c>
      <c r="BU304" s="413">
        <v>0</v>
      </c>
      <c r="BV304" s="413">
        <v>0</v>
      </c>
      <c r="BW304" s="413">
        <v>0</v>
      </c>
      <c r="BX304" s="413">
        <v>0</v>
      </c>
      <c r="BY304" s="413">
        <v>0</v>
      </c>
      <c r="BZ304" s="413">
        <v>0</v>
      </c>
      <c r="CA304" s="413">
        <v>0</v>
      </c>
      <c r="CB304" s="413">
        <v>0</v>
      </c>
      <c r="CC304" s="413">
        <v>0</v>
      </c>
      <c r="CD304" s="413">
        <v>0</v>
      </c>
      <c r="CE304" s="413">
        <v>0</v>
      </c>
      <c r="CF304" s="413">
        <v>0</v>
      </c>
      <c r="CG304" s="413">
        <v>0</v>
      </c>
      <c r="CH304" s="413">
        <v>0</v>
      </c>
      <c r="CI304" s="413">
        <v>0</v>
      </c>
      <c r="CJ304" s="413">
        <v>0</v>
      </c>
      <c r="CK304" s="413">
        <v>0</v>
      </c>
      <c r="CL304" s="413">
        <v>0</v>
      </c>
      <c r="CM304" s="413">
        <v>0</v>
      </c>
      <c r="CN304" s="413">
        <v>0</v>
      </c>
      <c r="CO304" s="414">
        <f t="shared" si="10"/>
        <v>0</v>
      </c>
    </row>
    <row r="305" spans="1:93" s="415" customFormat="1" ht="25.5" x14ac:dyDescent="0.25">
      <c r="A305" s="881" t="s">
        <v>631</v>
      </c>
      <c r="B305" s="862" t="s">
        <v>2829</v>
      </c>
      <c r="C305" s="861" t="s">
        <v>669</v>
      </c>
      <c r="D305" s="862"/>
      <c r="E305" s="861"/>
      <c r="F305" s="862"/>
      <c r="G305" s="861" t="s">
        <v>648</v>
      </c>
      <c r="H305" s="861" t="s">
        <v>654</v>
      </c>
      <c r="I305" s="861" t="s">
        <v>647</v>
      </c>
      <c r="J305" s="861" t="s">
        <v>641</v>
      </c>
      <c r="K305" s="861" t="s">
        <v>649</v>
      </c>
      <c r="L305" s="861" t="s">
        <v>41</v>
      </c>
      <c r="M305" s="861" t="s">
        <v>646</v>
      </c>
      <c r="N305" s="861" t="s">
        <v>668</v>
      </c>
      <c r="O305" s="861"/>
      <c r="P305" s="861"/>
      <c r="Q305" s="861" t="s">
        <v>650</v>
      </c>
      <c r="R305" s="861" t="s">
        <v>652</v>
      </c>
      <c r="S305" s="861" t="s">
        <v>649</v>
      </c>
      <c r="T305" s="861"/>
      <c r="U305" s="861"/>
      <c r="V305" s="861"/>
      <c r="W305" s="861" t="s">
        <v>666</v>
      </c>
      <c r="X305" s="863">
        <v>42461</v>
      </c>
      <c r="Y305" s="863">
        <v>43069</v>
      </c>
      <c r="Z305" s="864">
        <v>2017</v>
      </c>
      <c r="AA305" s="861" t="s">
        <v>663</v>
      </c>
      <c r="AB305" s="861"/>
      <c r="AC305" s="861"/>
      <c r="AD305" s="865"/>
      <c r="AE305" s="865"/>
      <c r="AF305" s="865"/>
      <c r="AG305" s="865">
        <v>1320000.0000000005</v>
      </c>
      <c r="AH305" s="865"/>
      <c r="AI305" s="865"/>
      <c r="AJ305" s="865"/>
      <c r="AK305" s="865"/>
      <c r="AL305" s="865"/>
      <c r="AM305" s="865"/>
      <c r="AN305" s="865"/>
      <c r="AO305" s="865"/>
      <c r="AP305" s="865"/>
      <c r="AQ305" s="865"/>
      <c r="AR305" s="865"/>
      <c r="AS305" s="865"/>
      <c r="AT305" s="865"/>
      <c r="AU305" s="865"/>
      <c r="AV305" s="865"/>
      <c r="AW305" s="865"/>
      <c r="AX305" s="865"/>
      <c r="AY305" s="865"/>
      <c r="AZ305" s="865"/>
      <c r="BA305" s="865"/>
      <c r="BB305" s="865"/>
      <c r="BC305" s="865"/>
      <c r="BD305" s="865"/>
      <c r="BE305" s="865"/>
      <c r="BF305" s="865"/>
      <c r="BG305" s="865"/>
      <c r="BH305" s="865">
        <v>137951.37695185727</v>
      </c>
      <c r="BI305" s="865"/>
      <c r="BJ305" s="865"/>
      <c r="BK305" s="865"/>
      <c r="BL305" s="865"/>
      <c r="BM305" s="865"/>
      <c r="BN305" s="865"/>
      <c r="BO305" s="865"/>
      <c r="BP305" s="865"/>
      <c r="BQ305" s="865"/>
      <c r="BR305" s="865"/>
      <c r="BS305" s="865">
        <v>1457951.3769518575</v>
      </c>
      <c r="BT305" s="412">
        <f t="shared" si="11"/>
        <v>1320000.0000000005</v>
      </c>
      <c r="BU305" s="413">
        <v>0</v>
      </c>
      <c r="BV305" s="413">
        <v>0</v>
      </c>
      <c r="BW305" s="413">
        <v>0</v>
      </c>
      <c r="BX305" s="413">
        <v>0</v>
      </c>
      <c r="BY305" s="413">
        <v>0</v>
      </c>
      <c r="BZ305" s="413">
        <v>0</v>
      </c>
      <c r="CA305" s="413">
        <v>0</v>
      </c>
      <c r="CB305" s="413">
        <v>0</v>
      </c>
      <c r="CC305" s="413">
        <v>0</v>
      </c>
      <c r="CD305" s="413">
        <v>1</v>
      </c>
      <c r="CE305" s="413">
        <v>0</v>
      </c>
      <c r="CF305" s="413">
        <v>0</v>
      </c>
      <c r="CG305" s="413">
        <v>0</v>
      </c>
      <c r="CH305" s="413">
        <v>0</v>
      </c>
      <c r="CI305" s="413">
        <v>0</v>
      </c>
      <c r="CJ305" s="413">
        <v>0</v>
      </c>
      <c r="CK305" s="413">
        <v>0</v>
      </c>
      <c r="CL305" s="413">
        <v>0</v>
      </c>
      <c r="CM305" s="413">
        <v>0</v>
      </c>
      <c r="CN305" s="413">
        <v>0</v>
      </c>
      <c r="CO305" s="414">
        <f t="shared" si="10"/>
        <v>1</v>
      </c>
    </row>
    <row r="306" spans="1:93" s="415" customFormat="1" ht="25.5" x14ac:dyDescent="0.25">
      <c r="A306" s="881" t="s">
        <v>633</v>
      </c>
      <c r="B306" s="862" t="s">
        <v>2618</v>
      </c>
      <c r="C306" s="861" t="s">
        <v>2796</v>
      </c>
      <c r="D306" s="862"/>
      <c r="E306" s="861"/>
      <c r="F306" s="862"/>
      <c r="G306" s="861"/>
      <c r="H306" s="861" t="s">
        <v>654</v>
      </c>
      <c r="I306" s="861" t="s">
        <v>647</v>
      </c>
      <c r="J306" s="861" t="s">
        <v>641</v>
      </c>
      <c r="K306" s="861"/>
      <c r="L306" s="861" t="s">
        <v>41</v>
      </c>
      <c r="M306" s="861" t="s">
        <v>646</v>
      </c>
      <c r="N306" s="861" t="s">
        <v>645</v>
      </c>
      <c r="O306" s="861"/>
      <c r="P306" s="861"/>
      <c r="Q306" s="861" t="s">
        <v>642</v>
      </c>
      <c r="R306" s="861" t="s">
        <v>652</v>
      </c>
      <c r="S306" s="861" t="s">
        <v>649</v>
      </c>
      <c r="T306" s="861"/>
      <c r="U306" s="861"/>
      <c r="V306" s="861" t="s">
        <v>641</v>
      </c>
      <c r="W306" s="861" t="s">
        <v>666</v>
      </c>
      <c r="X306" s="863">
        <v>42552</v>
      </c>
      <c r="Y306" s="863">
        <v>43748</v>
      </c>
      <c r="Z306" s="864">
        <v>2019</v>
      </c>
      <c r="AA306" s="861" t="s">
        <v>663</v>
      </c>
      <c r="AB306" s="861"/>
      <c r="AC306" s="861"/>
      <c r="AD306" s="865"/>
      <c r="AE306" s="865"/>
      <c r="AF306" s="865"/>
      <c r="AG306" s="865">
        <v>2838527.8379999995</v>
      </c>
      <c r="AH306" s="865"/>
      <c r="AI306" s="865">
        <v>22868.996039999998</v>
      </c>
      <c r="AJ306" s="865"/>
      <c r="AK306" s="865"/>
      <c r="AL306" s="865">
        <v>2400000</v>
      </c>
      <c r="AM306" s="865"/>
      <c r="AN306" s="865"/>
      <c r="AO306" s="865"/>
      <c r="AP306" s="865"/>
      <c r="AQ306" s="865"/>
      <c r="AR306" s="865"/>
      <c r="AS306" s="865"/>
      <c r="AT306" s="865"/>
      <c r="AU306" s="865"/>
      <c r="AV306" s="865"/>
      <c r="AW306" s="865"/>
      <c r="AX306" s="865"/>
      <c r="AY306" s="865"/>
      <c r="AZ306" s="865"/>
      <c r="BA306" s="865"/>
      <c r="BB306" s="865"/>
      <c r="BC306" s="865">
        <v>342415.77510599978</v>
      </c>
      <c r="BD306" s="865">
        <v>228277.18340399989</v>
      </c>
      <c r="BE306" s="865">
        <v>385217.74699424987</v>
      </c>
      <c r="BF306" s="865">
        <v>10497.595733746684</v>
      </c>
      <c r="BG306" s="865">
        <v>0</v>
      </c>
      <c r="BH306" s="865">
        <v>1064428.1010905164</v>
      </c>
      <c r="BI306" s="865"/>
      <c r="BJ306" s="865"/>
      <c r="BK306" s="865"/>
      <c r="BL306" s="865"/>
      <c r="BM306" s="865"/>
      <c r="BN306" s="865"/>
      <c r="BO306" s="865"/>
      <c r="BP306" s="865">
        <v>6539999.9999999991</v>
      </c>
      <c r="BQ306" s="865"/>
      <c r="BR306" s="865"/>
      <c r="BS306" s="865">
        <v>13832233.236368513</v>
      </c>
      <c r="BT306" s="412">
        <f t="shared" si="11"/>
        <v>5261396.8340399992</v>
      </c>
      <c r="BU306" s="413">
        <v>0</v>
      </c>
      <c r="BV306" s="413">
        <v>0</v>
      </c>
      <c r="BW306" s="413">
        <v>0</v>
      </c>
      <c r="BX306" s="413">
        <v>0</v>
      </c>
      <c r="BY306" s="413">
        <v>0</v>
      </c>
      <c r="BZ306" s="413">
        <v>0</v>
      </c>
      <c r="CA306" s="413">
        <v>0</v>
      </c>
      <c r="CB306" s="413">
        <v>0</v>
      </c>
      <c r="CC306" s="413">
        <v>0</v>
      </c>
      <c r="CD306" s="413">
        <v>0.53950080701675884</v>
      </c>
      <c r="CE306" s="413">
        <v>0</v>
      </c>
      <c r="CF306" s="413">
        <v>4.3465636144460681E-3</v>
      </c>
      <c r="CG306" s="413">
        <v>0</v>
      </c>
      <c r="CH306" s="413">
        <v>0</v>
      </c>
      <c r="CI306" s="413">
        <v>0.45615262936879514</v>
      </c>
      <c r="CJ306" s="413">
        <v>0</v>
      </c>
      <c r="CK306" s="413">
        <v>0</v>
      </c>
      <c r="CL306" s="413">
        <v>0</v>
      </c>
      <c r="CM306" s="413">
        <v>0</v>
      </c>
      <c r="CN306" s="413">
        <v>0</v>
      </c>
      <c r="CO306" s="414">
        <f t="shared" si="10"/>
        <v>1</v>
      </c>
    </row>
    <row r="307" spans="1:93" s="415" customFormat="1" ht="25.5" x14ac:dyDescent="0.25">
      <c r="A307" s="881" t="s">
        <v>635</v>
      </c>
      <c r="B307" s="862" t="s">
        <v>2619</v>
      </c>
      <c r="C307" s="861" t="s">
        <v>667</v>
      </c>
      <c r="D307" s="862"/>
      <c r="E307" s="861"/>
      <c r="F307" s="862"/>
      <c r="G307" s="861"/>
      <c r="H307" s="861" t="s">
        <v>654</v>
      </c>
      <c r="I307" s="861" t="s">
        <v>647</v>
      </c>
      <c r="J307" s="861" t="s">
        <v>641</v>
      </c>
      <c r="K307" s="861"/>
      <c r="L307" s="861" t="s">
        <v>54</v>
      </c>
      <c r="M307" s="861" t="s">
        <v>646</v>
      </c>
      <c r="N307" s="861" t="s">
        <v>645</v>
      </c>
      <c r="O307" s="861"/>
      <c r="P307" s="861" t="s">
        <v>643</v>
      </c>
      <c r="Q307" s="861" t="s">
        <v>650</v>
      </c>
      <c r="R307" s="861" t="s">
        <v>652</v>
      </c>
      <c r="S307" s="861" t="s">
        <v>649</v>
      </c>
      <c r="T307" s="861"/>
      <c r="U307" s="861"/>
      <c r="V307" s="861" t="s">
        <v>641</v>
      </c>
      <c r="W307" s="861" t="s">
        <v>666</v>
      </c>
      <c r="X307" s="863">
        <v>42552</v>
      </c>
      <c r="Y307" s="863">
        <v>42836</v>
      </c>
      <c r="Z307" s="864">
        <v>2017</v>
      </c>
      <c r="AA307" s="861"/>
      <c r="AB307" s="861"/>
      <c r="AC307" s="861"/>
      <c r="AD307" s="865"/>
      <c r="AE307" s="865"/>
      <c r="AF307" s="865"/>
      <c r="AG307" s="865">
        <v>706728</v>
      </c>
      <c r="AH307" s="865"/>
      <c r="AI307" s="865"/>
      <c r="AJ307" s="865"/>
      <c r="AK307" s="865"/>
      <c r="AL307" s="865">
        <v>33359.200000000012</v>
      </c>
      <c r="AM307" s="865"/>
      <c r="AN307" s="865"/>
      <c r="AO307" s="865">
        <v>140000.00000000003</v>
      </c>
      <c r="AP307" s="865"/>
      <c r="AQ307" s="865"/>
      <c r="AR307" s="865"/>
      <c r="AS307" s="865"/>
      <c r="AT307" s="865"/>
      <c r="AU307" s="865"/>
      <c r="AV307" s="865"/>
      <c r="AW307" s="865"/>
      <c r="AX307" s="865"/>
      <c r="AY307" s="865"/>
      <c r="AZ307" s="865"/>
      <c r="BA307" s="865"/>
      <c r="BB307" s="865"/>
      <c r="BC307" s="865">
        <v>315896.7</v>
      </c>
      <c r="BD307" s="865">
        <v>101097.80000000005</v>
      </c>
      <c r="BE307" s="865">
        <v>170602.53750000006</v>
      </c>
      <c r="BF307" s="865">
        <v>4036.1316531250013</v>
      </c>
      <c r="BG307" s="865">
        <v>0</v>
      </c>
      <c r="BH307" s="865">
        <v>262756.25400880963</v>
      </c>
      <c r="BI307" s="865"/>
      <c r="BJ307" s="865"/>
      <c r="BK307" s="865"/>
      <c r="BL307" s="865"/>
      <c r="BM307" s="865"/>
      <c r="BN307" s="865"/>
      <c r="BO307" s="865"/>
      <c r="BP307" s="865"/>
      <c r="BQ307" s="865"/>
      <c r="BR307" s="865"/>
      <c r="BS307" s="865">
        <v>1734476.6231619348</v>
      </c>
      <c r="BT307" s="412">
        <f t="shared" si="11"/>
        <v>880087.2</v>
      </c>
      <c r="BU307" s="413">
        <v>0</v>
      </c>
      <c r="BV307" s="413">
        <v>0</v>
      </c>
      <c r="BW307" s="413">
        <v>0</v>
      </c>
      <c r="BX307" s="413">
        <v>0</v>
      </c>
      <c r="BY307" s="413">
        <v>0</v>
      </c>
      <c r="BZ307" s="413">
        <v>0</v>
      </c>
      <c r="CA307" s="413">
        <v>0</v>
      </c>
      <c r="CB307" s="413">
        <v>0</v>
      </c>
      <c r="CC307" s="413">
        <v>0</v>
      </c>
      <c r="CD307" s="413">
        <v>0.80302042797577333</v>
      </c>
      <c r="CE307" s="413">
        <v>0</v>
      </c>
      <c r="CF307" s="413">
        <v>0</v>
      </c>
      <c r="CG307" s="413">
        <v>0</v>
      </c>
      <c r="CH307" s="413">
        <v>0</v>
      </c>
      <c r="CI307" s="413">
        <v>3.7904425834167359E-2</v>
      </c>
      <c r="CJ307" s="413">
        <v>0.15907514619005939</v>
      </c>
      <c r="CK307" s="413">
        <v>0</v>
      </c>
      <c r="CL307" s="413">
        <v>0</v>
      </c>
      <c r="CM307" s="413">
        <v>0</v>
      </c>
      <c r="CN307" s="413">
        <v>0</v>
      </c>
      <c r="CO307" s="414">
        <f t="shared" si="10"/>
        <v>1</v>
      </c>
    </row>
    <row r="308" spans="1:93" s="415" customFormat="1" ht="25.5" x14ac:dyDescent="0.25">
      <c r="A308" s="881" t="s">
        <v>2416</v>
      </c>
      <c r="B308" s="862" t="s">
        <v>2582</v>
      </c>
      <c r="C308" s="861" t="s">
        <v>2797</v>
      </c>
      <c r="D308" s="862"/>
      <c r="E308" s="861"/>
      <c r="F308" s="862"/>
      <c r="G308" s="861" t="s">
        <v>686</v>
      </c>
      <c r="H308" s="861" t="s">
        <v>654</v>
      </c>
      <c r="I308" s="861" t="s">
        <v>647</v>
      </c>
      <c r="J308" s="861" t="s">
        <v>641</v>
      </c>
      <c r="K308" s="861"/>
      <c r="L308" s="861" t="s">
        <v>41</v>
      </c>
      <c r="M308" s="861" t="s">
        <v>646</v>
      </c>
      <c r="N308" s="861" t="s">
        <v>668</v>
      </c>
      <c r="O308" s="861"/>
      <c r="P308" s="861"/>
      <c r="Q308" s="861" t="s">
        <v>650</v>
      </c>
      <c r="R308" s="861" t="s">
        <v>652</v>
      </c>
      <c r="S308" s="861"/>
      <c r="T308" s="861"/>
      <c r="U308" s="861"/>
      <c r="V308" s="861" t="s">
        <v>641</v>
      </c>
      <c r="W308" s="861"/>
      <c r="X308" s="863">
        <v>42828</v>
      </c>
      <c r="Y308" s="863">
        <v>43281</v>
      </c>
      <c r="Z308" s="864">
        <v>2018</v>
      </c>
      <c r="AA308" s="861" t="s">
        <v>663</v>
      </c>
      <c r="AB308" s="861"/>
      <c r="AC308" s="861"/>
      <c r="AD308" s="865"/>
      <c r="AE308" s="865"/>
      <c r="AF308" s="865"/>
      <c r="AG308" s="865">
        <v>313189.1999999999</v>
      </c>
      <c r="AH308" s="865"/>
      <c r="AI308" s="865">
        <v>21236.998919999995</v>
      </c>
      <c r="AJ308" s="865"/>
      <c r="AK308" s="865"/>
      <c r="AL308" s="865"/>
      <c r="AM308" s="865"/>
      <c r="AN308" s="865"/>
      <c r="AO308" s="865"/>
      <c r="AP308" s="865"/>
      <c r="AQ308" s="865"/>
      <c r="AR308" s="865"/>
      <c r="AS308" s="865"/>
      <c r="AT308" s="865"/>
      <c r="AU308" s="865"/>
      <c r="AV308" s="865"/>
      <c r="AW308" s="865"/>
      <c r="AX308" s="865"/>
      <c r="AY308" s="865"/>
      <c r="AZ308" s="865"/>
      <c r="BA308" s="865"/>
      <c r="BB308" s="865"/>
      <c r="BC308" s="865">
        <v>25196.029837999988</v>
      </c>
      <c r="BD308" s="865">
        <v>15264.019891999995</v>
      </c>
      <c r="BE308" s="865">
        <v>25758.033567749986</v>
      </c>
      <c r="BF308" s="865">
        <v>1101.7717760988123</v>
      </c>
      <c r="BG308" s="865">
        <v>0</v>
      </c>
      <c r="BH308" s="865">
        <v>88935.032299916755</v>
      </c>
      <c r="BI308" s="865"/>
      <c r="BJ308" s="865"/>
      <c r="BK308" s="865"/>
      <c r="BL308" s="865"/>
      <c r="BM308" s="865"/>
      <c r="BN308" s="865"/>
      <c r="BO308" s="865"/>
      <c r="BP308" s="865"/>
      <c r="BQ308" s="865"/>
      <c r="BR308" s="865"/>
      <c r="BS308" s="865">
        <v>490681.0862937654</v>
      </c>
      <c r="BT308" s="412">
        <f t="shared" si="11"/>
        <v>334426.19891999988</v>
      </c>
      <c r="BU308" s="413">
        <v>0</v>
      </c>
      <c r="BV308" s="413">
        <v>0</v>
      </c>
      <c r="BW308" s="413">
        <v>0</v>
      </c>
      <c r="BX308" s="413">
        <v>0</v>
      </c>
      <c r="BY308" s="413">
        <v>0</v>
      </c>
      <c r="BZ308" s="413">
        <v>0</v>
      </c>
      <c r="CA308" s="413">
        <v>0</v>
      </c>
      <c r="CB308" s="413">
        <v>0</v>
      </c>
      <c r="CC308" s="413">
        <v>0</v>
      </c>
      <c r="CD308" s="413">
        <v>0.93649720330350006</v>
      </c>
      <c r="CE308" s="413">
        <v>0</v>
      </c>
      <c r="CF308" s="413">
        <v>6.3502796696499927E-2</v>
      </c>
      <c r="CG308" s="413">
        <v>0</v>
      </c>
      <c r="CH308" s="413">
        <v>0</v>
      </c>
      <c r="CI308" s="413">
        <v>0</v>
      </c>
      <c r="CJ308" s="413">
        <v>0</v>
      </c>
      <c r="CK308" s="413">
        <v>0</v>
      </c>
      <c r="CL308" s="413">
        <v>0</v>
      </c>
      <c r="CM308" s="413">
        <v>0</v>
      </c>
      <c r="CN308" s="413">
        <v>0</v>
      </c>
      <c r="CO308" s="414">
        <f t="shared" si="10"/>
        <v>1</v>
      </c>
    </row>
    <row r="309" spans="1:93" s="415" customFormat="1" ht="25.5" x14ac:dyDescent="0.25">
      <c r="A309" s="881" t="s">
        <v>2421</v>
      </c>
      <c r="B309" s="862" t="s">
        <v>2620</v>
      </c>
      <c r="C309" s="861" t="s">
        <v>2451</v>
      </c>
      <c r="D309" s="862"/>
      <c r="E309" s="861"/>
      <c r="F309" s="862"/>
      <c r="G309" s="861"/>
      <c r="H309" s="861" t="s">
        <v>654</v>
      </c>
      <c r="I309" s="861" t="s">
        <v>647</v>
      </c>
      <c r="J309" s="861" t="s">
        <v>671</v>
      </c>
      <c r="K309" s="861" t="s">
        <v>663</v>
      </c>
      <c r="L309" s="861" t="s">
        <v>60</v>
      </c>
      <c r="M309" s="861" t="s">
        <v>646</v>
      </c>
      <c r="N309" s="861" t="s">
        <v>668</v>
      </c>
      <c r="O309" s="861"/>
      <c r="P309" s="861"/>
      <c r="Q309" s="861" t="s">
        <v>656</v>
      </c>
      <c r="R309" s="861" t="s">
        <v>652</v>
      </c>
      <c r="S309" s="861" t="s">
        <v>649</v>
      </c>
      <c r="T309" s="861"/>
      <c r="U309" s="861"/>
      <c r="V309" s="861" t="s">
        <v>641</v>
      </c>
      <c r="W309" s="861" t="s">
        <v>666</v>
      </c>
      <c r="X309" s="863">
        <v>42552</v>
      </c>
      <c r="Y309" s="863">
        <v>43281</v>
      </c>
      <c r="Z309" s="864">
        <v>2018</v>
      </c>
      <c r="AA309" s="861" t="s">
        <v>663</v>
      </c>
      <c r="AB309" s="861"/>
      <c r="AC309" s="861"/>
      <c r="AD309" s="865"/>
      <c r="AE309" s="865"/>
      <c r="AF309" s="865"/>
      <c r="AG309" s="865"/>
      <c r="AH309" s="865"/>
      <c r="AI309" s="865"/>
      <c r="AJ309" s="865"/>
      <c r="AK309" s="865"/>
      <c r="AL309" s="865"/>
      <c r="AM309" s="865"/>
      <c r="AN309" s="865"/>
      <c r="AO309" s="865"/>
      <c r="AP309" s="865"/>
      <c r="AQ309" s="865"/>
      <c r="AR309" s="865"/>
      <c r="AS309" s="865"/>
      <c r="AT309" s="865"/>
      <c r="AU309" s="865"/>
      <c r="AV309" s="865"/>
      <c r="AW309" s="865"/>
      <c r="AX309" s="865"/>
      <c r="AY309" s="865">
        <v>3398556.7399999956</v>
      </c>
      <c r="AZ309" s="865"/>
      <c r="BA309" s="865"/>
      <c r="BB309" s="865">
        <v>0</v>
      </c>
      <c r="BC309" s="865"/>
      <c r="BD309" s="865"/>
      <c r="BE309" s="865"/>
      <c r="BF309" s="865"/>
      <c r="BG309" s="865"/>
      <c r="BH309" s="865">
        <v>285829.47285565705</v>
      </c>
      <c r="BI309" s="865"/>
      <c r="BJ309" s="865"/>
      <c r="BK309" s="865"/>
      <c r="BL309" s="865"/>
      <c r="BM309" s="865"/>
      <c r="BN309" s="865"/>
      <c r="BO309" s="865">
        <v>509999.9999999993</v>
      </c>
      <c r="BP309" s="865"/>
      <c r="BQ309" s="865"/>
      <c r="BR309" s="865"/>
      <c r="BS309" s="865">
        <v>4194386.212855651</v>
      </c>
      <c r="BT309" s="412">
        <f t="shared" si="11"/>
        <v>3398556.7399999956</v>
      </c>
      <c r="BU309" s="413">
        <v>0</v>
      </c>
      <c r="BV309" s="413">
        <v>0</v>
      </c>
      <c r="BW309" s="413">
        <v>0</v>
      </c>
      <c r="BX309" s="413">
        <v>0</v>
      </c>
      <c r="BY309" s="413">
        <v>0</v>
      </c>
      <c r="BZ309" s="413">
        <v>0</v>
      </c>
      <c r="CA309" s="413">
        <v>0</v>
      </c>
      <c r="CB309" s="413">
        <v>1</v>
      </c>
      <c r="CC309" s="413">
        <v>0</v>
      </c>
      <c r="CD309" s="413">
        <v>0</v>
      </c>
      <c r="CE309" s="413">
        <v>0</v>
      </c>
      <c r="CF309" s="413">
        <v>0</v>
      </c>
      <c r="CG309" s="413">
        <v>0</v>
      </c>
      <c r="CH309" s="413">
        <v>0</v>
      </c>
      <c r="CI309" s="413">
        <v>0</v>
      </c>
      <c r="CJ309" s="413">
        <v>0</v>
      </c>
      <c r="CK309" s="413">
        <v>0</v>
      </c>
      <c r="CL309" s="413">
        <v>0</v>
      </c>
      <c r="CM309" s="413">
        <v>0</v>
      </c>
      <c r="CN309" s="413">
        <v>0</v>
      </c>
      <c r="CO309" s="414">
        <f t="shared" si="10"/>
        <v>1</v>
      </c>
    </row>
    <row r="310" spans="1:93" s="415" customFormat="1" ht="25.5" x14ac:dyDescent="0.25">
      <c r="A310" s="881" t="s">
        <v>2423</v>
      </c>
      <c r="B310" s="862" t="s">
        <v>2584</v>
      </c>
      <c r="C310" s="861" t="s">
        <v>2452</v>
      </c>
      <c r="D310" s="862"/>
      <c r="E310" s="861"/>
      <c r="F310" s="862"/>
      <c r="G310" s="861"/>
      <c r="H310" s="861" t="s">
        <v>654</v>
      </c>
      <c r="I310" s="861" t="s">
        <v>647</v>
      </c>
      <c r="J310" s="861" t="s">
        <v>671</v>
      </c>
      <c r="K310" s="861" t="s">
        <v>663</v>
      </c>
      <c r="L310" s="861" t="s">
        <v>107</v>
      </c>
      <c r="M310" s="861" t="s">
        <v>646</v>
      </c>
      <c r="N310" s="861" t="s">
        <v>645</v>
      </c>
      <c r="O310" s="861"/>
      <c r="P310" s="861"/>
      <c r="Q310" s="861" t="s">
        <v>650</v>
      </c>
      <c r="R310" s="861" t="s">
        <v>652</v>
      </c>
      <c r="S310" s="861" t="s">
        <v>663</v>
      </c>
      <c r="T310" s="861"/>
      <c r="U310" s="861"/>
      <c r="V310" s="861" t="s">
        <v>670</v>
      </c>
      <c r="W310" s="861"/>
      <c r="X310" s="863">
        <v>42705</v>
      </c>
      <c r="Y310" s="863">
        <v>43280</v>
      </c>
      <c r="Z310" s="864">
        <v>2018</v>
      </c>
      <c r="AA310" s="861"/>
      <c r="AB310" s="861"/>
      <c r="AC310" s="861"/>
      <c r="AD310" s="865"/>
      <c r="AE310" s="865"/>
      <c r="AF310" s="865"/>
      <c r="AG310" s="865"/>
      <c r="AH310" s="865"/>
      <c r="AI310" s="865"/>
      <c r="AJ310" s="865"/>
      <c r="AK310" s="865"/>
      <c r="AL310" s="865"/>
      <c r="AM310" s="865"/>
      <c r="AN310" s="865"/>
      <c r="AO310" s="865"/>
      <c r="AP310" s="865"/>
      <c r="AQ310" s="865"/>
      <c r="AR310" s="865"/>
      <c r="AS310" s="865"/>
      <c r="AT310" s="865"/>
      <c r="AU310" s="865"/>
      <c r="AV310" s="865"/>
      <c r="AW310" s="865"/>
      <c r="AX310" s="865"/>
      <c r="AY310" s="865"/>
      <c r="AZ310" s="865"/>
      <c r="BA310" s="865"/>
      <c r="BB310" s="865"/>
      <c r="BC310" s="865"/>
      <c r="BD310" s="865"/>
      <c r="BE310" s="865"/>
      <c r="BF310" s="865"/>
      <c r="BG310" s="865"/>
      <c r="BH310" s="865">
        <v>639027.19737318845</v>
      </c>
      <c r="BI310" s="865"/>
      <c r="BJ310" s="865"/>
      <c r="BK310" s="865"/>
      <c r="BL310" s="865"/>
      <c r="BM310" s="865"/>
      <c r="BN310" s="865"/>
      <c r="BO310" s="865"/>
      <c r="BP310" s="865"/>
      <c r="BQ310" s="865"/>
      <c r="BR310" s="865"/>
      <c r="BS310" s="865">
        <v>639027.19737318845</v>
      </c>
      <c r="BT310" s="412">
        <f t="shared" si="11"/>
        <v>0</v>
      </c>
      <c r="BU310" s="413">
        <v>1</v>
      </c>
      <c r="BV310" s="413">
        <v>0</v>
      </c>
      <c r="BW310" s="413">
        <v>0</v>
      </c>
      <c r="BX310" s="413">
        <v>0</v>
      </c>
      <c r="BY310" s="413">
        <v>0</v>
      </c>
      <c r="BZ310" s="413">
        <v>0</v>
      </c>
      <c r="CA310" s="413">
        <v>0</v>
      </c>
      <c r="CB310" s="413">
        <v>0</v>
      </c>
      <c r="CC310" s="413">
        <v>0</v>
      </c>
      <c r="CD310" s="413">
        <v>0</v>
      </c>
      <c r="CE310" s="413">
        <v>0</v>
      </c>
      <c r="CF310" s="413">
        <v>0</v>
      </c>
      <c r="CG310" s="413">
        <v>0</v>
      </c>
      <c r="CH310" s="413">
        <v>0</v>
      </c>
      <c r="CI310" s="413">
        <v>0</v>
      </c>
      <c r="CJ310" s="413">
        <v>0</v>
      </c>
      <c r="CK310" s="413">
        <v>0</v>
      </c>
      <c r="CL310" s="413">
        <v>0</v>
      </c>
      <c r="CM310" s="413">
        <v>0</v>
      </c>
      <c r="CN310" s="413">
        <v>0</v>
      </c>
      <c r="CO310" s="414">
        <f t="shared" si="10"/>
        <v>1</v>
      </c>
    </row>
    <row r="311" spans="1:93" s="415" customFormat="1" ht="25.5" x14ac:dyDescent="0.25">
      <c r="A311" s="881" t="s">
        <v>2437</v>
      </c>
      <c r="B311" s="862" t="s">
        <v>2589</v>
      </c>
      <c r="C311" s="861" t="s">
        <v>2798</v>
      </c>
      <c r="D311" s="862"/>
      <c r="E311" s="861"/>
      <c r="F311" s="862"/>
      <c r="G311" s="861"/>
      <c r="H311" s="861" t="s">
        <v>654</v>
      </c>
      <c r="I311" s="861" t="s">
        <v>647</v>
      </c>
      <c r="J311" s="861" t="s">
        <v>641</v>
      </c>
      <c r="K311" s="861"/>
      <c r="L311" s="861" t="s">
        <v>60</v>
      </c>
      <c r="M311" s="861" t="s">
        <v>646</v>
      </c>
      <c r="N311" s="861" t="s">
        <v>668</v>
      </c>
      <c r="O311" s="861"/>
      <c r="P311" s="861"/>
      <c r="Q311" s="861" t="s">
        <v>642</v>
      </c>
      <c r="R311" s="861" t="s">
        <v>652</v>
      </c>
      <c r="S311" s="861"/>
      <c r="T311" s="861"/>
      <c r="U311" s="861"/>
      <c r="V311" s="861"/>
      <c r="W311" s="861"/>
      <c r="X311" s="863">
        <v>42738</v>
      </c>
      <c r="Y311" s="863">
        <v>43280</v>
      </c>
      <c r="Z311" s="864"/>
      <c r="AA311" s="861"/>
      <c r="AB311" s="861"/>
      <c r="AC311" s="861"/>
      <c r="AD311" s="865"/>
      <c r="AE311" s="865"/>
      <c r="AF311" s="865"/>
      <c r="AG311" s="865"/>
      <c r="AH311" s="865"/>
      <c r="AI311" s="865"/>
      <c r="AJ311" s="865"/>
      <c r="AK311" s="865"/>
      <c r="AL311" s="865"/>
      <c r="AM311" s="865"/>
      <c r="AN311" s="865"/>
      <c r="AO311" s="865"/>
      <c r="AP311" s="865"/>
      <c r="AQ311" s="865"/>
      <c r="AR311" s="865"/>
      <c r="AS311" s="865"/>
      <c r="AT311" s="865"/>
      <c r="AU311" s="865"/>
      <c r="AV311" s="865"/>
      <c r="AW311" s="865"/>
      <c r="AX311" s="865"/>
      <c r="AY311" s="865"/>
      <c r="AZ311" s="865"/>
      <c r="BA311" s="865"/>
      <c r="BB311" s="865"/>
      <c r="BC311" s="865"/>
      <c r="BD311" s="865"/>
      <c r="BE311" s="865"/>
      <c r="BF311" s="865"/>
      <c r="BG311" s="865"/>
      <c r="BH311" s="865">
        <v>567696.55161787535</v>
      </c>
      <c r="BI311" s="865"/>
      <c r="BJ311" s="865"/>
      <c r="BK311" s="865"/>
      <c r="BL311" s="865"/>
      <c r="BM311" s="865"/>
      <c r="BN311" s="865"/>
      <c r="BO311" s="865"/>
      <c r="BP311" s="865"/>
      <c r="BQ311" s="865">
        <v>6750000.0000000019</v>
      </c>
      <c r="BR311" s="865"/>
      <c r="BS311" s="865">
        <v>7317696.5516178776</v>
      </c>
      <c r="BT311" s="412">
        <f t="shared" si="11"/>
        <v>0</v>
      </c>
      <c r="BU311" s="413">
        <v>0</v>
      </c>
      <c r="BV311" s="413">
        <v>0</v>
      </c>
      <c r="BW311" s="413">
        <v>0</v>
      </c>
      <c r="BX311" s="413">
        <v>0</v>
      </c>
      <c r="BY311" s="413">
        <v>0</v>
      </c>
      <c r="BZ311" s="413">
        <v>0</v>
      </c>
      <c r="CA311" s="413">
        <v>0</v>
      </c>
      <c r="CB311" s="413">
        <v>0</v>
      </c>
      <c r="CC311" s="413">
        <v>0</v>
      </c>
      <c r="CD311" s="413">
        <v>0</v>
      </c>
      <c r="CE311" s="413">
        <v>0</v>
      </c>
      <c r="CF311" s="413">
        <v>0</v>
      </c>
      <c r="CG311" s="413">
        <v>0</v>
      </c>
      <c r="CH311" s="413">
        <v>0</v>
      </c>
      <c r="CI311" s="413">
        <v>0</v>
      </c>
      <c r="CJ311" s="413">
        <v>0</v>
      </c>
      <c r="CK311" s="413">
        <v>0</v>
      </c>
      <c r="CL311" s="413">
        <v>0</v>
      </c>
      <c r="CM311" s="413">
        <v>0</v>
      </c>
      <c r="CN311" s="413">
        <v>0</v>
      </c>
      <c r="CO311" s="414">
        <f t="shared" si="10"/>
        <v>0</v>
      </c>
    </row>
    <row r="312" spans="1:93" s="415" customFormat="1" ht="25.5" x14ac:dyDescent="0.25">
      <c r="A312" s="881" t="s">
        <v>2604</v>
      </c>
      <c r="B312" s="862" t="e">
        <v>#N/A</v>
      </c>
      <c r="C312" s="861" t="s">
        <v>2799</v>
      </c>
      <c r="D312" s="862"/>
      <c r="E312" s="861"/>
      <c r="F312" s="862"/>
      <c r="G312" s="861"/>
      <c r="H312" s="861" t="s">
        <v>654</v>
      </c>
      <c r="I312" s="861" t="s">
        <v>647</v>
      </c>
      <c r="J312" s="861" t="s">
        <v>641</v>
      </c>
      <c r="K312" s="861"/>
      <c r="L312" s="861" t="s">
        <v>28</v>
      </c>
      <c r="M312" s="861" t="s">
        <v>646</v>
      </c>
      <c r="N312" s="861" t="s">
        <v>645</v>
      </c>
      <c r="O312" s="861"/>
      <c r="P312" s="861"/>
      <c r="Q312" s="861" t="s">
        <v>656</v>
      </c>
      <c r="R312" s="861" t="s">
        <v>652</v>
      </c>
      <c r="S312" s="861"/>
      <c r="T312" s="861"/>
      <c r="U312" s="861"/>
      <c r="V312" s="861" t="s">
        <v>685</v>
      </c>
      <c r="W312" s="861" t="s">
        <v>666</v>
      </c>
      <c r="X312" s="863">
        <v>42737</v>
      </c>
      <c r="Y312" s="863">
        <v>43371</v>
      </c>
      <c r="Z312" s="864">
        <v>2019</v>
      </c>
      <c r="AA312" s="861"/>
      <c r="AB312" s="861"/>
      <c r="AC312" s="861"/>
      <c r="AD312" s="865"/>
      <c r="AE312" s="865"/>
      <c r="AF312" s="865"/>
      <c r="AG312" s="865"/>
      <c r="AH312" s="865"/>
      <c r="AI312" s="865"/>
      <c r="AJ312" s="865"/>
      <c r="AK312" s="865"/>
      <c r="AL312" s="865"/>
      <c r="AM312" s="865"/>
      <c r="AN312" s="865"/>
      <c r="AO312" s="865"/>
      <c r="AP312" s="865"/>
      <c r="AQ312" s="865"/>
      <c r="AR312" s="682">
        <v>2100.0000000000005</v>
      </c>
      <c r="AS312" s="682">
        <v>3952601.0815000013</v>
      </c>
      <c r="AT312" s="865"/>
      <c r="AU312" s="865"/>
      <c r="AV312" s="865"/>
      <c r="AW312" s="865"/>
      <c r="AX312" s="865"/>
      <c r="AY312" s="865"/>
      <c r="AZ312" s="865"/>
      <c r="BA312" s="865"/>
      <c r="BB312" s="865"/>
      <c r="BC312" s="865"/>
      <c r="BD312" s="865"/>
      <c r="BE312" s="865"/>
      <c r="BF312" s="865"/>
      <c r="BG312" s="865">
        <v>0</v>
      </c>
      <c r="BH312" s="865">
        <v>634644.97731554101</v>
      </c>
      <c r="BI312" s="865"/>
      <c r="BJ312" s="865"/>
      <c r="BK312" s="865"/>
      <c r="BL312" s="865"/>
      <c r="BM312" s="865"/>
      <c r="BN312" s="865"/>
      <c r="BO312" s="865"/>
      <c r="BP312" s="865"/>
      <c r="BQ312" s="865"/>
      <c r="BR312" s="865"/>
      <c r="BS312" s="865">
        <v>4589346.0588155417</v>
      </c>
      <c r="BT312" s="412">
        <f t="shared" si="11"/>
        <v>3954701.0815000013</v>
      </c>
      <c r="BU312" s="413">
        <v>0</v>
      </c>
      <c r="BV312" s="413">
        <v>0.99946898641471948</v>
      </c>
      <c r="BW312" s="413">
        <v>5.3101358528050353E-4</v>
      </c>
      <c r="BX312" s="413">
        <v>0</v>
      </c>
      <c r="BY312" s="413">
        <v>0</v>
      </c>
      <c r="BZ312" s="413">
        <v>0</v>
      </c>
      <c r="CA312" s="413">
        <v>0</v>
      </c>
      <c r="CB312" s="413">
        <v>0</v>
      </c>
      <c r="CC312" s="413">
        <v>0</v>
      </c>
      <c r="CD312" s="413">
        <v>0</v>
      </c>
      <c r="CE312" s="413">
        <v>0</v>
      </c>
      <c r="CF312" s="413">
        <v>0</v>
      </c>
      <c r="CG312" s="413">
        <v>0</v>
      </c>
      <c r="CH312" s="413">
        <v>0</v>
      </c>
      <c r="CI312" s="413">
        <v>0</v>
      </c>
      <c r="CJ312" s="413">
        <v>0</v>
      </c>
      <c r="CK312" s="413">
        <v>0</v>
      </c>
      <c r="CL312" s="413">
        <v>0</v>
      </c>
      <c r="CM312" s="413">
        <v>0</v>
      </c>
      <c r="CN312" s="413">
        <v>0</v>
      </c>
      <c r="CO312" s="414">
        <f t="shared" si="10"/>
        <v>1</v>
      </c>
    </row>
    <row r="313" spans="1:93" s="415" customFormat="1" ht="25.5" x14ac:dyDescent="0.25">
      <c r="A313" s="881" t="s">
        <v>2606</v>
      </c>
      <c r="B313" s="862" t="e">
        <v>#N/A</v>
      </c>
      <c r="C313" s="861" t="s">
        <v>2800</v>
      </c>
      <c r="D313" s="862"/>
      <c r="E313" s="861"/>
      <c r="F313" s="862"/>
      <c r="G313" s="861" t="s">
        <v>686</v>
      </c>
      <c r="H313" s="861" t="s">
        <v>654</v>
      </c>
      <c r="I313" s="861" t="s">
        <v>647</v>
      </c>
      <c r="J313" s="861" t="s">
        <v>641</v>
      </c>
      <c r="K313" s="861"/>
      <c r="L313" s="861" t="s">
        <v>28</v>
      </c>
      <c r="M313" s="861" t="s">
        <v>646</v>
      </c>
      <c r="N313" s="861" t="s">
        <v>645</v>
      </c>
      <c r="O313" s="861"/>
      <c r="P313" s="861"/>
      <c r="Q313" s="861" t="s">
        <v>642</v>
      </c>
      <c r="R313" s="861" t="s">
        <v>652</v>
      </c>
      <c r="S313" s="861"/>
      <c r="T313" s="861"/>
      <c r="U313" s="861"/>
      <c r="V313" s="861" t="s">
        <v>685</v>
      </c>
      <c r="W313" s="861"/>
      <c r="X313" s="863">
        <v>42737</v>
      </c>
      <c r="Y313" s="863">
        <v>43371</v>
      </c>
      <c r="Z313" s="864">
        <v>2019</v>
      </c>
      <c r="AA313" s="861"/>
      <c r="AB313" s="861"/>
      <c r="AC313" s="861"/>
      <c r="AD313" s="865"/>
      <c r="AE313" s="865"/>
      <c r="AF313" s="865"/>
      <c r="AG313" s="865"/>
      <c r="AH313" s="865"/>
      <c r="AI313" s="865"/>
      <c r="AJ313" s="865"/>
      <c r="AK313" s="865"/>
      <c r="AL313" s="865"/>
      <c r="AM313" s="865"/>
      <c r="AN313" s="865"/>
      <c r="AO313" s="865"/>
      <c r="AP313" s="865"/>
      <c r="AQ313" s="865"/>
      <c r="AR313" s="865">
        <v>2100.0000000000005</v>
      </c>
      <c r="AS313" s="865">
        <v>5304298.7020000014</v>
      </c>
      <c r="AT313" s="865"/>
      <c r="AU313" s="865"/>
      <c r="AV313" s="865"/>
      <c r="AW313" s="865"/>
      <c r="AX313" s="865"/>
      <c r="AY313" s="865"/>
      <c r="AZ313" s="865"/>
      <c r="BA313" s="865"/>
      <c r="BB313" s="865"/>
      <c r="BC313" s="865"/>
      <c r="BD313" s="865"/>
      <c r="BE313" s="865"/>
      <c r="BF313" s="865"/>
      <c r="BG313" s="865">
        <v>0</v>
      </c>
      <c r="BH313" s="865">
        <v>875972.75313451444</v>
      </c>
      <c r="BI313" s="865"/>
      <c r="BJ313" s="865"/>
      <c r="BK313" s="865"/>
      <c r="BL313" s="865"/>
      <c r="BM313" s="865"/>
      <c r="BN313" s="865"/>
      <c r="BO313" s="865"/>
      <c r="BP313" s="865"/>
      <c r="BQ313" s="865"/>
      <c r="BR313" s="865"/>
      <c r="BS313" s="865">
        <v>6182371.4551345157</v>
      </c>
      <c r="BT313" s="412">
        <f t="shared" si="11"/>
        <v>5306398.7020000014</v>
      </c>
      <c r="BU313" s="413">
        <v>0</v>
      </c>
      <c r="BV313" s="413">
        <v>0.99960425137311892</v>
      </c>
      <c r="BW313" s="413">
        <v>3.9574862688107143E-4</v>
      </c>
      <c r="BX313" s="413">
        <v>0</v>
      </c>
      <c r="BY313" s="413">
        <v>0</v>
      </c>
      <c r="BZ313" s="413">
        <v>0</v>
      </c>
      <c r="CA313" s="413">
        <v>0</v>
      </c>
      <c r="CB313" s="413">
        <v>0</v>
      </c>
      <c r="CC313" s="413">
        <v>0</v>
      </c>
      <c r="CD313" s="413">
        <v>0</v>
      </c>
      <c r="CE313" s="413">
        <v>0</v>
      </c>
      <c r="CF313" s="413">
        <v>0</v>
      </c>
      <c r="CG313" s="413">
        <v>0</v>
      </c>
      <c r="CH313" s="413">
        <v>0</v>
      </c>
      <c r="CI313" s="413">
        <v>0</v>
      </c>
      <c r="CJ313" s="413">
        <v>0</v>
      </c>
      <c r="CK313" s="413">
        <v>0</v>
      </c>
      <c r="CL313" s="413">
        <v>0</v>
      </c>
      <c r="CM313" s="413">
        <v>0</v>
      </c>
      <c r="CN313" s="413">
        <v>0</v>
      </c>
      <c r="CO313" s="414">
        <f t="shared" si="10"/>
        <v>1</v>
      </c>
    </row>
    <row r="314" spans="1:93" s="415" customFormat="1" ht="25.5" x14ac:dyDescent="0.25">
      <c r="A314" s="881" t="s">
        <v>2612</v>
      </c>
      <c r="B314" s="862" t="e">
        <v>#N/A</v>
      </c>
      <c r="C314" s="861" t="s">
        <v>2801</v>
      </c>
      <c r="D314" s="862"/>
      <c r="E314" s="861"/>
      <c r="F314" s="862"/>
      <c r="G314" s="861"/>
      <c r="H314" s="861" t="s">
        <v>654</v>
      </c>
      <c r="I314" s="861" t="s">
        <v>647</v>
      </c>
      <c r="J314" s="861" t="s">
        <v>641</v>
      </c>
      <c r="K314" s="861" t="s">
        <v>649</v>
      </c>
      <c r="L314" s="861" t="s">
        <v>41</v>
      </c>
      <c r="M314" s="861" t="s">
        <v>646</v>
      </c>
      <c r="N314" s="861" t="s">
        <v>668</v>
      </c>
      <c r="O314" s="861"/>
      <c r="P314" s="861"/>
      <c r="Q314" s="861" t="s">
        <v>656</v>
      </c>
      <c r="R314" s="861" t="s">
        <v>652</v>
      </c>
      <c r="S314" s="861" t="s">
        <v>649</v>
      </c>
      <c r="T314" s="861"/>
      <c r="U314" s="861"/>
      <c r="V314" s="861" t="s">
        <v>641</v>
      </c>
      <c r="W314" s="861" t="s">
        <v>690</v>
      </c>
      <c r="X314" s="863">
        <v>42767</v>
      </c>
      <c r="Y314" s="863">
        <v>43280</v>
      </c>
      <c r="Z314" s="864"/>
      <c r="AA314" s="861" t="s">
        <v>663</v>
      </c>
      <c r="AB314" s="861"/>
      <c r="AC314" s="861"/>
      <c r="AD314" s="865"/>
      <c r="AE314" s="865"/>
      <c r="AF314" s="865"/>
      <c r="AG314" s="865"/>
      <c r="AH314" s="865"/>
      <c r="AI314" s="865">
        <v>1850929.1815088</v>
      </c>
      <c r="AJ314" s="865"/>
      <c r="AK314" s="865"/>
      <c r="AL314" s="865"/>
      <c r="AM314" s="865"/>
      <c r="AN314" s="865"/>
      <c r="AO314" s="865"/>
      <c r="AP314" s="865"/>
      <c r="AQ314" s="865"/>
      <c r="AR314" s="865"/>
      <c r="AS314" s="865">
        <v>9999.9999999999964</v>
      </c>
      <c r="AT314" s="865"/>
      <c r="AU314" s="865"/>
      <c r="AV314" s="865"/>
      <c r="AW314" s="865"/>
      <c r="AX314" s="865"/>
      <c r="AY314" s="865"/>
      <c r="AZ314" s="865"/>
      <c r="BA314" s="865"/>
      <c r="BB314" s="865"/>
      <c r="BC314" s="865">
        <v>220639.37722144491</v>
      </c>
      <c r="BD314" s="865">
        <v>147092.91814762997</v>
      </c>
      <c r="BE314" s="865">
        <v>248219.29937412561</v>
      </c>
      <c r="BF314" s="865">
        <v>5738.9221346036265</v>
      </c>
      <c r="BG314" s="865">
        <v>145482.92315166997</v>
      </c>
      <c r="BH314" s="865">
        <v>434955.916188034</v>
      </c>
      <c r="BI314" s="865"/>
      <c r="BJ314" s="865"/>
      <c r="BK314" s="865"/>
      <c r="BL314" s="865"/>
      <c r="BM314" s="865"/>
      <c r="BN314" s="865"/>
      <c r="BO314" s="865"/>
      <c r="BP314" s="865"/>
      <c r="BQ314" s="865"/>
      <c r="BR314" s="865"/>
      <c r="BS314" s="865">
        <v>3063058.5377263078</v>
      </c>
      <c r="BT314" s="412">
        <f t="shared" si="11"/>
        <v>1860929.1815088</v>
      </c>
      <c r="BU314" s="413">
        <v>0</v>
      </c>
      <c r="BV314" s="413">
        <v>5.373659620884777E-3</v>
      </c>
      <c r="BW314" s="413">
        <v>0</v>
      </c>
      <c r="BX314" s="413">
        <v>0</v>
      </c>
      <c r="BY314" s="413">
        <v>0</v>
      </c>
      <c r="BZ314" s="413">
        <v>0</v>
      </c>
      <c r="CA314" s="413">
        <v>0</v>
      </c>
      <c r="CB314" s="413">
        <v>0</v>
      </c>
      <c r="CC314" s="413">
        <v>0</v>
      </c>
      <c r="CD314" s="413">
        <v>0</v>
      </c>
      <c r="CE314" s="413">
        <v>0</v>
      </c>
      <c r="CF314" s="413">
        <v>0.99462634037911524</v>
      </c>
      <c r="CG314" s="413">
        <v>0</v>
      </c>
      <c r="CH314" s="413">
        <v>0</v>
      </c>
      <c r="CI314" s="413">
        <v>0</v>
      </c>
      <c r="CJ314" s="413">
        <v>0</v>
      </c>
      <c r="CK314" s="413">
        <v>0</v>
      </c>
      <c r="CL314" s="413">
        <v>0</v>
      </c>
      <c r="CM314" s="413">
        <v>0</v>
      </c>
      <c r="CN314" s="413">
        <v>0</v>
      </c>
      <c r="CO314" s="414">
        <f t="shared" si="10"/>
        <v>1</v>
      </c>
    </row>
    <row r="315" spans="1:93" s="415" customFormat="1" ht="25.5" x14ac:dyDescent="0.25">
      <c r="A315" s="881" t="s">
        <v>2614</v>
      </c>
      <c r="B315" s="862" t="e">
        <v>#N/A</v>
      </c>
      <c r="C315" s="861" t="s">
        <v>2802</v>
      </c>
      <c r="D315" s="862"/>
      <c r="E315" s="861"/>
      <c r="F315" s="862"/>
      <c r="G315" s="861"/>
      <c r="H315" s="861" t="s">
        <v>654</v>
      </c>
      <c r="I315" s="861" t="s">
        <v>647</v>
      </c>
      <c r="J315" s="861" t="s">
        <v>641</v>
      </c>
      <c r="K315" s="861"/>
      <c r="L315" s="861" t="s">
        <v>54</v>
      </c>
      <c r="M315" s="861" t="s">
        <v>646</v>
      </c>
      <c r="N315" s="861" t="s">
        <v>668</v>
      </c>
      <c r="O315" s="861"/>
      <c r="P315" s="861"/>
      <c r="Q315" s="861" t="s">
        <v>656</v>
      </c>
      <c r="R315" s="861" t="s">
        <v>652</v>
      </c>
      <c r="S315" s="861"/>
      <c r="T315" s="861"/>
      <c r="U315" s="861"/>
      <c r="V315" s="861" t="s">
        <v>641</v>
      </c>
      <c r="W315" s="861" t="s">
        <v>640</v>
      </c>
      <c r="X315" s="863">
        <v>42767</v>
      </c>
      <c r="Y315" s="863">
        <v>43280</v>
      </c>
      <c r="Z315" s="864">
        <v>2018</v>
      </c>
      <c r="AA315" s="861" t="s">
        <v>663</v>
      </c>
      <c r="AB315" s="861"/>
      <c r="AC315" s="861"/>
      <c r="AD315" s="865"/>
      <c r="AE315" s="865"/>
      <c r="AF315" s="865"/>
      <c r="AG315" s="865">
        <v>1929999.9999999998</v>
      </c>
      <c r="AH315" s="865"/>
      <c r="AI315" s="865"/>
      <c r="AJ315" s="865"/>
      <c r="AK315" s="865"/>
      <c r="AL315" s="865"/>
      <c r="AM315" s="865"/>
      <c r="AN315" s="865">
        <v>116241.47999999995</v>
      </c>
      <c r="AO315" s="865"/>
      <c r="AP315" s="865"/>
      <c r="AQ315" s="865"/>
      <c r="AR315" s="865"/>
      <c r="AS315" s="865"/>
      <c r="AT315" s="865"/>
      <c r="AU315" s="865"/>
      <c r="AV315" s="865"/>
      <c r="AW315" s="865"/>
      <c r="AX315" s="865"/>
      <c r="AY315" s="865"/>
      <c r="AZ315" s="865"/>
      <c r="BA315" s="865"/>
      <c r="BB315" s="865"/>
      <c r="BC315" s="865"/>
      <c r="BD315" s="865"/>
      <c r="BE315" s="865"/>
      <c r="BF315" s="865"/>
      <c r="BG315" s="865">
        <v>0</v>
      </c>
      <c r="BH315" s="865">
        <v>406604.29443544621</v>
      </c>
      <c r="BI315" s="865"/>
      <c r="BJ315" s="865"/>
      <c r="BK315" s="865"/>
      <c r="BL315" s="865"/>
      <c r="BM315" s="865"/>
      <c r="BN315" s="865"/>
      <c r="BO315" s="865"/>
      <c r="BP315" s="865"/>
      <c r="BQ315" s="865">
        <v>209999.99999999994</v>
      </c>
      <c r="BR315" s="865"/>
      <c r="BS315" s="865">
        <v>2662845.7744354461</v>
      </c>
      <c r="BT315" s="412">
        <f t="shared" si="11"/>
        <v>2046241.4799999997</v>
      </c>
      <c r="BU315" s="413">
        <v>0</v>
      </c>
      <c r="BV315" s="413">
        <v>0</v>
      </c>
      <c r="BW315" s="413">
        <v>0</v>
      </c>
      <c r="BX315" s="413">
        <v>0</v>
      </c>
      <c r="BY315" s="413">
        <v>0</v>
      </c>
      <c r="BZ315" s="413">
        <v>0</v>
      </c>
      <c r="CA315" s="413">
        <v>0</v>
      </c>
      <c r="CB315" s="413">
        <v>0</v>
      </c>
      <c r="CC315" s="413">
        <v>0</v>
      </c>
      <c r="CD315" s="413">
        <v>0.94319268711139603</v>
      </c>
      <c r="CE315" s="413">
        <v>0</v>
      </c>
      <c r="CF315" s="413">
        <v>0</v>
      </c>
      <c r="CG315" s="413">
        <v>0</v>
      </c>
      <c r="CH315" s="413">
        <v>0</v>
      </c>
      <c r="CI315" s="413">
        <v>0</v>
      </c>
      <c r="CJ315" s="413">
        <v>0</v>
      </c>
      <c r="CK315" s="413">
        <v>5.6807312888603925E-2</v>
      </c>
      <c r="CL315" s="413">
        <v>0</v>
      </c>
      <c r="CM315" s="413">
        <v>0</v>
      </c>
      <c r="CN315" s="413">
        <v>0</v>
      </c>
      <c r="CO315" s="414">
        <f t="shared" si="10"/>
        <v>1</v>
      </c>
    </row>
    <row r="316" spans="1:93" s="415" customFormat="1" ht="25.5" x14ac:dyDescent="0.25">
      <c r="A316" s="881" t="s">
        <v>2616</v>
      </c>
      <c r="B316" s="862" t="e">
        <v>#N/A</v>
      </c>
      <c r="C316" s="861" t="s">
        <v>2715</v>
      </c>
      <c r="D316" s="862"/>
      <c r="E316" s="861"/>
      <c r="F316" s="862"/>
      <c r="G316" s="861" t="s">
        <v>705</v>
      </c>
      <c r="H316" s="861" t="s">
        <v>654</v>
      </c>
      <c r="I316" s="861" t="s">
        <v>647</v>
      </c>
      <c r="J316" s="861" t="s">
        <v>641</v>
      </c>
      <c r="K316" s="861" t="s">
        <v>649</v>
      </c>
      <c r="L316" s="861" t="s">
        <v>54</v>
      </c>
      <c r="M316" s="861" t="s">
        <v>646</v>
      </c>
      <c r="N316" s="861" t="s">
        <v>668</v>
      </c>
      <c r="O316" s="861"/>
      <c r="P316" s="861" t="s">
        <v>643</v>
      </c>
      <c r="Q316" s="861" t="s">
        <v>656</v>
      </c>
      <c r="R316" s="861" t="s">
        <v>652</v>
      </c>
      <c r="S316" s="861"/>
      <c r="T316" s="861"/>
      <c r="U316" s="861"/>
      <c r="V316" s="861" t="s">
        <v>641</v>
      </c>
      <c r="W316" s="861" t="s">
        <v>640</v>
      </c>
      <c r="X316" s="863">
        <v>42767</v>
      </c>
      <c r="Y316" s="863">
        <v>43280</v>
      </c>
      <c r="Z316" s="864">
        <v>2018</v>
      </c>
      <c r="AA316" s="861" t="s">
        <v>663</v>
      </c>
      <c r="AB316" s="861"/>
      <c r="AC316" s="861"/>
      <c r="AD316" s="865"/>
      <c r="AE316" s="865"/>
      <c r="AF316" s="865"/>
      <c r="AG316" s="865">
        <v>413028.82589201501</v>
      </c>
      <c r="AH316" s="865"/>
      <c r="AI316" s="865">
        <v>109792.99987565499</v>
      </c>
      <c r="AJ316" s="865"/>
      <c r="AK316" s="865"/>
      <c r="AL316" s="865">
        <v>322100.00197230076</v>
      </c>
      <c r="AM316" s="865"/>
      <c r="AN316" s="865"/>
      <c r="AO316" s="865">
        <v>29999.999999999996</v>
      </c>
      <c r="AP316" s="865"/>
      <c r="AQ316" s="865"/>
      <c r="AR316" s="865"/>
      <c r="AS316" s="865"/>
      <c r="AT316" s="865"/>
      <c r="AU316" s="865"/>
      <c r="AV316" s="865"/>
      <c r="AW316" s="865"/>
      <c r="AX316" s="865"/>
      <c r="AY316" s="865"/>
      <c r="AZ316" s="865"/>
      <c r="BA316" s="865"/>
      <c r="BB316" s="865"/>
      <c r="BC316" s="865">
        <v>93602.348705995581</v>
      </c>
      <c r="BD316" s="865">
        <v>62401.565803997059</v>
      </c>
      <c r="BE316" s="865">
        <v>105302.64229424503</v>
      </c>
      <c r="BF316" s="865">
        <v>3042.1280574965726</v>
      </c>
      <c r="BG316" s="865"/>
      <c r="BH316" s="865">
        <v>198045.61429110059</v>
      </c>
      <c r="BI316" s="865"/>
      <c r="BJ316" s="865"/>
      <c r="BK316" s="865"/>
      <c r="BL316" s="865"/>
      <c r="BM316" s="865"/>
      <c r="BN316" s="865"/>
      <c r="BO316" s="865"/>
      <c r="BP316" s="865"/>
      <c r="BQ316" s="865"/>
      <c r="BR316" s="865"/>
      <c r="BS316" s="865">
        <v>1337316.1268928053</v>
      </c>
      <c r="BT316" s="412">
        <f t="shared" si="11"/>
        <v>874921.82773997076</v>
      </c>
      <c r="BU316" s="413">
        <v>0</v>
      </c>
      <c r="BV316" s="413">
        <v>0</v>
      </c>
      <c r="BW316" s="413">
        <v>0</v>
      </c>
      <c r="BX316" s="413">
        <v>0</v>
      </c>
      <c r="BY316" s="413">
        <v>0</v>
      </c>
      <c r="BZ316" s="413">
        <v>0</v>
      </c>
      <c r="CA316" s="413">
        <v>0</v>
      </c>
      <c r="CB316" s="413">
        <v>0</v>
      </c>
      <c r="CC316" s="413">
        <v>0</v>
      </c>
      <c r="CD316" s="413">
        <v>0.47207511893824683</v>
      </c>
      <c r="CE316" s="413">
        <v>0</v>
      </c>
      <c r="CF316" s="413">
        <v>0.12548892528977545</v>
      </c>
      <c r="CG316" s="413">
        <v>0</v>
      </c>
      <c r="CH316" s="413">
        <v>0</v>
      </c>
      <c r="CI316" s="413">
        <v>0.36814717813627323</v>
      </c>
      <c r="CJ316" s="413">
        <v>3.4288777635704482E-2</v>
      </c>
      <c r="CK316" s="413">
        <v>0</v>
      </c>
      <c r="CL316" s="413">
        <v>0</v>
      </c>
      <c r="CM316" s="413">
        <v>0</v>
      </c>
      <c r="CN316" s="413">
        <v>0</v>
      </c>
      <c r="CO316" s="414">
        <f t="shared" si="10"/>
        <v>1</v>
      </c>
    </row>
    <row r="317" spans="1:93" s="415" customFormat="1" ht="25.5" x14ac:dyDescent="0.25">
      <c r="A317" s="881" t="s">
        <v>2633</v>
      </c>
      <c r="B317" s="862" t="e">
        <v>#N/A</v>
      </c>
      <c r="C317" s="861" t="s">
        <v>2659</v>
      </c>
      <c r="D317" s="862"/>
      <c r="E317" s="861"/>
      <c r="F317" s="862"/>
      <c r="G317" s="861"/>
      <c r="H317" s="861" t="s">
        <v>654</v>
      </c>
      <c r="I317" s="861" t="s">
        <v>647</v>
      </c>
      <c r="J317" s="861" t="s">
        <v>641</v>
      </c>
      <c r="K317" s="861" t="s">
        <v>649</v>
      </c>
      <c r="L317" s="861" t="s">
        <v>54</v>
      </c>
      <c r="M317" s="861" t="s">
        <v>646</v>
      </c>
      <c r="N317" s="861" t="s">
        <v>668</v>
      </c>
      <c r="O317" s="861"/>
      <c r="P317" s="861" t="s">
        <v>643</v>
      </c>
      <c r="Q317" s="861" t="s">
        <v>656</v>
      </c>
      <c r="R317" s="861" t="s">
        <v>652</v>
      </c>
      <c r="S317" s="861"/>
      <c r="T317" s="861"/>
      <c r="U317" s="861"/>
      <c r="V317" s="861" t="s">
        <v>685</v>
      </c>
      <c r="W317" s="861" t="s">
        <v>666</v>
      </c>
      <c r="X317" s="863">
        <v>42795</v>
      </c>
      <c r="Y317" s="863">
        <v>43272</v>
      </c>
      <c r="Z317" s="864">
        <v>2019</v>
      </c>
      <c r="AA317" s="861" t="s">
        <v>663</v>
      </c>
      <c r="AB317" s="861"/>
      <c r="AC317" s="861"/>
      <c r="AD317" s="865"/>
      <c r="AE317" s="865"/>
      <c r="AF317" s="865"/>
      <c r="AG317" s="865"/>
      <c r="AH317" s="865"/>
      <c r="AI317" s="865"/>
      <c r="AJ317" s="865">
        <v>200000</v>
      </c>
      <c r="AK317" s="865"/>
      <c r="AL317" s="865"/>
      <c r="AM317" s="865"/>
      <c r="AN317" s="865"/>
      <c r="AO317" s="865"/>
      <c r="AP317" s="865"/>
      <c r="AQ317" s="865"/>
      <c r="AR317" s="865">
        <v>418206.67999999988</v>
      </c>
      <c r="AS317" s="865">
        <v>44999.537230000002</v>
      </c>
      <c r="AT317" s="865"/>
      <c r="AU317" s="865"/>
      <c r="AV317" s="865"/>
      <c r="AW317" s="865"/>
      <c r="AX317" s="865"/>
      <c r="AY317" s="865"/>
      <c r="AZ317" s="865"/>
      <c r="BA317" s="865"/>
      <c r="BB317" s="865"/>
      <c r="BC317" s="865">
        <v>99480.932584499969</v>
      </c>
      <c r="BD317" s="865">
        <v>66320.621723000004</v>
      </c>
      <c r="BE317" s="865">
        <v>111916.04915756248</v>
      </c>
      <c r="BF317" s="865">
        <v>2587.5405069114213</v>
      </c>
      <c r="BG317" s="865">
        <v>0</v>
      </c>
      <c r="BH317" s="865">
        <v>241130.80858092487</v>
      </c>
      <c r="BI317" s="865"/>
      <c r="BJ317" s="865"/>
      <c r="BK317" s="865"/>
      <c r="BL317" s="865"/>
      <c r="BM317" s="865"/>
      <c r="BN317" s="865"/>
      <c r="BO317" s="865"/>
      <c r="BP317" s="865"/>
      <c r="BQ317" s="865"/>
      <c r="BR317" s="865"/>
      <c r="BS317" s="865">
        <v>1184642.1697828986</v>
      </c>
      <c r="BT317" s="412">
        <f t="shared" si="11"/>
        <v>663206.21722999995</v>
      </c>
      <c r="BU317" s="413">
        <v>0</v>
      </c>
      <c r="BV317" s="413">
        <v>6.7851500876980109E-2</v>
      </c>
      <c r="BW317" s="413">
        <v>0.63058317177229628</v>
      </c>
      <c r="BX317" s="413">
        <v>0</v>
      </c>
      <c r="BY317" s="413">
        <v>0</v>
      </c>
      <c r="BZ317" s="413">
        <v>0</v>
      </c>
      <c r="CA317" s="413">
        <v>0</v>
      </c>
      <c r="CB317" s="413">
        <v>0</v>
      </c>
      <c r="CC317" s="413">
        <v>0</v>
      </c>
      <c r="CD317" s="413">
        <v>0</v>
      </c>
      <c r="CE317" s="413">
        <v>0.30156532735072356</v>
      </c>
      <c r="CF317" s="413">
        <v>0</v>
      </c>
      <c r="CG317" s="413">
        <v>0</v>
      </c>
      <c r="CH317" s="413">
        <v>0</v>
      </c>
      <c r="CI317" s="413">
        <v>0</v>
      </c>
      <c r="CJ317" s="413">
        <v>0</v>
      </c>
      <c r="CK317" s="413">
        <v>0</v>
      </c>
      <c r="CL317" s="413">
        <v>0</v>
      </c>
      <c r="CM317" s="413">
        <v>0</v>
      </c>
      <c r="CN317" s="413">
        <v>0</v>
      </c>
      <c r="CO317" s="414">
        <f t="shared" si="10"/>
        <v>1</v>
      </c>
    </row>
    <row r="318" spans="1:93" s="415" customFormat="1" ht="25.5" x14ac:dyDescent="0.25">
      <c r="A318" s="881" t="s">
        <v>2637</v>
      </c>
      <c r="B318" s="862" t="e">
        <v>#N/A</v>
      </c>
      <c r="C318" s="861" t="s">
        <v>2661</v>
      </c>
      <c r="D318" s="862"/>
      <c r="E318" s="861"/>
      <c r="F318" s="862"/>
      <c r="G318" s="861"/>
      <c r="H318" s="861" t="s">
        <v>654</v>
      </c>
      <c r="I318" s="861" t="s">
        <v>647</v>
      </c>
      <c r="J318" s="861" t="s">
        <v>641</v>
      </c>
      <c r="K318" s="861" t="s">
        <v>663</v>
      </c>
      <c r="L318" s="861" t="s">
        <v>54</v>
      </c>
      <c r="M318" s="861" t="s">
        <v>646</v>
      </c>
      <c r="N318" s="861" t="s">
        <v>645</v>
      </c>
      <c r="O318" s="861"/>
      <c r="P318" s="861" t="s">
        <v>643</v>
      </c>
      <c r="Q318" s="861" t="s">
        <v>656</v>
      </c>
      <c r="R318" s="861" t="s">
        <v>652</v>
      </c>
      <c r="S318" s="861" t="s">
        <v>649</v>
      </c>
      <c r="T318" s="861"/>
      <c r="U318" s="861"/>
      <c r="V318" s="861" t="s">
        <v>685</v>
      </c>
      <c r="W318" s="861"/>
      <c r="X318" s="863">
        <v>42795</v>
      </c>
      <c r="Y318" s="863">
        <v>43266</v>
      </c>
      <c r="Z318" s="864">
        <v>2020</v>
      </c>
      <c r="AA318" s="861" t="s">
        <v>663</v>
      </c>
      <c r="AB318" s="861"/>
      <c r="AC318" s="861"/>
      <c r="AD318" s="865"/>
      <c r="AE318" s="865"/>
      <c r="AF318" s="865"/>
      <c r="AG318" s="865"/>
      <c r="AH318" s="865"/>
      <c r="AI318" s="865"/>
      <c r="AJ318" s="865"/>
      <c r="AK318" s="865"/>
      <c r="AL318" s="865"/>
      <c r="AM318" s="865"/>
      <c r="AN318" s="865"/>
      <c r="AO318" s="865">
        <v>29999.999999999993</v>
      </c>
      <c r="AP318" s="865"/>
      <c r="AQ318" s="865"/>
      <c r="AR318" s="865">
        <v>564419.8193999998</v>
      </c>
      <c r="AS318" s="865">
        <v>17999.963999999993</v>
      </c>
      <c r="AT318" s="865"/>
      <c r="AU318" s="865"/>
      <c r="AV318" s="865"/>
      <c r="AW318" s="865"/>
      <c r="AX318" s="865"/>
      <c r="AY318" s="865"/>
      <c r="AZ318" s="865"/>
      <c r="BA318" s="865"/>
      <c r="BB318" s="865"/>
      <c r="BC318" s="865">
        <v>91862.967509999973</v>
      </c>
      <c r="BD318" s="865">
        <v>61241.978339999994</v>
      </c>
      <c r="BE318" s="865">
        <v>103345.83844874997</v>
      </c>
      <c r="BF318" s="865">
        <v>2389.3940611715625</v>
      </c>
      <c r="BG318" s="865">
        <v>0</v>
      </c>
      <c r="BH318" s="865">
        <v>222665.70144499073</v>
      </c>
      <c r="BI318" s="865"/>
      <c r="BJ318" s="865"/>
      <c r="BK318" s="865"/>
      <c r="BL318" s="865"/>
      <c r="BM318" s="865"/>
      <c r="BN318" s="865"/>
      <c r="BO318" s="865"/>
      <c r="BP318" s="865"/>
      <c r="BQ318" s="865"/>
      <c r="BR318" s="865"/>
      <c r="BS318" s="865">
        <v>1093925.6632049121</v>
      </c>
      <c r="BT318" s="412">
        <f t="shared" si="11"/>
        <v>612419.78339999984</v>
      </c>
      <c r="BU318" s="413">
        <v>0</v>
      </c>
      <c r="BV318" s="413">
        <v>2.9391545616094802E-2</v>
      </c>
      <c r="BW318" s="413">
        <v>0.92162244705173246</v>
      </c>
      <c r="BX318" s="413">
        <v>0</v>
      </c>
      <c r="BY318" s="413">
        <v>0</v>
      </c>
      <c r="BZ318" s="413">
        <v>0</v>
      </c>
      <c r="CA318" s="413">
        <v>0</v>
      </c>
      <c r="CB318" s="413">
        <v>0</v>
      </c>
      <c r="CC318" s="413">
        <v>0</v>
      </c>
      <c r="CD318" s="413">
        <v>0</v>
      </c>
      <c r="CE318" s="413">
        <v>0</v>
      </c>
      <c r="CF318" s="413">
        <v>0</v>
      </c>
      <c r="CG318" s="413">
        <v>0</v>
      </c>
      <c r="CH318" s="413">
        <v>0</v>
      </c>
      <c r="CI318" s="413">
        <v>0</v>
      </c>
      <c r="CJ318" s="413">
        <v>4.8986007332172676E-2</v>
      </c>
      <c r="CK318" s="413">
        <v>0</v>
      </c>
      <c r="CL318" s="413">
        <v>0</v>
      </c>
      <c r="CM318" s="413">
        <v>0</v>
      </c>
      <c r="CN318" s="413">
        <v>0</v>
      </c>
      <c r="CO318" s="414">
        <f t="shared" si="10"/>
        <v>1</v>
      </c>
    </row>
    <row r="319" spans="1:93" s="415" customFormat="1" ht="25.5" x14ac:dyDescent="0.25">
      <c r="A319" s="881" t="s">
        <v>2641</v>
      </c>
      <c r="B319" s="862" t="e">
        <v>#N/A</v>
      </c>
      <c r="C319" s="861" t="s">
        <v>2716</v>
      </c>
      <c r="D319" s="862"/>
      <c r="E319" s="861"/>
      <c r="F319" s="862"/>
      <c r="G319" s="861"/>
      <c r="H319" s="861" t="s">
        <v>654</v>
      </c>
      <c r="I319" s="861" t="s">
        <v>647</v>
      </c>
      <c r="J319" s="861" t="s">
        <v>671</v>
      </c>
      <c r="K319" s="861" t="s">
        <v>649</v>
      </c>
      <c r="L319" s="861" t="s">
        <v>54</v>
      </c>
      <c r="M319" s="861" t="s">
        <v>646</v>
      </c>
      <c r="N319" s="861" t="s">
        <v>645</v>
      </c>
      <c r="O319" s="861"/>
      <c r="P319" s="861"/>
      <c r="Q319" s="861" t="s">
        <v>650</v>
      </c>
      <c r="R319" s="861" t="s">
        <v>652</v>
      </c>
      <c r="S319" s="861" t="s">
        <v>649</v>
      </c>
      <c r="T319" s="861"/>
      <c r="U319" s="861"/>
      <c r="V319" s="861" t="s">
        <v>670</v>
      </c>
      <c r="W319" s="861"/>
      <c r="X319" s="863">
        <v>42921</v>
      </c>
      <c r="Y319" s="863">
        <v>43281</v>
      </c>
      <c r="Z319" s="864">
        <v>2018</v>
      </c>
      <c r="AA319" s="861"/>
      <c r="AB319" s="861"/>
      <c r="AC319" s="861"/>
      <c r="AD319" s="865"/>
      <c r="AE319" s="865"/>
      <c r="AF319" s="865"/>
      <c r="AG319" s="865"/>
      <c r="AH319" s="865"/>
      <c r="AI319" s="865"/>
      <c r="AJ319" s="865"/>
      <c r="AK319" s="865"/>
      <c r="AL319" s="865"/>
      <c r="AM319" s="865"/>
      <c r="AN319" s="865"/>
      <c r="AO319" s="865"/>
      <c r="AP319" s="865"/>
      <c r="AQ319" s="865"/>
      <c r="AR319" s="865"/>
      <c r="AS319" s="865"/>
      <c r="AT319" s="865"/>
      <c r="AU319" s="865"/>
      <c r="AV319" s="865"/>
      <c r="AW319" s="865"/>
      <c r="AX319" s="865"/>
      <c r="AY319" s="865"/>
      <c r="AZ319" s="865"/>
      <c r="BA319" s="865">
        <v>95000.000000000044</v>
      </c>
      <c r="BB319" s="865"/>
      <c r="BC319" s="865"/>
      <c r="BD319" s="865"/>
      <c r="BE319" s="865"/>
      <c r="BF319" s="865"/>
      <c r="BG319" s="865"/>
      <c r="BH319" s="865">
        <v>97302.559260768001</v>
      </c>
      <c r="BI319" s="865"/>
      <c r="BJ319" s="865"/>
      <c r="BK319" s="865"/>
      <c r="BL319" s="865"/>
      <c r="BM319" s="865"/>
      <c r="BN319" s="865"/>
      <c r="BO319" s="865"/>
      <c r="BP319" s="865"/>
      <c r="BQ319" s="865">
        <v>450000.00000000023</v>
      </c>
      <c r="BR319" s="865"/>
      <c r="BS319" s="865">
        <v>642302.55926076823</v>
      </c>
      <c r="BT319" s="412">
        <f t="shared" si="11"/>
        <v>95000.000000000044</v>
      </c>
      <c r="BU319" s="413">
        <v>0</v>
      </c>
      <c r="BV319" s="413">
        <v>0</v>
      </c>
      <c r="BW319" s="413">
        <v>0</v>
      </c>
      <c r="BX319" s="413">
        <v>0</v>
      </c>
      <c r="BY319" s="413">
        <v>0</v>
      </c>
      <c r="BZ319" s="413">
        <v>0</v>
      </c>
      <c r="CA319" s="413">
        <v>0</v>
      </c>
      <c r="CB319" s="413">
        <v>1</v>
      </c>
      <c r="CC319" s="413">
        <v>0</v>
      </c>
      <c r="CD319" s="413">
        <v>0</v>
      </c>
      <c r="CE319" s="413">
        <v>0</v>
      </c>
      <c r="CF319" s="413">
        <v>0</v>
      </c>
      <c r="CG319" s="413">
        <v>0</v>
      </c>
      <c r="CH319" s="413">
        <v>0</v>
      </c>
      <c r="CI319" s="413">
        <v>0</v>
      </c>
      <c r="CJ319" s="413">
        <v>0</v>
      </c>
      <c r="CK319" s="413">
        <v>0</v>
      </c>
      <c r="CL319" s="413">
        <v>0</v>
      </c>
      <c r="CM319" s="413">
        <v>0</v>
      </c>
      <c r="CN319" s="413">
        <v>0</v>
      </c>
      <c r="CO319" s="414">
        <f t="shared" si="10"/>
        <v>1</v>
      </c>
    </row>
    <row r="320" spans="1:93" s="415" customFormat="1" ht="25.5" x14ac:dyDescent="0.25">
      <c r="A320" s="881" t="s">
        <v>2643</v>
      </c>
      <c r="B320" s="862" t="e">
        <v>#N/A</v>
      </c>
      <c r="C320" s="861" t="s">
        <v>2717</v>
      </c>
      <c r="D320" s="862"/>
      <c r="E320" s="861"/>
      <c r="F320" s="862"/>
      <c r="G320" s="861"/>
      <c r="H320" s="861" t="s">
        <v>654</v>
      </c>
      <c r="I320" s="861" t="s">
        <v>647</v>
      </c>
      <c r="J320" s="861" t="s">
        <v>641</v>
      </c>
      <c r="K320" s="861" t="s">
        <v>649</v>
      </c>
      <c r="L320" s="861" t="s">
        <v>54</v>
      </c>
      <c r="M320" s="861" t="s">
        <v>646</v>
      </c>
      <c r="N320" s="861" t="s">
        <v>645</v>
      </c>
      <c r="O320" s="861"/>
      <c r="P320" s="861" t="s">
        <v>643</v>
      </c>
      <c r="Q320" s="861" t="s">
        <v>656</v>
      </c>
      <c r="R320" s="861" t="s">
        <v>652</v>
      </c>
      <c r="S320" s="861"/>
      <c r="T320" s="861"/>
      <c r="U320" s="861"/>
      <c r="V320" s="861" t="s">
        <v>641</v>
      </c>
      <c r="W320" s="861"/>
      <c r="X320" s="863">
        <v>42795</v>
      </c>
      <c r="Y320" s="863">
        <v>43993</v>
      </c>
      <c r="Z320" s="864">
        <v>2018</v>
      </c>
      <c r="AA320" s="861"/>
      <c r="AB320" s="861"/>
      <c r="AC320" s="861"/>
      <c r="AD320" s="865"/>
      <c r="AE320" s="865"/>
      <c r="AF320" s="865"/>
      <c r="AG320" s="865"/>
      <c r="AH320" s="865"/>
      <c r="AI320" s="865"/>
      <c r="AJ320" s="865"/>
      <c r="AK320" s="865"/>
      <c r="AL320" s="865">
        <v>3209200.1200036025</v>
      </c>
      <c r="AM320" s="865"/>
      <c r="AN320" s="865"/>
      <c r="AO320" s="865"/>
      <c r="AP320" s="865"/>
      <c r="AQ320" s="865"/>
      <c r="AR320" s="865">
        <v>73120.000000000058</v>
      </c>
      <c r="AS320" s="865"/>
      <c r="AT320" s="865"/>
      <c r="AU320" s="865"/>
      <c r="AV320" s="865"/>
      <c r="AW320" s="865"/>
      <c r="AX320" s="865"/>
      <c r="AY320" s="865"/>
      <c r="AZ320" s="865"/>
      <c r="BA320" s="865"/>
      <c r="BB320" s="865"/>
      <c r="BC320" s="865">
        <v>483348.01800054032</v>
      </c>
      <c r="BD320" s="865"/>
      <c r="BE320" s="865">
        <v>500265.19863055926</v>
      </c>
      <c r="BF320" s="865">
        <v>11731.316675745431</v>
      </c>
      <c r="BG320" s="865"/>
      <c r="BH320" s="865">
        <v>753008.37590969948</v>
      </c>
      <c r="BI320" s="865"/>
      <c r="BJ320" s="865"/>
      <c r="BK320" s="865"/>
      <c r="BL320" s="865"/>
      <c r="BM320" s="865"/>
      <c r="BN320" s="865"/>
      <c r="BO320" s="865"/>
      <c r="BP320" s="865"/>
      <c r="BQ320" s="865"/>
      <c r="BR320" s="865"/>
      <c r="BS320" s="865">
        <v>5030673.0292201471</v>
      </c>
      <c r="BT320" s="412">
        <f t="shared" si="11"/>
        <v>3282320.1200036025</v>
      </c>
      <c r="BU320" s="413">
        <v>0</v>
      </c>
      <c r="BV320" s="413">
        <v>0</v>
      </c>
      <c r="BW320" s="413">
        <v>2.2276925262219641E-2</v>
      </c>
      <c r="BX320" s="413">
        <v>0</v>
      </c>
      <c r="BY320" s="413">
        <v>0</v>
      </c>
      <c r="BZ320" s="413">
        <v>0</v>
      </c>
      <c r="CA320" s="413">
        <v>0</v>
      </c>
      <c r="CB320" s="413">
        <v>0</v>
      </c>
      <c r="CC320" s="413">
        <v>0</v>
      </c>
      <c r="CD320" s="413">
        <v>0</v>
      </c>
      <c r="CE320" s="413">
        <v>0</v>
      </c>
      <c r="CF320" s="413">
        <v>0</v>
      </c>
      <c r="CG320" s="413">
        <v>0</v>
      </c>
      <c r="CH320" s="413">
        <v>0</v>
      </c>
      <c r="CI320" s="413">
        <v>0.97772307473778042</v>
      </c>
      <c r="CJ320" s="413">
        <v>0</v>
      </c>
      <c r="CK320" s="413">
        <v>0</v>
      </c>
      <c r="CL320" s="413">
        <v>0</v>
      </c>
      <c r="CM320" s="413">
        <v>0</v>
      </c>
      <c r="CN320" s="413">
        <v>0</v>
      </c>
      <c r="CO320" s="414">
        <f t="shared" si="10"/>
        <v>1</v>
      </c>
    </row>
    <row r="321" spans="1:93" s="415" customFormat="1" ht="25.5" x14ac:dyDescent="0.25">
      <c r="A321" s="881" t="s">
        <v>2647</v>
      </c>
      <c r="B321" s="862" t="e">
        <v>#N/A</v>
      </c>
      <c r="C321" s="861" t="s">
        <v>2718</v>
      </c>
      <c r="D321" s="862"/>
      <c r="E321" s="861"/>
      <c r="F321" s="862"/>
      <c r="G321" s="861"/>
      <c r="H321" s="861" t="s">
        <v>654</v>
      </c>
      <c r="I321" s="861" t="s">
        <v>647</v>
      </c>
      <c r="J321" s="861" t="s">
        <v>641</v>
      </c>
      <c r="K321" s="861" t="s">
        <v>649</v>
      </c>
      <c r="L321" s="861" t="s">
        <v>54</v>
      </c>
      <c r="M321" s="861" t="s">
        <v>646</v>
      </c>
      <c r="N321" s="861" t="s">
        <v>668</v>
      </c>
      <c r="O321" s="861"/>
      <c r="P321" s="861" t="s">
        <v>643</v>
      </c>
      <c r="Q321" s="861" t="s">
        <v>656</v>
      </c>
      <c r="R321" s="861" t="s">
        <v>652</v>
      </c>
      <c r="S321" s="861"/>
      <c r="T321" s="861"/>
      <c r="U321" s="861"/>
      <c r="V321" s="861" t="s">
        <v>641</v>
      </c>
      <c r="W321" s="861" t="s">
        <v>666</v>
      </c>
      <c r="X321" s="863">
        <v>42795</v>
      </c>
      <c r="Y321" s="863">
        <v>43237</v>
      </c>
      <c r="Z321" s="864">
        <v>2018</v>
      </c>
      <c r="AA321" s="861" t="s">
        <v>663</v>
      </c>
      <c r="AB321" s="861"/>
      <c r="AC321" s="861"/>
      <c r="AD321" s="865"/>
      <c r="AE321" s="865"/>
      <c r="AF321" s="865"/>
      <c r="AG321" s="865">
        <v>960000.00000000047</v>
      </c>
      <c r="AH321" s="865"/>
      <c r="AI321" s="865">
        <v>150000.00000000003</v>
      </c>
      <c r="AJ321" s="865"/>
      <c r="AK321" s="865"/>
      <c r="AL321" s="865"/>
      <c r="AM321" s="865"/>
      <c r="AN321" s="865"/>
      <c r="AO321" s="865"/>
      <c r="AP321" s="865"/>
      <c r="AQ321" s="865"/>
      <c r="AR321" s="865"/>
      <c r="AS321" s="865"/>
      <c r="AT321" s="865"/>
      <c r="AU321" s="865"/>
      <c r="AV321" s="865"/>
      <c r="AW321" s="865"/>
      <c r="AX321" s="865"/>
      <c r="AY321" s="865"/>
      <c r="AZ321" s="865"/>
      <c r="BA321" s="865"/>
      <c r="BB321" s="865"/>
      <c r="BC321" s="865">
        <v>177260.00000000009</v>
      </c>
      <c r="BD321" s="865"/>
      <c r="BE321" s="865">
        <v>160280.10000000006</v>
      </c>
      <c r="BF321" s="865">
        <v>5534.4852750000036</v>
      </c>
      <c r="BG321" s="865">
        <v>116720.00000000003</v>
      </c>
      <c r="BH321" s="865">
        <v>381139.4066849309</v>
      </c>
      <c r="BI321" s="865"/>
      <c r="BJ321" s="865"/>
      <c r="BK321" s="865"/>
      <c r="BL321" s="865"/>
      <c r="BM321" s="865"/>
      <c r="BN321" s="865"/>
      <c r="BO321" s="865"/>
      <c r="BP321" s="865"/>
      <c r="BQ321" s="865">
        <v>665000.00000000012</v>
      </c>
      <c r="BR321" s="865"/>
      <c r="BS321" s="865">
        <v>2615933.9919599313</v>
      </c>
      <c r="BT321" s="412">
        <f t="shared" si="11"/>
        <v>1110000.0000000005</v>
      </c>
      <c r="BU321" s="413">
        <v>0</v>
      </c>
      <c r="BV321" s="413">
        <v>0</v>
      </c>
      <c r="BW321" s="413">
        <v>0</v>
      </c>
      <c r="BX321" s="413">
        <v>0</v>
      </c>
      <c r="BY321" s="413">
        <v>0</v>
      </c>
      <c r="BZ321" s="413">
        <v>0</v>
      </c>
      <c r="CA321" s="413">
        <v>0</v>
      </c>
      <c r="CB321" s="413">
        <v>0</v>
      </c>
      <c r="CC321" s="413">
        <v>0</v>
      </c>
      <c r="CD321" s="413">
        <v>0.86486486486486491</v>
      </c>
      <c r="CE321" s="413">
        <v>0</v>
      </c>
      <c r="CF321" s="413">
        <v>0.13513513513513511</v>
      </c>
      <c r="CG321" s="413">
        <v>0</v>
      </c>
      <c r="CH321" s="413">
        <v>0</v>
      </c>
      <c r="CI321" s="413">
        <v>0</v>
      </c>
      <c r="CJ321" s="413">
        <v>0</v>
      </c>
      <c r="CK321" s="413">
        <v>0</v>
      </c>
      <c r="CL321" s="413">
        <v>0</v>
      </c>
      <c r="CM321" s="413">
        <v>0</v>
      </c>
      <c r="CN321" s="413">
        <v>0</v>
      </c>
      <c r="CO321" s="414">
        <f t="shared" si="10"/>
        <v>1</v>
      </c>
    </row>
    <row r="322" spans="1:93" s="415" customFormat="1" ht="25.5" x14ac:dyDescent="0.25">
      <c r="A322" s="881" t="s">
        <v>2774</v>
      </c>
      <c r="B322" s="862" t="e">
        <v>#N/A</v>
      </c>
      <c r="C322" s="861" t="s">
        <v>2803</v>
      </c>
      <c r="D322" s="862"/>
      <c r="E322" s="861"/>
      <c r="F322" s="862"/>
      <c r="G322" s="861"/>
      <c r="H322" s="861" t="s">
        <v>654</v>
      </c>
      <c r="I322" s="861" t="s">
        <v>647</v>
      </c>
      <c r="J322" s="861" t="s">
        <v>641</v>
      </c>
      <c r="K322" s="861" t="s">
        <v>663</v>
      </c>
      <c r="L322" s="861" t="s">
        <v>54</v>
      </c>
      <c r="M322" s="861" t="s">
        <v>646</v>
      </c>
      <c r="N322" s="861" t="s">
        <v>699</v>
      </c>
      <c r="O322" s="861"/>
      <c r="P322" s="861"/>
      <c r="Q322" s="861" t="s">
        <v>642</v>
      </c>
      <c r="R322" s="861" t="s">
        <v>652</v>
      </c>
      <c r="S322" s="861" t="s">
        <v>663</v>
      </c>
      <c r="T322" s="861"/>
      <c r="U322" s="861"/>
      <c r="V322" s="861" t="s">
        <v>641</v>
      </c>
      <c r="W322" s="861"/>
      <c r="X322" s="863">
        <v>42826</v>
      </c>
      <c r="Y322" s="863">
        <v>43373</v>
      </c>
      <c r="Z322" s="864">
        <v>2019</v>
      </c>
      <c r="AA322" s="861"/>
      <c r="AB322" s="861"/>
      <c r="AC322" s="861"/>
      <c r="AD322" s="865"/>
      <c r="AE322" s="865"/>
      <c r="AF322" s="865"/>
      <c r="AG322" s="865"/>
      <c r="AH322" s="865"/>
      <c r="AI322" s="865"/>
      <c r="AJ322" s="865"/>
      <c r="AK322" s="865"/>
      <c r="AL322" s="865">
        <v>29999.999999999989</v>
      </c>
      <c r="AM322" s="865"/>
      <c r="AN322" s="865"/>
      <c r="AO322" s="865">
        <v>2652824.998441956</v>
      </c>
      <c r="AP322" s="865"/>
      <c r="AQ322" s="865"/>
      <c r="AR322" s="865"/>
      <c r="AS322" s="865"/>
      <c r="AT322" s="865"/>
      <c r="AU322" s="865"/>
      <c r="AV322" s="865"/>
      <c r="AW322" s="865"/>
      <c r="AX322" s="865"/>
      <c r="AY322" s="865"/>
      <c r="AZ322" s="865"/>
      <c r="BA322" s="865"/>
      <c r="BB322" s="865"/>
      <c r="BC322" s="865"/>
      <c r="BD322" s="865"/>
      <c r="BE322" s="865">
        <v>277496.62483640539</v>
      </c>
      <c r="BF322" s="865">
        <v>8140.8844640154921</v>
      </c>
      <c r="BG322" s="865">
        <v>0</v>
      </c>
      <c r="BH322" s="865">
        <v>353969.94532812864</v>
      </c>
      <c r="BI322" s="865"/>
      <c r="BJ322" s="865"/>
      <c r="BK322" s="865"/>
      <c r="BL322" s="865"/>
      <c r="BM322" s="865"/>
      <c r="BN322" s="865"/>
      <c r="BO322" s="865"/>
      <c r="BP322" s="865"/>
      <c r="BQ322" s="865"/>
      <c r="BR322" s="865"/>
      <c r="BS322" s="865">
        <v>3322432.4530705055</v>
      </c>
      <c r="BT322" s="412">
        <f t="shared" si="11"/>
        <v>2682824.998441956</v>
      </c>
      <c r="BU322" s="413">
        <v>0</v>
      </c>
      <c r="BV322" s="413">
        <v>0</v>
      </c>
      <c r="BW322" s="413">
        <v>0</v>
      </c>
      <c r="BX322" s="413">
        <v>0</v>
      </c>
      <c r="BY322" s="413">
        <v>0</v>
      </c>
      <c r="BZ322" s="413">
        <v>0</v>
      </c>
      <c r="CA322" s="413">
        <v>0</v>
      </c>
      <c r="CB322" s="413">
        <v>0</v>
      </c>
      <c r="CC322" s="413">
        <v>0</v>
      </c>
      <c r="CD322" s="413">
        <v>0</v>
      </c>
      <c r="CE322" s="413">
        <v>0</v>
      </c>
      <c r="CF322" s="413">
        <v>0</v>
      </c>
      <c r="CG322" s="413">
        <v>0</v>
      </c>
      <c r="CH322" s="413">
        <v>0</v>
      </c>
      <c r="CI322" s="413">
        <v>1.1182242605247236E-2</v>
      </c>
      <c r="CJ322" s="413">
        <v>0.98881775739475275</v>
      </c>
      <c r="CK322" s="413">
        <v>0</v>
      </c>
      <c r="CL322" s="413">
        <v>0</v>
      </c>
      <c r="CM322" s="413">
        <v>0</v>
      </c>
      <c r="CN322" s="413">
        <v>0</v>
      </c>
      <c r="CO322" s="414">
        <f t="shared" si="10"/>
        <v>1</v>
      </c>
    </row>
    <row r="323" spans="1:93" s="415" customFormat="1" ht="25.5" customHeight="1" x14ac:dyDescent="0.25">
      <c r="A323" s="881" t="s">
        <v>2294</v>
      </c>
      <c r="B323" s="862" t="s">
        <v>2334</v>
      </c>
      <c r="C323" s="861" t="s">
        <v>2804</v>
      </c>
      <c r="D323" s="862"/>
      <c r="E323" s="861" t="s">
        <v>2447</v>
      </c>
      <c r="F323" s="862"/>
      <c r="G323" s="861" t="s">
        <v>686</v>
      </c>
      <c r="H323" s="861" t="s">
        <v>2453</v>
      </c>
      <c r="I323" s="861" t="s">
        <v>647</v>
      </c>
      <c r="J323" s="861" t="s">
        <v>641</v>
      </c>
      <c r="K323" s="861" t="s">
        <v>649</v>
      </c>
      <c r="L323" s="861" t="s">
        <v>107</v>
      </c>
      <c r="M323" s="861" t="s">
        <v>646</v>
      </c>
      <c r="N323" s="861" t="s">
        <v>699</v>
      </c>
      <c r="O323" s="861" t="s">
        <v>2448</v>
      </c>
      <c r="P323" s="861" t="s">
        <v>971</v>
      </c>
      <c r="Q323" s="861" t="s">
        <v>642</v>
      </c>
      <c r="R323" s="861" t="s">
        <v>652</v>
      </c>
      <c r="S323" s="861" t="s">
        <v>649</v>
      </c>
      <c r="T323" s="861"/>
      <c r="U323" s="861"/>
      <c r="V323" s="861" t="s">
        <v>641</v>
      </c>
      <c r="W323" s="861" t="s">
        <v>2805</v>
      </c>
      <c r="X323" s="863">
        <v>42717</v>
      </c>
      <c r="Y323" s="863">
        <v>43508</v>
      </c>
      <c r="Z323" s="864">
        <v>2019</v>
      </c>
      <c r="AA323" s="861"/>
      <c r="AB323" s="861"/>
      <c r="AC323" s="861"/>
      <c r="AD323" s="874"/>
      <c r="AE323" s="874"/>
      <c r="AF323" s="874"/>
      <c r="AG323" s="865">
        <v>397183.95873134065</v>
      </c>
      <c r="AH323" s="865"/>
      <c r="AI323" s="865">
        <v>849747.34025145555</v>
      </c>
      <c r="AJ323" s="865"/>
      <c r="AK323" s="865">
        <v>141499.99998389996</v>
      </c>
      <c r="AL323" s="865">
        <v>1266899.9897641679</v>
      </c>
      <c r="AM323" s="865">
        <v>13376274.999999994</v>
      </c>
      <c r="AN323" s="865">
        <v>75649.999999999956</v>
      </c>
      <c r="AO323" s="865">
        <v>14999.999999999993</v>
      </c>
      <c r="AP323" s="865"/>
      <c r="AQ323" s="865"/>
      <c r="AR323" s="865">
        <v>95124.918499999942</v>
      </c>
      <c r="AS323" s="865">
        <v>5799.9992099999981</v>
      </c>
      <c r="AT323" s="865">
        <v>379999.99999999983</v>
      </c>
      <c r="AU323" s="865"/>
      <c r="AV323" s="865"/>
      <c r="AW323" s="865"/>
      <c r="AX323" s="865"/>
      <c r="AY323" s="865"/>
      <c r="AZ323" s="865"/>
      <c r="BA323" s="865"/>
      <c r="BB323" s="865"/>
      <c r="BC323" s="865">
        <v>287526.71230929071</v>
      </c>
      <c r="BD323" s="865">
        <v>164300.97846245184</v>
      </c>
      <c r="BE323" s="865">
        <v>277257.9011553874</v>
      </c>
      <c r="BF323" s="865">
        <v>69313.379076223486</v>
      </c>
      <c r="BG323" s="865">
        <v>77810.688935358034</v>
      </c>
      <c r="BH323" s="865">
        <v>2840778.7989067058</v>
      </c>
      <c r="BI323" s="865"/>
      <c r="BJ323" s="865"/>
      <c r="BK323" s="865"/>
      <c r="BL323" s="865"/>
      <c r="BM323" s="865"/>
      <c r="BN323" s="865"/>
      <c r="BO323" s="865"/>
      <c r="BP323" s="865"/>
      <c r="BQ323" s="865"/>
      <c r="BR323" s="865">
        <v>589999.99999999977</v>
      </c>
      <c r="BS323" s="865">
        <v>20910169.665286269</v>
      </c>
      <c r="BT323" s="412">
        <f t="shared" si="11"/>
        <v>16603181.20644086</v>
      </c>
      <c r="BU323" s="413">
        <v>0</v>
      </c>
      <c r="BV323" s="413">
        <v>3.4933059742490844E-4</v>
      </c>
      <c r="BW323" s="413">
        <v>5.7293188165107901E-3</v>
      </c>
      <c r="BX323" s="413">
        <v>0</v>
      </c>
      <c r="BY323" s="413">
        <v>0</v>
      </c>
      <c r="BZ323" s="413">
        <v>2.2887180190058198E-2</v>
      </c>
      <c r="CA323" s="413">
        <v>0</v>
      </c>
      <c r="CB323" s="413">
        <v>0</v>
      </c>
      <c r="CC323" s="413">
        <v>0</v>
      </c>
      <c r="CD323" s="413">
        <v>2.3922160084433781E-2</v>
      </c>
      <c r="CE323" s="413">
        <v>0</v>
      </c>
      <c r="CF323" s="413">
        <v>5.1179790769362542E-2</v>
      </c>
      <c r="CG323" s="413">
        <v>8.5224631487493471E-3</v>
      </c>
      <c r="CH323" s="413">
        <v>0</v>
      </c>
      <c r="CI323" s="413">
        <v>0.88194995932970033</v>
      </c>
      <c r="CJ323" s="413">
        <v>9.034413232917709E-4</v>
      </c>
      <c r="CK323" s="413">
        <v>4.556355740468164E-3</v>
      </c>
      <c r="CL323" s="413">
        <v>0</v>
      </c>
      <c r="CM323" s="413">
        <v>0</v>
      </c>
      <c r="CN323" s="413">
        <v>0</v>
      </c>
      <c r="CO323" s="414">
        <f t="shared" si="10"/>
        <v>0.99999999999999989</v>
      </c>
    </row>
    <row r="324" spans="1:93" s="415" customFormat="1" ht="25.5" customHeight="1" x14ac:dyDescent="0.25">
      <c r="A324" s="881" t="s">
        <v>1067</v>
      </c>
      <c r="B324" s="862" t="s">
        <v>1674</v>
      </c>
      <c r="C324" s="861" t="s">
        <v>2806</v>
      </c>
      <c r="D324" s="862"/>
      <c r="E324" s="861" t="s">
        <v>655</v>
      </c>
      <c r="F324" s="862"/>
      <c r="G324" s="861"/>
      <c r="H324" s="861" t="s">
        <v>2358</v>
      </c>
      <c r="I324" s="861" t="s">
        <v>647</v>
      </c>
      <c r="J324" s="861" t="s">
        <v>641</v>
      </c>
      <c r="K324" s="861" t="s">
        <v>649</v>
      </c>
      <c r="L324" s="861" t="s">
        <v>28</v>
      </c>
      <c r="M324" s="861" t="s">
        <v>653</v>
      </c>
      <c r="N324" s="861" t="s">
        <v>645</v>
      </c>
      <c r="O324" s="861"/>
      <c r="P324" s="861"/>
      <c r="Q324" s="861" t="s">
        <v>656</v>
      </c>
      <c r="R324" s="861" t="s">
        <v>652</v>
      </c>
      <c r="S324" s="861" t="s">
        <v>649</v>
      </c>
      <c r="T324" s="861"/>
      <c r="U324" s="861"/>
      <c r="V324" s="861" t="s">
        <v>641</v>
      </c>
      <c r="W324" s="861" t="s">
        <v>2788</v>
      </c>
      <c r="X324" s="863">
        <v>43282</v>
      </c>
      <c r="Y324" s="863">
        <v>44447</v>
      </c>
      <c r="Z324" s="864">
        <v>2022</v>
      </c>
      <c r="AA324" s="861"/>
      <c r="AB324" s="861"/>
      <c r="AC324" s="861"/>
      <c r="AD324" s="874"/>
      <c r="AE324" s="874"/>
      <c r="AF324" s="874"/>
      <c r="AG324" s="865">
        <v>2410111.6818727357</v>
      </c>
      <c r="AH324" s="865"/>
      <c r="AI324" s="865">
        <v>161789.99421125019</v>
      </c>
      <c r="AJ324" s="865"/>
      <c r="AK324" s="865"/>
      <c r="AL324" s="865">
        <v>573400.01499594084</v>
      </c>
      <c r="AM324" s="865"/>
      <c r="AN324" s="865"/>
      <c r="AO324" s="865"/>
      <c r="AP324" s="865"/>
      <c r="AQ324" s="865"/>
      <c r="AR324" s="865">
        <v>144001.00408000016</v>
      </c>
      <c r="AS324" s="865">
        <v>35999.980500000049</v>
      </c>
      <c r="AT324" s="865">
        <v>30000.000000000033</v>
      </c>
      <c r="AU324" s="865"/>
      <c r="AV324" s="865"/>
      <c r="AW324" s="865"/>
      <c r="AX324" s="865"/>
      <c r="AY324" s="865"/>
      <c r="AZ324" s="865"/>
      <c r="BA324" s="865"/>
      <c r="BB324" s="865"/>
      <c r="BC324" s="865">
        <v>278157.92530819541</v>
      </c>
      <c r="BD324" s="865">
        <v>185438.61687213034</v>
      </c>
      <c r="BE324" s="865">
        <v>312927.66597172001</v>
      </c>
      <c r="BF324" s="865">
        <v>10785.021222887921</v>
      </c>
      <c r="BG324" s="865">
        <v>0</v>
      </c>
      <c r="BH324" s="865">
        <v>734252.59377283347</v>
      </c>
      <c r="BI324" s="865"/>
      <c r="BJ324" s="865"/>
      <c r="BK324" s="865"/>
      <c r="BL324" s="865"/>
      <c r="BM324" s="865"/>
      <c r="BN324" s="865"/>
      <c r="BO324" s="865"/>
      <c r="BP324" s="865"/>
      <c r="BQ324" s="865"/>
      <c r="BR324" s="865"/>
      <c r="BS324" s="865">
        <v>4876864.4988076948</v>
      </c>
      <c r="BT324" s="412">
        <f t="shared" si="11"/>
        <v>3355302.6756599271</v>
      </c>
      <c r="BU324" s="413">
        <v>0</v>
      </c>
      <c r="BV324" s="413">
        <v>1.0729279585162762E-2</v>
      </c>
      <c r="BW324" s="413">
        <v>4.2917440839127213E-2</v>
      </c>
      <c r="BX324" s="413">
        <v>0</v>
      </c>
      <c r="BY324" s="413">
        <v>0</v>
      </c>
      <c r="BZ324" s="413">
        <v>8.9410711640491806E-3</v>
      </c>
      <c r="CA324" s="413">
        <v>0</v>
      </c>
      <c r="CB324" s="413">
        <v>0</v>
      </c>
      <c r="CC324" s="413">
        <v>0</v>
      </c>
      <c r="CD324" s="413">
        <v>0.71829933536434554</v>
      </c>
      <c r="CE324" s="413">
        <v>0</v>
      </c>
      <c r="CF324" s="413">
        <v>4.8219195062463041E-2</v>
      </c>
      <c r="CG324" s="413">
        <v>0</v>
      </c>
      <c r="CH324" s="413">
        <v>0</v>
      </c>
      <c r="CI324" s="413">
        <v>0.17089367798485228</v>
      </c>
      <c r="CJ324" s="413">
        <v>0</v>
      </c>
      <c r="CK324" s="413">
        <v>0</v>
      </c>
      <c r="CL324" s="413">
        <v>0</v>
      </c>
      <c r="CM324" s="413">
        <v>0</v>
      </c>
      <c r="CN324" s="413">
        <v>0</v>
      </c>
      <c r="CO324" s="414">
        <f t="shared" si="10"/>
        <v>1</v>
      </c>
    </row>
    <row r="325" spans="1:93" ht="38.25" x14ac:dyDescent="0.2">
      <c r="A325" s="881" t="s">
        <v>69</v>
      </c>
      <c r="B325" s="862" t="s">
        <v>1686</v>
      </c>
      <c r="C325" s="861" t="s">
        <v>2442</v>
      </c>
      <c r="D325" s="862"/>
      <c r="E325" s="861" t="s">
        <v>779</v>
      </c>
      <c r="F325" s="862"/>
      <c r="G325" s="861" t="s">
        <v>722</v>
      </c>
      <c r="H325" s="861" t="s">
        <v>30</v>
      </c>
      <c r="I325" s="861" t="s">
        <v>647</v>
      </c>
      <c r="J325" s="861" t="s">
        <v>641</v>
      </c>
      <c r="K325" s="861" t="s">
        <v>649</v>
      </c>
      <c r="L325" s="861" t="s">
        <v>28</v>
      </c>
      <c r="M325" s="861" t="s">
        <v>646</v>
      </c>
      <c r="N325" s="861"/>
      <c r="O325" s="861"/>
      <c r="P325" s="861" t="s">
        <v>643</v>
      </c>
      <c r="Q325" s="861" t="s">
        <v>642</v>
      </c>
      <c r="R325" s="861" t="s">
        <v>652</v>
      </c>
      <c r="S325" s="861" t="s">
        <v>649</v>
      </c>
      <c r="T325" s="861"/>
      <c r="U325" s="861"/>
      <c r="V325" s="861" t="s">
        <v>641</v>
      </c>
      <c r="W325" s="861" t="s">
        <v>973</v>
      </c>
      <c r="X325" s="863">
        <v>41760</v>
      </c>
      <c r="Y325" s="863">
        <v>43277</v>
      </c>
      <c r="Z325" s="864">
        <v>2017</v>
      </c>
      <c r="AA325" s="861" t="s">
        <v>663</v>
      </c>
      <c r="AB325" s="861" t="s">
        <v>697</v>
      </c>
      <c r="AC325" s="861" t="s">
        <v>649</v>
      </c>
      <c r="AD325" s="874"/>
      <c r="AE325" s="874"/>
      <c r="AF325" s="874"/>
      <c r="AG325" s="865">
        <v>1251590.7439221647</v>
      </c>
      <c r="AH325" s="865">
        <v>949911.06250000582</v>
      </c>
      <c r="AI325" s="865">
        <v>379050.00000182004</v>
      </c>
      <c r="AJ325" s="865"/>
      <c r="AK325" s="865">
        <v>55339.99999945001</v>
      </c>
      <c r="AL325" s="865">
        <v>237800.00500314686</v>
      </c>
      <c r="AM325" s="865"/>
      <c r="AN325" s="865"/>
      <c r="AO325" s="865"/>
      <c r="AP325" s="865"/>
      <c r="AQ325" s="865"/>
      <c r="AR325" s="865"/>
      <c r="AS325" s="865"/>
      <c r="AT325" s="865"/>
      <c r="AU325" s="865"/>
      <c r="AV325" s="865"/>
      <c r="AW325" s="865"/>
      <c r="AX325" s="865"/>
      <c r="AY325" s="865"/>
      <c r="AZ325" s="865"/>
      <c r="BA325" s="865"/>
      <c r="BB325" s="865"/>
      <c r="BC325" s="865">
        <v>234255.15336918182</v>
      </c>
      <c r="BD325" s="865">
        <v>156170.10224612124</v>
      </c>
      <c r="BE325" s="865">
        <v>263537.04754032957</v>
      </c>
      <c r="BF325" s="865">
        <v>9411.0640670261018</v>
      </c>
      <c r="BG325" s="865">
        <v>500145.00652836397</v>
      </c>
      <c r="BH325" s="865">
        <v>98294.029646940224</v>
      </c>
      <c r="BI325" s="865">
        <v>78635.223717552173</v>
      </c>
      <c r="BJ325" s="865">
        <v>39317.611858776087</v>
      </c>
      <c r="BK325" s="865">
        <v>117952.83557632826</v>
      </c>
      <c r="BL325" s="865">
        <v>58976.417788164137</v>
      </c>
      <c r="BM325" s="865">
        <v>117952.83557632827</v>
      </c>
      <c r="BN325" s="865">
        <v>78635.223717552173</v>
      </c>
      <c r="BO325" s="865"/>
      <c r="BP325" s="865"/>
      <c r="BQ325" s="865"/>
      <c r="BR325" s="865"/>
      <c r="BS325" s="865">
        <v>4626974.3630592516</v>
      </c>
      <c r="BT325" s="412">
        <f t="shared" ref="BT325" si="12">SUM(AD325:BB325)</f>
        <v>2873691.8114265869</v>
      </c>
      <c r="BU325" s="413">
        <v>0</v>
      </c>
      <c r="BV325" s="413">
        <v>0</v>
      </c>
      <c r="BW325" s="413">
        <v>0</v>
      </c>
      <c r="BX325" s="413">
        <v>0</v>
      </c>
      <c r="BY325" s="413">
        <v>0</v>
      </c>
      <c r="BZ325" s="413">
        <v>0</v>
      </c>
      <c r="CA325" s="413">
        <v>0</v>
      </c>
      <c r="CB325" s="413">
        <v>0</v>
      </c>
      <c r="CC325" s="413">
        <v>0</v>
      </c>
      <c r="CD325" s="413">
        <v>0.76608834589304087</v>
      </c>
      <c r="CE325" s="413">
        <v>0</v>
      </c>
      <c r="CF325" s="413">
        <v>0.1319034972694752</v>
      </c>
      <c r="CG325" s="413">
        <v>1.9257458221303685E-2</v>
      </c>
      <c r="CH325" s="413">
        <v>0</v>
      </c>
      <c r="CI325" s="413">
        <v>8.275069861618034E-2</v>
      </c>
      <c r="CJ325" s="413">
        <v>0</v>
      </c>
      <c r="CK325" s="413">
        <v>0</v>
      </c>
      <c r="CL325" s="413">
        <v>0</v>
      </c>
      <c r="CM325" s="413">
        <v>0</v>
      </c>
      <c r="CN325" s="413">
        <v>0</v>
      </c>
      <c r="CO325" s="414">
        <f t="shared" ref="CO325" si="13">SUM(BU325:CN325)</f>
        <v>1</v>
      </c>
    </row>
    <row r="326" spans="1:93" x14ac:dyDescent="0.2">
      <c r="X326" s="123"/>
      <c r="Y326" s="123"/>
    </row>
    <row r="327" spans="1:93" x14ac:dyDescent="0.2">
      <c r="X327" s="123"/>
      <c r="Y327" s="123"/>
    </row>
    <row r="328" spans="1:93" x14ac:dyDescent="0.2">
      <c r="X328" s="123"/>
      <c r="Y328" s="123"/>
    </row>
    <row r="329" spans="1:93" x14ac:dyDescent="0.2">
      <c r="X329" s="123"/>
      <c r="Y329" s="123"/>
    </row>
    <row r="330" spans="1:93" x14ac:dyDescent="0.2">
      <c r="X330" s="123"/>
      <c r="Y330" s="123"/>
    </row>
    <row r="331" spans="1:93" x14ac:dyDescent="0.2">
      <c r="X331" s="123"/>
      <c r="Y331" s="123"/>
    </row>
    <row r="332" spans="1:93" x14ac:dyDescent="0.2">
      <c r="X332" s="123"/>
      <c r="Y332" s="123"/>
    </row>
    <row r="333" spans="1:93" x14ac:dyDescent="0.2">
      <c r="X333" s="123"/>
      <c r="Y333" s="123"/>
    </row>
    <row r="334" spans="1:93" x14ac:dyDescent="0.2">
      <c r="X334" s="123"/>
      <c r="Y334" s="123"/>
    </row>
    <row r="335" spans="1:93" x14ac:dyDescent="0.2">
      <c r="X335" s="123"/>
      <c r="Y335" s="123"/>
      <c r="AP335" s="63"/>
      <c r="AQ335" s="63"/>
    </row>
    <row r="336" spans="1:93" x14ac:dyDescent="0.2">
      <c r="X336" s="123"/>
      <c r="Y336" s="123"/>
      <c r="AP336" s="63"/>
      <c r="AQ336" s="63"/>
    </row>
    <row r="337" spans="24:43" x14ac:dyDescent="0.2">
      <c r="X337" s="123"/>
      <c r="Y337" s="123"/>
      <c r="AP337" s="63"/>
      <c r="AQ337" s="63"/>
    </row>
    <row r="338" spans="24:43" x14ac:dyDescent="0.2">
      <c r="X338" s="123"/>
      <c r="Y338" s="123"/>
      <c r="AP338" s="63"/>
      <c r="AQ338" s="63"/>
    </row>
    <row r="339" spans="24:43" x14ac:dyDescent="0.2">
      <c r="X339" s="123"/>
      <c r="Y339" s="123"/>
      <c r="AP339" s="63"/>
      <c r="AQ339" s="63"/>
    </row>
    <row r="340" spans="24:43" x14ac:dyDescent="0.2">
      <c r="X340" s="123"/>
      <c r="Y340" s="123"/>
    </row>
    <row r="341" spans="24:43" x14ac:dyDescent="0.2">
      <c r="X341" s="123"/>
      <c r="Y341" s="123"/>
    </row>
    <row r="342" spans="24:43" x14ac:dyDescent="0.2">
      <c r="X342" s="123"/>
      <c r="Y342" s="123"/>
    </row>
    <row r="343" spans="24:43" x14ac:dyDescent="0.2">
      <c r="X343" s="123"/>
      <c r="Y343" s="123"/>
    </row>
    <row r="344" spans="24:43" x14ac:dyDescent="0.2">
      <c r="X344" s="123"/>
      <c r="Y344" s="123"/>
    </row>
    <row r="345" spans="24:43" x14ac:dyDescent="0.2">
      <c r="X345" s="123"/>
      <c r="Y345" s="123"/>
    </row>
    <row r="346" spans="24:43" x14ac:dyDescent="0.2">
      <c r="X346" s="123"/>
      <c r="Y346" s="123"/>
    </row>
    <row r="347" spans="24:43" x14ac:dyDescent="0.2">
      <c r="X347" s="123"/>
      <c r="Y347" s="123"/>
    </row>
    <row r="348" spans="24:43" x14ac:dyDescent="0.2">
      <c r="X348" s="123"/>
      <c r="Y348" s="123"/>
    </row>
    <row r="349" spans="24:43" x14ac:dyDescent="0.2">
      <c r="X349" s="123"/>
      <c r="Y349" s="123"/>
    </row>
    <row r="350" spans="24:43" x14ac:dyDescent="0.2">
      <c r="X350" s="123"/>
      <c r="Y350" s="123"/>
    </row>
    <row r="351" spans="24:43" x14ac:dyDescent="0.2">
      <c r="X351" s="123"/>
      <c r="Y351" s="123"/>
    </row>
    <row r="352" spans="24:43" x14ac:dyDescent="0.2">
      <c r="X352" s="123"/>
      <c r="Y352" s="123"/>
    </row>
    <row r="353" spans="24:25" x14ac:dyDescent="0.2">
      <c r="X353" s="123"/>
      <c r="Y353" s="123"/>
    </row>
    <row r="354" spans="24:25" x14ac:dyDescent="0.2">
      <c r="X354" s="123"/>
      <c r="Y354" s="123"/>
    </row>
    <row r="355" spans="24:25" x14ac:dyDescent="0.2">
      <c r="X355" s="123"/>
      <c r="Y355" s="123"/>
    </row>
    <row r="356" spans="24:25" x14ac:dyDescent="0.2">
      <c r="X356" s="123"/>
      <c r="Y356" s="123"/>
    </row>
    <row r="357" spans="24:25" x14ac:dyDescent="0.2">
      <c r="X357" s="123"/>
      <c r="Y357" s="123"/>
    </row>
    <row r="358" spans="24:25" x14ac:dyDescent="0.2">
      <c r="X358" s="123"/>
      <c r="Y358" s="123"/>
    </row>
    <row r="359" spans="24:25" x14ac:dyDescent="0.2">
      <c r="X359" s="123"/>
      <c r="Y359" s="123"/>
    </row>
    <row r="360" spans="24:25" x14ac:dyDescent="0.2">
      <c r="X360" s="123"/>
      <c r="Y360" s="123"/>
    </row>
    <row r="361" spans="24:25" x14ac:dyDescent="0.2">
      <c r="X361" s="123"/>
      <c r="Y361" s="123"/>
    </row>
    <row r="362" spans="24:25" x14ac:dyDescent="0.2">
      <c r="X362" s="123"/>
      <c r="Y362" s="123"/>
    </row>
    <row r="363" spans="24:25" x14ac:dyDescent="0.2">
      <c r="X363" s="123"/>
      <c r="Y363" s="123"/>
    </row>
    <row r="364" spans="24:25" x14ac:dyDescent="0.2">
      <c r="X364" s="123"/>
      <c r="Y364" s="123"/>
    </row>
    <row r="365" spans="24:25" x14ac:dyDescent="0.2">
      <c r="X365" s="123"/>
      <c r="Y365" s="123"/>
    </row>
    <row r="366" spans="24:25" x14ac:dyDescent="0.2">
      <c r="X366" s="123"/>
      <c r="Y366" s="123"/>
    </row>
    <row r="367" spans="24:25" x14ac:dyDescent="0.2">
      <c r="X367" s="123"/>
      <c r="Y367" s="123"/>
    </row>
    <row r="368" spans="24:25" x14ac:dyDescent="0.2">
      <c r="X368" s="123"/>
      <c r="Y368" s="123"/>
    </row>
    <row r="369" spans="24:25" x14ac:dyDescent="0.2">
      <c r="X369" s="123"/>
      <c r="Y369" s="123"/>
    </row>
    <row r="370" spans="24:25" x14ac:dyDescent="0.2">
      <c r="X370" s="123"/>
      <c r="Y370" s="123"/>
    </row>
    <row r="371" spans="24:25" x14ac:dyDescent="0.2">
      <c r="X371" s="123"/>
      <c r="Y371" s="123"/>
    </row>
    <row r="372" spans="24:25" x14ac:dyDescent="0.2">
      <c r="X372" s="123"/>
      <c r="Y372" s="123"/>
    </row>
    <row r="373" spans="24:25" x14ac:dyDescent="0.2">
      <c r="X373" s="123"/>
      <c r="Y373" s="123"/>
    </row>
    <row r="374" spans="24:25" x14ac:dyDescent="0.2">
      <c r="X374" s="123"/>
      <c r="Y374" s="123"/>
    </row>
    <row r="375" spans="24:25" x14ac:dyDescent="0.2">
      <c r="X375" s="123"/>
      <c r="Y375" s="123"/>
    </row>
    <row r="376" spans="24:25" x14ac:dyDescent="0.2">
      <c r="X376" s="123"/>
      <c r="Y376" s="123"/>
    </row>
    <row r="377" spans="24:25" x14ac:dyDescent="0.2">
      <c r="X377" s="123"/>
      <c r="Y377" s="123"/>
    </row>
    <row r="378" spans="24:25" x14ac:dyDescent="0.2">
      <c r="X378" s="123"/>
      <c r="Y378" s="123"/>
    </row>
    <row r="379" spans="24:25" x14ac:dyDescent="0.2">
      <c r="X379" s="123"/>
      <c r="Y379" s="123"/>
    </row>
    <row r="380" spans="24:25" x14ac:dyDescent="0.2">
      <c r="X380" s="123"/>
      <c r="Y380" s="123"/>
    </row>
    <row r="381" spans="24:25" x14ac:dyDescent="0.2">
      <c r="X381" s="123"/>
      <c r="Y381" s="123"/>
    </row>
    <row r="382" spans="24:25" x14ac:dyDescent="0.2">
      <c r="X382" s="123"/>
      <c r="Y382" s="123"/>
    </row>
    <row r="383" spans="24:25" x14ac:dyDescent="0.2">
      <c r="X383" s="123"/>
      <c r="Y383" s="123"/>
    </row>
    <row r="384" spans="24:25" x14ac:dyDescent="0.2">
      <c r="X384" s="123"/>
      <c r="Y384" s="123"/>
    </row>
    <row r="385" spans="24:25" x14ac:dyDescent="0.2">
      <c r="X385" s="123"/>
      <c r="Y385" s="123"/>
    </row>
    <row r="386" spans="24:25" x14ac:dyDescent="0.2">
      <c r="X386" s="123"/>
      <c r="Y386" s="123"/>
    </row>
    <row r="387" spans="24:25" x14ac:dyDescent="0.2">
      <c r="X387" s="123"/>
      <c r="Y387" s="123"/>
    </row>
    <row r="388" spans="24:25" x14ac:dyDescent="0.2">
      <c r="X388" s="123"/>
      <c r="Y388" s="123"/>
    </row>
    <row r="389" spans="24:25" x14ac:dyDescent="0.2">
      <c r="X389" s="123"/>
      <c r="Y389" s="123"/>
    </row>
    <row r="390" spans="24:25" x14ac:dyDescent="0.2">
      <c r="X390" s="123"/>
      <c r="Y390" s="123"/>
    </row>
    <row r="391" spans="24:25" x14ac:dyDescent="0.2">
      <c r="X391" s="123"/>
      <c r="Y391" s="123"/>
    </row>
    <row r="392" spans="24:25" x14ac:dyDescent="0.2">
      <c r="X392" s="123"/>
      <c r="Y392" s="123"/>
    </row>
    <row r="393" spans="24:25" x14ac:dyDescent="0.2">
      <c r="X393" s="123"/>
      <c r="Y393" s="123"/>
    </row>
    <row r="394" spans="24:25" x14ac:dyDescent="0.2">
      <c r="X394" s="123"/>
      <c r="Y394" s="123"/>
    </row>
    <row r="395" spans="24:25" x14ac:dyDescent="0.2">
      <c r="X395" s="123"/>
      <c r="Y395" s="123"/>
    </row>
    <row r="396" spans="24:25" x14ac:dyDescent="0.2">
      <c r="X396" s="123"/>
      <c r="Y396" s="123"/>
    </row>
    <row r="397" spans="24:25" x14ac:dyDescent="0.2">
      <c r="X397" s="123"/>
      <c r="Y397" s="123"/>
    </row>
    <row r="398" spans="24:25" x14ac:dyDescent="0.2">
      <c r="X398" s="123"/>
      <c r="Y398" s="123"/>
    </row>
    <row r="399" spans="24:25" x14ac:dyDescent="0.2">
      <c r="X399" s="123"/>
      <c r="Y399" s="123"/>
    </row>
    <row r="400" spans="24:25" x14ac:dyDescent="0.2">
      <c r="X400" s="123"/>
      <c r="Y400" s="123"/>
    </row>
    <row r="401" spans="24:25" x14ac:dyDescent="0.2">
      <c r="X401" s="123"/>
      <c r="Y401" s="123"/>
    </row>
    <row r="402" spans="24:25" x14ac:dyDescent="0.2">
      <c r="X402" s="123"/>
      <c r="Y402" s="123"/>
    </row>
    <row r="403" spans="24:25" x14ac:dyDescent="0.2">
      <c r="X403" s="123"/>
      <c r="Y403" s="123"/>
    </row>
    <row r="404" spans="24:25" x14ac:dyDescent="0.2">
      <c r="X404" s="123"/>
      <c r="Y404" s="123"/>
    </row>
    <row r="405" spans="24:25" x14ac:dyDescent="0.2">
      <c r="X405" s="123"/>
      <c r="Y405" s="123"/>
    </row>
    <row r="406" spans="24:25" x14ac:dyDescent="0.2">
      <c r="X406" s="123"/>
      <c r="Y406" s="123"/>
    </row>
    <row r="407" spans="24:25" x14ac:dyDescent="0.2">
      <c r="X407" s="123"/>
      <c r="Y407" s="123"/>
    </row>
    <row r="408" spans="24:25" x14ac:dyDescent="0.2">
      <c r="X408" s="123"/>
      <c r="Y408" s="123"/>
    </row>
    <row r="409" spans="24:25" x14ac:dyDescent="0.2">
      <c r="X409" s="123"/>
      <c r="Y409" s="123"/>
    </row>
    <row r="410" spans="24:25" x14ac:dyDescent="0.2">
      <c r="X410" s="123"/>
      <c r="Y410" s="123"/>
    </row>
    <row r="411" spans="24:25" x14ac:dyDescent="0.2">
      <c r="X411" s="123"/>
      <c r="Y411" s="123"/>
    </row>
    <row r="412" spans="24:25" x14ac:dyDescent="0.2">
      <c r="X412" s="123"/>
      <c r="Y412" s="123"/>
    </row>
    <row r="413" spans="24:25" x14ac:dyDescent="0.2">
      <c r="X413" s="123"/>
      <c r="Y413" s="123"/>
    </row>
    <row r="414" spans="24:25" x14ac:dyDescent="0.2">
      <c r="X414" s="123"/>
      <c r="Y414" s="123"/>
    </row>
    <row r="415" spans="24:25" x14ac:dyDescent="0.2">
      <c r="X415" s="123"/>
      <c r="Y415" s="123"/>
    </row>
    <row r="416" spans="24:25" x14ac:dyDescent="0.2">
      <c r="X416" s="123"/>
      <c r="Y416" s="123"/>
    </row>
    <row r="417" spans="24:25" x14ac:dyDescent="0.2">
      <c r="X417" s="123"/>
      <c r="Y417" s="123"/>
    </row>
    <row r="418" spans="24:25" x14ac:dyDescent="0.2">
      <c r="X418" s="123"/>
      <c r="Y418" s="123"/>
    </row>
    <row r="419" spans="24:25" x14ac:dyDescent="0.2">
      <c r="X419" s="123"/>
      <c r="Y419" s="123"/>
    </row>
    <row r="420" spans="24:25" x14ac:dyDescent="0.2">
      <c r="X420" s="123"/>
      <c r="Y420" s="123"/>
    </row>
    <row r="421" spans="24:25" x14ac:dyDescent="0.2">
      <c r="X421" s="123"/>
      <c r="Y421" s="123"/>
    </row>
    <row r="422" spans="24:25" x14ac:dyDescent="0.2">
      <c r="X422" s="123"/>
      <c r="Y422" s="123"/>
    </row>
    <row r="423" spans="24:25" x14ac:dyDescent="0.2">
      <c r="X423" s="123"/>
      <c r="Y423" s="123"/>
    </row>
    <row r="424" spans="24:25" x14ac:dyDescent="0.2">
      <c r="X424" s="123"/>
      <c r="Y424" s="123"/>
    </row>
    <row r="425" spans="24:25" x14ac:dyDescent="0.2">
      <c r="X425" s="123"/>
      <c r="Y425" s="123"/>
    </row>
    <row r="426" spans="24:25" x14ac:dyDescent="0.2">
      <c r="X426" s="123"/>
      <c r="Y426" s="123"/>
    </row>
    <row r="427" spans="24:25" x14ac:dyDescent="0.2">
      <c r="X427" s="123"/>
      <c r="Y427" s="123"/>
    </row>
    <row r="428" spans="24:25" x14ac:dyDescent="0.2">
      <c r="X428" s="123"/>
      <c r="Y428" s="123"/>
    </row>
    <row r="429" spans="24:25" x14ac:dyDescent="0.2">
      <c r="X429" s="123"/>
      <c r="Y429" s="123"/>
    </row>
    <row r="430" spans="24:25" x14ac:dyDescent="0.2">
      <c r="X430" s="123"/>
      <c r="Y430" s="123"/>
    </row>
    <row r="431" spans="24:25" x14ac:dyDescent="0.2">
      <c r="X431" s="123"/>
      <c r="Y431" s="123"/>
    </row>
    <row r="432" spans="24:25" x14ac:dyDescent="0.2">
      <c r="X432" s="123"/>
      <c r="Y432" s="123"/>
    </row>
    <row r="433" spans="24:25" x14ac:dyDescent="0.2">
      <c r="X433" s="123"/>
      <c r="Y433" s="123"/>
    </row>
    <row r="434" spans="24:25" x14ac:dyDescent="0.2">
      <c r="X434" s="123"/>
      <c r="Y434" s="123"/>
    </row>
    <row r="435" spans="24:25" x14ac:dyDescent="0.2">
      <c r="X435" s="123"/>
      <c r="Y435" s="123"/>
    </row>
    <row r="436" spans="24:25" x14ac:dyDescent="0.2">
      <c r="X436" s="123"/>
      <c r="Y436" s="123"/>
    </row>
    <row r="437" spans="24:25" x14ac:dyDescent="0.2">
      <c r="X437" s="123"/>
      <c r="Y437" s="123"/>
    </row>
    <row r="438" spans="24:25" x14ac:dyDescent="0.2">
      <c r="X438" s="123"/>
      <c r="Y438" s="123"/>
    </row>
    <row r="439" spans="24:25" x14ac:dyDescent="0.2">
      <c r="X439" s="123"/>
      <c r="Y439" s="123"/>
    </row>
    <row r="440" spans="24:25" x14ac:dyDescent="0.2">
      <c r="X440" s="123"/>
      <c r="Y440" s="123"/>
    </row>
    <row r="441" spans="24:25" x14ac:dyDescent="0.2">
      <c r="X441" s="123"/>
      <c r="Y441" s="123"/>
    </row>
    <row r="442" spans="24:25" x14ac:dyDescent="0.2">
      <c r="X442" s="123"/>
      <c r="Y442" s="123"/>
    </row>
    <row r="443" spans="24:25" x14ac:dyDescent="0.2">
      <c r="X443" s="123"/>
      <c r="Y443" s="123"/>
    </row>
    <row r="444" spans="24:25" x14ac:dyDescent="0.2">
      <c r="X444" s="123"/>
      <c r="Y444" s="123"/>
    </row>
    <row r="445" spans="24:25" x14ac:dyDescent="0.2">
      <c r="X445" s="123"/>
      <c r="Y445" s="123"/>
    </row>
    <row r="446" spans="24:25" x14ac:dyDescent="0.2">
      <c r="X446" s="123"/>
      <c r="Y446" s="123"/>
    </row>
    <row r="447" spans="24:25" x14ac:dyDescent="0.2">
      <c r="X447" s="123"/>
      <c r="Y447" s="123"/>
    </row>
    <row r="448" spans="24:25" x14ac:dyDescent="0.2">
      <c r="X448" s="123"/>
      <c r="Y448" s="123"/>
    </row>
    <row r="449" spans="24:25" x14ac:dyDescent="0.2">
      <c r="X449" s="123"/>
      <c r="Y449" s="123"/>
    </row>
    <row r="450" spans="24:25" x14ac:dyDescent="0.2">
      <c r="X450" s="123"/>
      <c r="Y450" s="123"/>
    </row>
    <row r="451" spans="24:25" x14ac:dyDescent="0.2">
      <c r="X451" s="123"/>
      <c r="Y451" s="123"/>
    </row>
    <row r="452" spans="24:25" x14ac:dyDescent="0.2">
      <c r="X452" s="123"/>
      <c r="Y452" s="123"/>
    </row>
    <row r="453" spans="24:25" x14ac:dyDescent="0.2">
      <c r="X453" s="123"/>
      <c r="Y453" s="123"/>
    </row>
    <row r="454" spans="24:25" x14ac:dyDescent="0.2">
      <c r="X454" s="123"/>
      <c r="Y454" s="123"/>
    </row>
    <row r="455" spans="24:25" x14ac:dyDescent="0.2">
      <c r="X455" s="123"/>
      <c r="Y455" s="123"/>
    </row>
    <row r="456" spans="24:25" x14ac:dyDescent="0.2">
      <c r="X456" s="123"/>
      <c r="Y456" s="123"/>
    </row>
    <row r="457" spans="24:25" x14ac:dyDescent="0.2">
      <c r="X457" s="123"/>
      <c r="Y457" s="123"/>
    </row>
    <row r="458" spans="24:25" x14ac:dyDescent="0.2">
      <c r="X458" s="123"/>
      <c r="Y458" s="123"/>
    </row>
    <row r="459" spans="24:25" x14ac:dyDescent="0.2">
      <c r="X459" s="123"/>
      <c r="Y459" s="123"/>
    </row>
    <row r="460" spans="24:25" x14ac:dyDescent="0.2">
      <c r="X460" s="123"/>
      <c r="Y460" s="123"/>
    </row>
    <row r="461" spans="24:25" x14ac:dyDescent="0.2">
      <c r="X461" s="123"/>
      <c r="Y461" s="123"/>
    </row>
    <row r="462" spans="24:25" x14ac:dyDescent="0.2">
      <c r="X462" s="123"/>
      <c r="Y462" s="123"/>
    </row>
    <row r="463" spans="24:25" x14ac:dyDescent="0.2">
      <c r="X463" s="123"/>
      <c r="Y463" s="123"/>
    </row>
    <row r="464" spans="24:25" x14ac:dyDescent="0.2">
      <c r="X464" s="123"/>
      <c r="Y464" s="123"/>
    </row>
    <row r="465" spans="24:25" x14ac:dyDescent="0.2">
      <c r="X465" s="123"/>
      <c r="Y465" s="123"/>
    </row>
    <row r="466" spans="24:25" x14ac:dyDescent="0.2">
      <c r="X466" s="123"/>
      <c r="Y466" s="123"/>
    </row>
    <row r="467" spans="24:25" x14ac:dyDescent="0.2">
      <c r="X467" s="123"/>
      <c r="Y467" s="123"/>
    </row>
    <row r="468" spans="24:25" x14ac:dyDescent="0.2">
      <c r="X468" s="123"/>
      <c r="Y468" s="123"/>
    </row>
    <row r="469" spans="24:25" x14ac:dyDescent="0.2">
      <c r="X469" s="123"/>
      <c r="Y469" s="123"/>
    </row>
    <row r="470" spans="24:25" x14ac:dyDescent="0.2">
      <c r="X470" s="123"/>
      <c r="Y470" s="123"/>
    </row>
    <row r="471" spans="24:25" x14ac:dyDescent="0.2">
      <c r="X471" s="123"/>
      <c r="Y471" s="123"/>
    </row>
    <row r="472" spans="24:25" x14ac:dyDescent="0.2">
      <c r="X472" s="123"/>
      <c r="Y472" s="123"/>
    </row>
    <row r="473" spans="24:25" x14ac:dyDescent="0.2">
      <c r="X473" s="123"/>
      <c r="Y473" s="123"/>
    </row>
    <row r="474" spans="24:25" x14ac:dyDescent="0.2">
      <c r="X474" s="123"/>
      <c r="Y474" s="123"/>
    </row>
    <row r="475" spans="24:25" x14ac:dyDescent="0.2">
      <c r="X475" s="123"/>
      <c r="Y475" s="123"/>
    </row>
    <row r="476" spans="24:25" x14ac:dyDescent="0.2">
      <c r="X476" s="123"/>
      <c r="Y476" s="123"/>
    </row>
    <row r="477" spans="24:25" x14ac:dyDescent="0.2">
      <c r="X477" s="123"/>
      <c r="Y477" s="123"/>
    </row>
    <row r="478" spans="24:25" x14ac:dyDescent="0.2">
      <c r="X478" s="123"/>
      <c r="Y478" s="123"/>
    </row>
    <row r="479" spans="24:25" x14ac:dyDescent="0.2">
      <c r="X479" s="123"/>
      <c r="Y479" s="123"/>
    </row>
    <row r="480" spans="24:25" x14ac:dyDescent="0.2">
      <c r="X480" s="123"/>
      <c r="Y480" s="123"/>
    </row>
    <row r="481" spans="24:25" x14ac:dyDescent="0.2">
      <c r="X481" s="123"/>
      <c r="Y481" s="123"/>
    </row>
    <row r="482" spans="24:25" x14ac:dyDescent="0.2">
      <c r="X482" s="123"/>
      <c r="Y482" s="123"/>
    </row>
    <row r="483" spans="24:25" x14ac:dyDescent="0.2">
      <c r="X483" s="123"/>
      <c r="Y483" s="123"/>
    </row>
    <row r="484" spans="24:25" x14ac:dyDescent="0.2">
      <c r="X484" s="123"/>
      <c r="Y484" s="123"/>
    </row>
    <row r="485" spans="24:25" x14ac:dyDescent="0.2">
      <c r="X485" s="123"/>
      <c r="Y485" s="123"/>
    </row>
    <row r="486" spans="24:25" x14ac:dyDescent="0.2">
      <c r="X486" s="123"/>
      <c r="Y486" s="123"/>
    </row>
    <row r="487" spans="24:25" x14ac:dyDescent="0.2">
      <c r="X487" s="123"/>
      <c r="Y487" s="123"/>
    </row>
    <row r="488" spans="24:25" x14ac:dyDescent="0.2">
      <c r="X488" s="123"/>
      <c r="Y488" s="123"/>
    </row>
    <row r="489" spans="24:25" x14ac:dyDescent="0.2">
      <c r="X489" s="123"/>
      <c r="Y489" s="123"/>
    </row>
    <row r="490" spans="24:25" x14ac:dyDescent="0.2">
      <c r="X490" s="123"/>
      <c r="Y490" s="123"/>
    </row>
    <row r="491" spans="24:25" x14ac:dyDescent="0.2">
      <c r="X491" s="123"/>
      <c r="Y491" s="123"/>
    </row>
    <row r="492" spans="24:25" x14ac:dyDescent="0.2">
      <c r="X492" s="123"/>
      <c r="Y492" s="123"/>
    </row>
    <row r="493" spans="24:25" x14ac:dyDescent="0.2">
      <c r="X493" s="123"/>
      <c r="Y493" s="123"/>
    </row>
    <row r="494" spans="24:25" x14ac:dyDescent="0.2">
      <c r="X494" s="123"/>
      <c r="Y494" s="123"/>
    </row>
    <row r="495" spans="24:25" x14ac:dyDescent="0.2">
      <c r="X495" s="123"/>
      <c r="Y495" s="123"/>
    </row>
    <row r="496" spans="24:25" x14ac:dyDescent="0.2">
      <c r="X496" s="123"/>
      <c r="Y496" s="123"/>
    </row>
    <row r="497" spans="24:25" x14ac:dyDescent="0.2">
      <c r="X497" s="123"/>
      <c r="Y497" s="123"/>
    </row>
    <row r="498" spans="24:25" x14ac:dyDescent="0.2">
      <c r="X498" s="123"/>
      <c r="Y498" s="123"/>
    </row>
    <row r="499" spans="24:25" x14ac:dyDescent="0.2">
      <c r="X499" s="123"/>
      <c r="Y499" s="123"/>
    </row>
    <row r="500" spans="24:25" x14ac:dyDescent="0.2">
      <c r="X500" s="123"/>
      <c r="Y500" s="123"/>
    </row>
    <row r="501" spans="24:25" x14ac:dyDescent="0.2">
      <c r="X501" s="123"/>
      <c r="Y501" s="123"/>
    </row>
    <row r="502" spans="24:25" x14ac:dyDescent="0.2">
      <c r="X502" s="123"/>
      <c r="Y502" s="123"/>
    </row>
    <row r="503" spans="24:25" x14ac:dyDescent="0.2">
      <c r="X503" s="123"/>
      <c r="Y503" s="123"/>
    </row>
    <row r="504" spans="24:25" x14ac:dyDescent="0.2">
      <c r="X504" s="123"/>
      <c r="Y504" s="123"/>
    </row>
    <row r="505" spans="24:25" x14ac:dyDescent="0.2">
      <c r="X505" s="123"/>
      <c r="Y505" s="123"/>
    </row>
    <row r="506" spans="24:25" x14ac:dyDescent="0.2">
      <c r="X506" s="123"/>
      <c r="Y506" s="123"/>
    </row>
    <row r="507" spans="24:25" x14ac:dyDescent="0.2">
      <c r="X507" s="123"/>
      <c r="Y507" s="123"/>
    </row>
    <row r="508" spans="24:25" x14ac:dyDescent="0.2">
      <c r="X508" s="123"/>
      <c r="Y508" s="123"/>
    </row>
    <row r="509" spans="24:25" x14ac:dyDescent="0.2">
      <c r="X509" s="123"/>
      <c r="Y509" s="123"/>
    </row>
    <row r="510" spans="24:25" x14ac:dyDescent="0.2">
      <c r="X510" s="123"/>
      <c r="Y510" s="123"/>
    </row>
    <row r="511" spans="24:25" x14ac:dyDescent="0.2">
      <c r="X511" s="123"/>
      <c r="Y511" s="123"/>
    </row>
    <row r="512" spans="24:25" x14ac:dyDescent="0.2">
      <c r="X512" s="123"/>
      <c r="Y512" s="123"/>
    </row>
    <row r="513" spans="24:25" x14ac:dyDescent="0.2">
      <c r="X513" s="123"/>
      <c r="Y513" s="123"/>
    </row>
    <row r="514" spans="24:25" x14ac:dyDescent="0.2">
      <c r="X514" s="123"/>
      <c r="Y514" s="123"/>
    </row>
    <row r="515" spans="24:25" x14ac:dyDescent="0.2">
      <c r="X515" s="123"/>
      <c r="Y515" s="123"/>
    </row>
    <row r="516" spans="24:25" x14ac:dyDescent="0.2">
      <c r="X516" s="123"/>
      <c r="Y516" s="123"/>
    </row>
    <row r="517" spans="24:25" x14ac:dyDescent="0.2">
      <c r="X517" s="123"/>
      <c r="Y517" s="123"/>
    </row>
    <row r="518" spans="24:25" x14ac:dyDescent="0.2">
      <c r="X518" s="123"/>
      <c r="Y518" s="123"/>
    </row>
    <row r="519" spans="24:25" x14ac:dyDescent="0.2">
      <c r="X519" s="123"/>
      <c r="Y519" s="123"/>
    </row>
    <row r="520" spans="24:25" x14ac:dyDescent="0.2">
      <c r="X520" s="123"/>
      <c r="Y520" s="123"/>
    </row>
    <row r="521" spans="24:25" x14ac:dyDescent="0.2">
      <c r="X521" s="123"/>
      <c r="Y521" s="123"/>
    </row>
    <row r="522" spans="24:25" x14ac:dyDescent="0.2">
      <c r="X522" s="123"/>
      <c r="Y522" s="123"/>
    </row>
    <row r="523" spans="24:25" x14ac:dyDescent="0.2">
      <c r="X523" s="123"/>
      <c r="Y523" s="123"/>
    </row>
    <row r="524" spans="24:25" x14ac:dyDescent="0.2">
      <c r="X524" s="123"/>
      <c r="Y524" s="123"/>
    </row>
    <row r="525" spans="24:25" x14ac:dyDescent="0.2">
      <c r="X525" s="123"/>
      <c r="Y525" s="123"/>
    </row>
    <row r="526" spans="24:25" x14ac:dyDescent="0.2">
      <c r="X526" s="123"/>
      <c r="Y526" s="123"/>
    </row>
    <row r="527" spans="24:25" x14ac:dyDescent="0.2">
      <c r="X527" s="123"/>
      <c r="Y527" s="123"/>
    </row>
    <row r="528" spans="24:25" x14ac:dyDescent="0.2">
      <c r="X528" s="123"/>
      <c r="Y528" s="123"/>
    </row>
    <row r="529" spans="24:25" x14ac:dyDescent="0.2">
      <c r="X529" s="123"/>
      <c r="Y529" s="123"/>
    </row>
    <row r="530" spans="24:25" x14ac:dyDescent="0.2">
      <c r="X530" s="123"/>
      <c r="Y530" s="123"/>
    </row>
    <row r="531" spans="24:25" x14ac:dyDescent="0.2">
      <c r="X531" s="123"/>
      <c r="Y531" s="123"/>
    </row>
    <row r="532" spans="24:25" x14ac:dyDescent="0.2">
      <c r="X532" s="123"/>
      <c r="Y532" s="123"/>
    </row>
    <row r="533" spans="24:25" x14ac:dyDescent="0.2">
      <c r="X533" s="123"/>
      <c r="Y533" s="123"/>
    </row>
    <row r="534" spans="24:25" x14ac:dyDescent="0.2">
      <c r="X534" s="123"/>
      <c r="Y534" s="123"/>
    </row>
    <row r="535" spans="24:25" x14ac:dyDescent="0.2">
      <c r="X535" s="123"/>
      <c r="Y535" s="123"/>
    </row>
    <row r="536" spans="24:25" x14ac:dyDescent="0.2">
      <c r="X536" s="123"/>
      <c r="Y536" s="123"/>
    </row>
    <row r="537" spans="24:25" x14ac:dyDescent="0.2">
      <c r="X537" s="123"/>
      <c r="Y537" s="123"/>
    </row>
    <row r="538" spans="24:25" x14ac:dyDescent="0.2">
      <c r="X538" s="123"/>
      <c r="Y538" s="123"/>
    </row>
    <row r="539" spans="24:25" x14ac:dyDescent="0.2">
      <c r="X539" s="123"/>
      <c r="Y539" s="123"/>
    </row>
    <row r="540" spans="24:25" x14ac:dyDescent="0.2">
      <c r="X540" s="123"/>
      <c r="Y540" s="123"/>
    </row>
    <row r="541" spans="24:25" x14ac:dyDescent="0.2">
      <c r="X541" s="123"/>
      <c r="Y541" s="123"/>
    </row>
    <row r="542" spans="24:25" x14ac:dyDescent="0.2">
      <c r="X542" s="123"/>
      <c r="Y542" s="123"/>
    </row>
    <row r="543" spans="24:25" x14ac:dyDescent="0.2">
      <c r="X543" s="123"/>
      <c r="Y543" s="123"/>
    </row>
    <row r="544" spans="24:25" x14ac:dyDescent="0.2">
      <c r="X544" s="123"/>
      <c r="Y544" s="123"/>
    </row>
    <row r="545" spans="24:25" x14ac:dyDescent="0.2">
      <c r="X545" s="123"/>
      <c r="Y545" s="123"/>
    </row>
    <row r="546" spans="24:25" x14ac:dyDescent="0.2">
      <c r="X546" s="123"/>
      <c r="Y546" s="123"/>
    </row>
    <row r="547" spans="24:25" x14ac:dyDescent="0.2">
      <c r="X547" s="123"/>
      <c r="Y547" s="123"/>
    </row>
    <row r="548" spans="24:25" x14ac:dyDescent="0.2">
      <c r="X548" s="123"/>
      <c r="Y548" s="123"/>
    </row>
    <row r="549" spans="24:25" x14ac:dyDescent="0.2">
      <c r="X549" s="123"/>
      <c r="Y549" s="123"/>
    </row>
    <row r="550" spans="24:25" x14ac:dyDescent="0.2">
      <c r="X550" s="123"/>
      <c r="Y550" s="123"/>
    </row>
    <row r="551" spans="24:25" x14ac:dyDescent="0.2">
      <c r="X551" s="123"/>
      <c r="Y551" s="123"/>
    </row>
    <row r="552" spans="24:25" x14ac:dyDescent="0.2">
      <c r="X552" s="123"/>
      <c r="Y552" s="123"/>
    </row>
    <row r="553" spans="24:25" x14ac:dyDescent="0.2">
      <c r="X553" s="123"/>
      <c r="Y553" s="123"/>
    </row>
    <row r="554" spans="24:25" x14ac:dyDescent="0.2">
      <c r="X554" s="123"/>
      <c r="Y554" s="123"/>
    </row>
    <row r="555" spans="24:25" x14ac:dyDescent="0.2">
      <c r="X555" s="123"/>
      <c r="Y555" s="123"/>
    </row>
    <row r="556" spans="24:25" x14ac:dyDescent="0.2">
      <c r="X556" s="123"/>
      <c r="Y556" s="123"/>
    </row>
    <row r="557" spans="24:25" x14ac:dyDescent="0.2">
      <c r="X557" s="123"/>
      <c r="Y557" s="123"/>
    </row>
    <row r="558" spans="24:25" x14ac:dyDescent="0.2">
      <c r="X558" s="123"/>
      <c r="Y558" s="123"/>
    </row>
    <row r="559" spans="24:25" x14ac:dyDescent="0.2">
      <c r="X559" s="123"/>
      <c r="Y559" s="123"/>
    </row>
    <row r="560" spans="24:25" x14ac:dyDescent="0.2">
      <c r="X560" s="123"/>
      <c r="Y560" s="123"/>
    </row>
    <row r="561" spans="24:25" x14ac:dyDescent="0.2">
      <c r="X561" s="123"/>
      <c r="Y561" s="123"/>
    </row>
    <row r="562" spans="24:25" x14ac:dyDescent="0.2">
      <c r="X562" s="123"/>
      <c r="Y562" s="123"/>
    </row>
    <row r="563" spans="24:25" x14ac:dyDescent="0.2">
      <c r="X563" s="123"/>
      <c r="Y563" s="123"/>
    </row>
    <row r="564" spans="24:25" x14ac:dyDescent="0.2">
      <c r="X564" s="123"/>
      <c r="Y564" s="123"/>
    </row>
    <row r="565" spans="24:25" x14ac:dyDescent="0.2">
      <c r="X565" s="123"/>
      <c r="Y565" s="123"/>
    </row>
    <row r="566" spans="24:25" x14ac:dyDescent="0.2">
      <c r="X566" s="123"/>
      <c r="Y566" s="123"/>
    </row>
    <row r="567" spans="24:25" x14ac:dyDescent="0.2">
      <c r="X567" s="123"/>
      <c r="Y567" s="123"/>
    </row>
    <row r="568" spans="24:25" x14ac:dyDescent="0.2">
      <c r="X568" s="123"/>
      <c r="Y568" s="123"/>
    </row>
    <row r="569" spans="24:25" x14ac:dyDescent="0.2">
      <c r="X569" s="123"/>
      <c r="Y569" s="123"/>
    </row>
    <row r="570" spans="24:25" x14ac:dyDescent="0.2">
      <c r="X570" s="123"/>
      <c r="Y570" s="123"/>
    </row>
    <row r="571" spans="24:25" x14ac:dyDescent="0.2">
      <c r="X571" s="123"/>
      <c r="Y571" s="123"/>
    </row>
    <row r="572" spans="24:25" x14ac:dyDescent="0.2">
      <c r="X572" s="123"/>
      <c r="Y572" s="123"/>
    </row>
    <row r="573" spans="24:25" x14ac:dyDescent="0.2">
      <c r="X573" s="123"/>
      <c r="Y573" s="123"/>
    </row>
    <row r="574" spans="24:25" x14ac:dyDescent="0.2">
      <c r="X574" s="123"/>
      <c r="Y574" s="123"/>
    </row>
    <row r="575" spans="24:25" x14ac:dyDescent="0.2">
      <c r="X575" s="123"/>
      <c r="Y575" s="123"/>
    </row>
    <row r="576" spans="24:25" x14ac:dyDescent="0.2">
      <c r="X576" s="123"/>
      <c r="Y576" s="123"/>
    </row>
    <row r="577" spans="24:25" x14ac:dyDescent="0.2">
      <c r="X577" s="123"/>
      <c r="Y577" s="123"/>
    </row>
    <row r="578" spans="24:25" x14ac:dyDescent="0.2">
      <c r="X578" s="123"/>
      <c r="Y578" s="123"/>
    </row>
    <row r="579" spans="24:25" x14ac:dyDescent="0.2">
      <c r="X579" s="123"/>
      <c r="Y579" s="123"/>
    </row>
    <row r="580" spans="24:25" x14ac:dyDescent="0.2">
      <c r="X580" s="123"/>
      <c r="Y580" s="123"/>
    </row>
    <row r="581" spans="24:25" x14ac:dyDescent="0.2">
      <c r="X581" s="123"/>
      <c r="Y581" s="123"/>
    </row>
    <row r="582" spans="24:25" x14ac:dyDescent="0.2">
      <c r="X582" s="123"/>
      <c r="Y582" s="123"/>
    </row>
    <row r="583" spans="24:25" x14ac:dyDescent="0.2">
      <c r="X583" s="123"/>
      <c r="Y583" s="123"/>
    </row>
    <row r="584" spans="24:25" x14ac:dyDescent="0.2">
      <c r="X584" s="123"/>
      <c r="Y584" s="123"/>
    </row>
    <row r="585" spans="24:25" x14ac:dyDescent="0.2">
      <c r="X585" s="123"/>
      <c r="Y585" s="123"/>
    </row>
    <row r="586" spans="24:25" x14ac:dyDescent="0.2">
      <c r="X586" s="123"/>
      <c r="Y586" s="123"/>
    </row>
    <row r="587" spans="24:25" x14ac:dyDescent="0.2">
      <c r="X587" s="123"/>
      <c r="Y587" s="123"/>
    </row>
    <row r="588" spans="24:25" x14ac:dyDescent="0.2">
      <c r="X588" s="123"/>
      <c r="Y588" s="123"/>
    </row>
    <row r="589" spans="24:25" x14ac:dyDescent="0.2">
      <c r="X589" s="123"/>
      <c r="Y589" s="123"/>
    </row>
    <row r="590" spans="24:25" x14ac:dyDescent="0.2">
      <c r="X590" s="123"/>
      <c r="Y590" s="123"/>
    </row>
    <row r="591" spans="24:25" x14ac:dyDescent="0.2">
      <c r="X591" s="123"/>
      <c r="Y591" s="123"/>
    </row>
    <row r="592" spans="24:25" x14ac:dyDescent="0.2">
      <c r="X592" s="123"/>
      <c r="Y592" s="123"/>
    </row>
    <row r="593" spans="24:25" x14ac:dyDescent="0.2">
      <c r="X593" s="123"/>
      <c r="Y593" s="123"/>
    </row>
    <row r="594" spans="24:25" x14ac:dyDescent="0.2">
      <c r="X594" s="123"/>
      <c r="Y594" s="123"/>
    </row>
    <row r="595" spans="24:25" x14ac:dyDescent="0.2">
      <c r="X595" s="123"/>
      <c r="Y595" s="123"/>
    </row>
    <row r="596" spans="24:25" x14ac:dyDescent="0.2">
      <c r="X596" s="123"/>
      <c r="Y596" s="123"/>
    </row>
    <row r="597" spans="24:25" x14ac:dyDescent="0.2">
      <c r="X597" s="123"/>
      <c r="Y597" s="123"/>
    </row>
    <row r="598" spans="24:25" x14ac:dyDescent="0.2">
      <c r="X598" s="123"/>
      <c r="Y598" s="123"/>
    </row>
    <row r="599" spans="24:25" x14ac:dyDescent="0.2">
      <c r="X599" s="123"/>
      <c r="Y599" s="123"/>
    </row>
    <row r="600" spans="24:25" x14ac:dyDescent="0.2">
      <c r="X600" s="123"/>
      <c r="Y600" s="123"/>
    </row>
    <row r="601" spans="24:25" x14ac:dyDescent="0.2">
      <c r="X601" s="123"/>
      <c r="Y601" s="123"/>
    </row>
    <row r="602" spans="24:25" x14ac:dyDescent="0.2">
      <c r="X602" s="123"/>
      <c r="Y602" s="123"/>
    </row>
    <row r="603" spans="24:25" x14ac:dyDescent="0.2">
      <c r="X603" s="123"/>
      <c r="Y603" s="123"/>
    </row>
    <row r="604" spans="24:25" x14ac:dyDescent="0.2">
      <c r="X604" s="123"/>
      <c r="Y604" s="123"/>
    </row>
    <row r="605" spans="24:25" x14ac:dyDescent="0.2">
      <c r="X605" s="123"/>
      <c r="Y605" s="123"/>
    </row>
    <row r="606" spans="24:25" x14ac:dyDescent="0.2">
      <c r="X606" s="123"/>
      <c r="Y606" s="123"/>
    </row>
    <row r="607" spans="24:25" x14ac:dyDescent="0.2">
      <c r="X607" s="123"/>
      <c r="Y607" s="123"/>
    </row>
    <row r="608" spans="24:25" x14ac:dyDescent="0.2">
      <c r="X608" s="123"/>
      <c r="Y608" s="123"/>
    </row>
    <row r="609" spans="24:25" x14ac:dyDescent="0.2">
      <c r="X609" s="123"/>
      <c r="Y609" s="123"/>
    </row>
    <row r="610" spans="24:25" x14ac:dyDescent="0.2">
      <c r="X610" s="123"/>
      <c r="Y610" s="123"/>
    </row>
    <row r="611" spans="24:25" x14ac:dyDescent="0.2">
      <c r="X611" s="123"/>
      <c r="Y611" s="123"/>
    </row>
    <row r="612" spans="24:25" x14ac:dyDescent="0.2">
      <c r="X612" s="123"/>
      <c r="Y612" s="123"/>
    </row>
    <row r="613" spans="24:25" x14ac:dyDescent="0.2">
      <c r="X613" s="123"/>
      <c r="Y613" s="123"/>
    </row>
    <row r="614" spans="24:25" x14ac:dyDescent="0.2">
      <c r="X614" s="123"/>
      <c r="Y614" s="123"/>
    </row>
    <row r="615" spans="24:25" x14ac:dyDescent="0.2">
      <c r="X615" s="123"/>
      <c r="Y615" s="123"/>
    </row>
    <row r="616" spans="24:25" x14ac:dyDescent="0.2">
      <c r="X616" s="123"/>
      <c r="Y616" s="123"/>
    </row>
    <row r="617" spans="24:25" x14ac:dyDescent="0.2">
      <c r="X617" s="123"/>
      <c r="Y617" s="123"/>
    </row>
    <row r="618" spans="24:25" x14ac:dyDescent="0.2">
      <c r="X618" s="123"/>
      <c r="Y618" s="123"/>
    </row>
    <row r="619" spans="24:25" x14ac:dyDescent="0.2">
      <c r="X619" s="123"/>
      <c r="Y619" s="123"/>
    </row>
    <row r="620" spans="24:25" x14ac:dyDescent="0.2">
      <c r="X620" s="123"/>
      <c r="Y620" s="123"/>
    </row>
    <row r="621" spans="24:25" x14ac:dyDescent="0.2">
      <c r="X621" s="123"/>
      <c r="Y621" s="123"/>
    </row>
    <row r="622" spans="24:25" x14ac:dyDescent="0.2">
      <c r="X622" s="123"/>
      <c r="Y622" s="123"/>
    </row>
    <row r="623" spans="24:25" x14ac:dyDescent="0.2">
      <c r="X623" s="123"/>
      <c r="Y623" s="123"/>
    </row>
    <row r="624" spans="24:25" x14ac:dyDescent="0.2">
      <c r="X624" s="123"/>
      <c r="Y624" s="123"/>
    </row>
    <row r="625" spans="24:25" x14ac:dyDescent="0.2">
      <c r="X625" s="123"/>
      <c r="Y625" s="123"/>
    </row>
    <row r="626" spans="24:25" x14ac:dyDescent="0.2">
      <c r="X626" s="123"/>
      <c r="Y626" s="123"/>
    </row>
    <row r="627" spans="24:25" x14ac:dyDescent="0.2">
      <c r="X627" s="123"/>
      <c r="Y627" s="123"/>
    </row>
    <row r="628" spans="24:25" x14ac:dyDescent="0.2">
      <c r="X628" s="123"/>
      <c r="Y628" s="123"/>
    </row>
    <row r="629" spans="24:25" x14ac:dyDescent="0.2">
      <c r="X629" s="123"/>
      <c r="Y629" s="123"/>
    </row>
    <row r="630" spans="24:25" x14ac:dyDescent="0.2">
      <c r="X630" s="123"/>
      <c r="Y630" s="123"/>
    </row>
    <row r="631" spans="24:25" x14ac:dyDescent="0.2">
      <c r="X631" s="123"/>
      <c r="Y631" s="123"/>
    </row>
    <row r="632" spans="24:25" x14ac:dyDescent="0.2">
      <c r="X632" s="123"/>
      <c r="Y632" s="123"/>
    </row>
    <row r="633" spans="24:25" x14ac:dyDescent="0.2">
      <c r="X633" s="123"/>
      <c r="Y633" s="123"/>
    </row>
    <row r="634" spans="24:25" x14ac:dyDescent="0.2">
      <c r="X634" s="123"/>
      <c r="Y634" s="123"/>
    </row>
    <row r="635" spans="24:25" x14ac:dyDescent="0.2">
      <c r="X635" s="123"/>
      <c r="Y635" s="123"/>
    </row>
    <row r="636" spans="24:25" x14ac:dyDescent="0.2">
      <c r="X636" s="123"/>
      <c r="Y636" s="123"/>
    </row>
    <row r="637" spans="24:25" x14ac:dyDescent="0.2">
      <c r="X637" s="123"/>
      <c r="Y637" s="123"/>
    </row>
    <row r="638" spans="24:25" x14ac:dyDescent="0.2">
      <c r="X638" s="123"/>
      <c r="Y638" s="123"/>
    </row>
    <row r="639" spans="24:25" x14ac:dyDescent="0.2">
      <c r="X639" s="123"/>
      <c r="Y639" s="123"/>
    </row>
    <row r="640" spans="24:25" x14ac:dyDescent="0.2">
      <c r="X640" s="123"/>
      <c r="Y640" s="123"/>
    </row>
    <row r="641" spans="24:25" x14ac:dyDescent="0.2">
      <c r="X641" s="123"/>
      <c r="Y641" s="123"/>
    </row>
    <row r="642" spans="24:25" x14ac:dyDescent="0.2">
      <c r="X642" s="123"/>
      <c r="Y642" s="123"/>
    </row>
    <row r="643" spans="24:25" x14ac:dyDescent="0.2">
      <c r="X643" s="123"/>
      <c r="Y643" s="123"/>
    </row>
    <row r="644" spans="24:25" x14ac:dyDescent="0.2">
      <c r="X644" s="123"/>
      <c r="Y644" s="123"/>
    </row>
    <row r="645" spans="24:25" x14ac:dyDescent="0.2">
      <c r="X645" s="123"/>
      <c r="Y645" s="123"/>
    </row>
    <row r="646" spans="24:25" x14ac:dyDescent="0.2">
      <c r="X646" s="123"/>
      <c r="Y646" s="123"/>
    </row>
    <row r="647" spans="24:25" x14ac:dyDescent="0.2">
      <c r="X647" s="123"/>
      <c r="Y647" s="123"/>
    </row>
    <row r="648" spans="24:25" x14ac:dyDescent="0.2">
      <c r="X648" s="123"/>
      <c r="Y648" s="123"/>
    </row>
    <row r="649" spans="24:25" x14ac:dyDescent="0.2">
      <c r="X649" s="123"/>
      <c r="Y649" s="123"/>
    </row>
    <row r="650" spans="24:25" x14ac:dyDescent="0.2">
      <c r="X650" s="123"/>
      <c r="Y650" s="123"/>
    </row>
    <row r="651" spans="24:25" x14ac:dyDescent="0.2">
      <c r="X651" s="123"/>
      <c r="Y651" s="123"/>
    </row>
    <row r="652" spans="24:25" x14ac:dyDescent="0.2">
      <c r="X652" s="123"/>
      <c r="Y652" s="123"/>
    </row>
    <row r="653" spans="24:25" x14ac:dyDescent="0.2">
      <c r="X653" s="123"/>
      <c r="Y653" s="123"/>
    </row>
    <row r="654" spans="24:25" x14ac:dyDescent="0.2">
      <c r="X654" s="123"/>
      <c r="Y654" s="123"/>
    </row>
    <row r="655" spans="24:25" x14ac:dyDescent="0.2">
      <c r="X655" s="123"/>
      <c r="Y655" s="123"/>
    </row>
    <row r="656" spans="24:25" x14ac:dyDescent="0.2">
      <c r="X656" s="123"/>
      <c r="Y656" s="123"/>
    </row>
    <row r="657" spans="24:25" x14ac:dyDescent="0.2">
      <c r="X657" s="123"/>
      <c r="Y657" s="123"/>
    </row>
    <row r="658" spans="24:25" x14ac:dyDescent="0.2">
      <c r="X658" s="123"/>
      <c r="Y658" s="123"/>
    </row>
    <row r="659" spans="24:25" x14ac:dyDescent="0.2">
      <c r="X659" s="123"/>
      <c r="Y659" s="123"/>
    </row>
    <row r="660" spans="24:25" x14ac:dyDescent="0.2">
      <c r="X660" s="123"/>
      <c r="Y660" s="123"/>
    </row>
    <row r="661" spans="24:25" x14ac:dyDescent="0.2">
      <c r="X661" s="123"/>
      <c r="Y661" s="123"/>
    </row>
    <row r="662" spans="24:25" x14ac:dyDescent="0.2">
      <c r="X662" s="123"/>
      <c r="Y662" s="123"/>
    </row>
    <row r="663" spans="24:25" x14ac:dyDescent="0.2">
      <c r="X663" s="123"/>
      <c r="Y663" s="123"/>
    </row>
    <row r="664" spans="24:25" x14ac:dyDescent="0.2">
      <c r="X664" s="123"/>
      <c r="Y664" s="123"/>
    </row>
    <row r="665" spans="24:25" x14ac:dyDescent="0.2">
      <c r="X665" s="123"/>
      <c r="Y665" s="123"/>
    </row>
    <row r="666" spans="24:25" x14ac:dyDescent="0.2">
      <c r="X666" s="123"/>
      <c r="Y666" s="123"/>
    </row>
    <row r="667" spans="24:25" x14ac:dyDescent="0.2">
      <c r="X667" s="123"/>
      <c r="Y667" s="123"/>
    </row>
    <row r="668" spans="24:25" x14ac:dyDescent="0.2">
      <c r="X668" s="123"/>
      <c r="Y668" s="123"/>
    </row>
    <row r="669" spans="24:25" x14ac:dyDescent="0.2">
      <c r="X669" s="123"/>
      <c r="Y669" s="123"/>
    </row>
    <row r="670" spans="24:25" x14ac:dyDescent="0.2">
      <c r="X670" s="123"/>
      <c r="Y670" s="123"/>
    </row>
    <row r="671" spans="24:25" x14ac:dyDescent="0.2">
      <c r="X671" s="123"/>
      <c r="Y671" s="123"/>
    </row>
    <row r="672" spans="24:25" x14ac:dyDescent="0.2">
      <c r="X672" s="123"/>
      <c r="Y672" s="123"/>
    </row>
    <row r="673" spans="24:25" x14ac:dyDescent="0.2">
      <c r="X673" s="123"/>
      <c r="Y673" s="123"/>
    </row>
    <row r="674" spans="24:25" x14ac:dyDescent="0.2">
      <c r="X674" s="123"/>
      <c r="Y674" s="123"/>
    </row>
    <row r="675" spans="24:25" x14ac:dyDescent="0.2">
      <c r="X675" s="123"/>
      <c r="Y675" s="123"/>
    </row>
    <row r="676" spans="24:25" x14ac:dyDescent="0.2">
      <c r="X676" s="123"/>
      <c r="Y676" s="123"/>
    </row>
    <row r="677" spans="24:25" x14ac:dyDescent="0.2">
      <c r="X677" s="123"/>
      <c r="Y677" s="123"/>
    </row>
    <row r="678" spans="24:25" x14ac:dyDescent="0.2">
      <c r="X678" s="123"/>
      <c r="Y678" s="123"/>
    </row>
    <row r="679" spans="24:25" x14ac:dyDescent="0.2">
      <c r="X679" s="123"/>
      <c r="Y679" s="123"/>
    </row>
    <row r="680" spans="24:25" x14ac:dyDescent="0.2">
      <c r="X680" s="123"/>
      <c r="Y680" s="123"/>
    </row>
    <row r="681" spans="24:25" x14ac:dyDescent="0.2">
      <c r="X681" s="123"/>
      <c r="Y681" s="123"/>
    </row>
    <row r="682" spans="24:25" x14ac:dyDescent="0.2">
      <c r="X682" s="123"/>
      <c r="Y682" s="123"/>
    </row>
    <row r="683" spans="24:25" x14ac:dyDescent="0.2">
      <c r="X683" s="123"/>
      <c r="Y683" s="123"/>
    </row>
    <row r="684" spans="24:25" x14ac:dyDescent="0.2">
      <c r="X684" s="123"/>
      <c r="Y684" s="123"/>
    </row>
    <row r="685" spans="24:25" x14ac:dyDescent="0.2">
      <c r="X685" s="123"/>
      <c r="Y685" s="123"/>
    </row>
    <row r="686" spans="24:25" x14ac:dyDescent="0.2">
      <c r="X686" s="123"/>
      <c r="Y686" s="123"/>
    </row>
    <row r="687" spans="24:25" x14ac:dyDescent="0.2">
      <c r="X687" s="123"/>
      <c r="Y687" s="123"/>
    </row>
    <row r="688" spans="24:25" x14ac:dyDescent="0.2">
      <c r="X688" s="123"/>
      <c r="Y688" s="123"/>
    </row>
    <row r="689" spans="24:25" x14ac:dyDescent="0.2">
      <c r="X689" s="123"/>
      <c r="Y689" s="123"/>
    </row>
    <row r="690" spans="24:25" x14ac:dyDescent="0.2">
      <c r="X690" s="123"/>
      <c r="Y690" s="123"/>
    </row>
    <row r="691" spans="24:25" x14ac:dyDescent="0.2">
      <c r="X691" s="123"/>
      <c r="Y691" s="123"/>
    </row>
    <row r="692" spans="24:25" x14ac:dyDescent="0.2">
      <c r="X692" s="123"/>
      <c r="Y692" s="123"/>
    </row>
    <row r="693" spans="24:25" x14ac:dyDescent="0.2">
      <c r="X693" s="123"/>
      <c r="Y693" s="123"/>
    </row>
    <row r="694" spans="24:25" x14ac:dyDescent="0.2">
      <c r="X694" s="123"/>
      <c r="Y694" s="123"/>
    </row>
    <row r="695" spans="24:25" x14ac:dyDescent="0.2">
      <c r="X695" s="123"/>
      <c r="Y695" s="123"/>
    </row>
    <row r="696" spans="24:25" x14ac:dyDescent="0.2">
      <c r="X696" s="123"/>
      <c r="Y696" s="123"/>
    </row>
    <row r="697" spans="24:25" x14ac:dyDescent="0.2">
      <c r="X697" s="123"/>
      <c r="Y697" s="123"/>
    </row>
    <row r="698" spans="24:25" x14ac:dyDescent="0.2">
      <c r="X698" s="123"/>
      <c r="Y698" s="123"/>
    </row>
    <row r="699" spans="24:25" x14ac:dyDescent="0.2">
      <c r="X699" s="123"/>
      <c r="Y699" s="123"/>
    </row>
    <row r="700" spans="24:25" x14ac:dyDescent="0.2">
      <c r="X700" s="123"/>
      <c r="Y700" s="123"/>
    </row>
    <row r="701" spans="24:25" x14ac:dyDescent="0.2">
      <c r="X701" s="123"/>
      <c r="Y701" s="123"/>
    </row>
    <row r="702" spans="24:25" x14ac:dyDescent="0.2">
      <c r="X702" s="123"/>
      <c r="Y702" s="123"/>
    </row>
    <row r="703" spans="24:25" x14ac:dyDescent="0.2">
      <c r="X703" s="123"/>
      <c r="Y703" s="123"/>
    </row>
    <row r="704" spans="24:25" x14ac:dyDescent="0.2">
      <c r="X704" s="123"/>
      <c r="Y704" s="123"/>
    </row>
    <row r="705" spans="24:25" x14ac:dyDescent="0.2">
      <c r="X705" s="123"/>
      <c r="Y705" s="123"/>
    </row>
    <row r="706" spans="24:25" x14ac:dyDescent="0.2">
      <c r="X706" s="123"/>
      <c r="Y706" s="123"/>
    </row>
    <row r="707" spans="24:25" x14ac:dyDescent="0.2">
      <c r="X707" s="123"/>
      <c r="Y707" s="123"/>
    </row>
    <row r="708" spans="24:25" x14ac:dyDescent="0.2">
      <c r="X708" s="123"/>
      <c r="Y708" s="123"/>
    </row>
    <row r="709" spans="24:25" x14ac:dyDescent="0.2">
      <c r="X709" s="123"/>
      <c r="Y709" s="123"/>
    </row>
    <row r="710" spans="24:25" x14ac:dyDescent="0.2">
      <c r="X710" s="123"/>
      <c r="Y710" s="123"/>
    </row>
    <row r="711" spans="24:25" x14ac:dyDescent="0.2">
      <c r="X711" s="123"/>
      <c r="Y711" s="123"/>
    </row>
    <row r="712" spans="24:25" x14ac:dyDescent="0.2">
      <c r="X712" s="123"/>
      <c r="Y712" s="123"/>
    </row>
    <row r="713" spans="24:25" x14ac:dyDescent="0.2">
      <c r="X713" s="123"/>
      <c r="Y713" s="123"/>
    </row>
    <row r="714" spans="24:25" x14ac:dyDescent="0.2">
      <c r="X714" s="123"/>
      <c r="Y714" s="123"/>
    </row>
    <row r="715" spans="24:25" x14ac:dyDescent="0.2">
      <c r="X715" s="123"/>
      <c r="Y715" s="123"/>
    </row>
    <row r="716" spans="24:25" x14ac:dyDescent="0.2">
      <c r="X716" s="123"/>
      <c r="Y716" s="123"/>
    </row>
    <row r="717" spans="24:25" x14ac:dyDescent="0.2">
      <c r="X717" s="123"/>
      <c r="Y717" s="123"/>
    </row>
    <row r="718" spans="24:25" x14ac:dyDescent="0.2">
      <c r="X718" s="123"/>
      <c r="Y718" s="123"/>
    </row>
    <row r="719" spans="24:25" x14ac:dyDescent="0.2">
      <c r="X719" s="123"/>
      <c r="Y719" s="123"/>
    </row>
    <row r="720" spans="24:25" x14ac:dyDescent="0.2">
      <c r="X720" s="123"/>
      <c r="Y720" s="123"/>
    </row>
    <row r="721" spans="24:25" x14ac:dyDescent="0.2">
      <c r="X721" s="123"/>
      <c r="Y721" s="123"/>
    </row>
    <row r="722" spans="24:25" x14ac:dyDescent="0.2">
      <c r="X722" s="123"/>
      <c r="Y722" s="123"/>
    </row>
    <row r="723" spans="24:25" x14ac:dyDescent="0.2">
      <c r="X723" s="123"/>
      <c r="Y723" s="123"/>
    </row>
    <row r="724" spans="24:25" x14ac:dyDescent="0.2">
      <c r="X724" s="123"/>
      <c r="Y724" s="123"/>
    </row>
    <row r="725" spans="24:25" x14ac:dyDescent="0.2">
      <c r="X725" s="123"/>
      <c r="Y725" s="123"/>
    </row>
    <row r="726" spans="24:25" x14ac:dyDescent="0.2">
      <c r="X726" s="123"/>
      <c r="Y726" s="123"/>
    </row>
    <row r="727" spans="24:25" x14ac:dyDescent="0.2">
      <c r="X727" s="123"/>
      <c r="Y727" s="123"/>
    </row>
    <row r="728" spans="24:25" x14ac:dyDescent="0.2">
      <c r="X728" s="123"/>
      <c r="Y728" s="123"/>
    </row>
    <row r="729" spans="24:25" x14ac:dyDescent="0.2">
      <c r="X729" s="123"/>
      <c r="Y729" s="123"/>
    </row>
    <row r="730" spans="24:25" x14ac:dyDescent="0.2">
      <c r="X730" s="123"/>
      <c r="Y730" s="123"/>
    </row>
    <row r="731" spans="24:25" x14ac:dyDescent="0.2">
      <c r="X731" s="123"/>
      <c r="Y731" s="123"/>
    </row>
    <row r="732" spans="24:25" x14ac:dyDescent="0.2">
      <c r="X732" s="123"/>
      <c r="Y732" s="123"/>
    </row>
    <row r="733" spans="24:25" x14ac:dyDescent="0.2">
      <c r="X733" s="123"/>
      <c r="Y733" s="123"/>
    </row>
    <row r="734" spans="24:25" x14ac:dyDescent="0.2">
      <c r="X734" s="123"/>
      <c r="Y734" s="123"/>
    </row>
    <row r="735" spans="24:25" x14ac:dyDescent="0.2">
      <c r="X735" s="123"/>
      <c r="Y735" s="123"/>
    </row>
    <row r="736" spans="24:25" x14ac:dyDescent="0.2">
      <c r="X736" s="123"/>
      <c r="Y736" s="123"/>
    </row>
    <row r="737" spans="24:25" x14ac:dyDescent="0.2">
      <c r="X737" s="123"/>
      <c r="Y737" s="123"/>
    </row>
    <row r="738" spans="24:25" x14ac:dyDescent="0.2">
      <c r="X738" s="123"/>
      <c r="Y738" s="123"/>
    </row>
    <row r="739" spans="24:25" x14ac:dyDescent="0.2">
      <c r="X739" s="123"/>
      <c r="Y739" s="123"/>
    </row>
    <row r="740" spans="24:25" x14ac:dyDescent="0.2">
      <c r="X740" s="123"/>
      <c r="Y740" s="123"/>
    </row>
    <row r="741" spans="24:25" x14ac:dyDescent="0.2">
      <c r="X741" s="123"/>
      <c r="Y741" s="123"/>
    </row>
    <row r="742" spans="24:25" x14ac:dyDescent="0.2">
      <c r="X742" s="123"/>
      <c r="Y742" s="123"/>
    </row>
    <row r="743" spans="24:25" x14ac:dyDescent="0.2">
      <c r="X743" s="123"/>
      <c r="Y743" s="123"/>
    </row>
    <row r="744" spans="24:25" x14ac:dyDescent="0.2">
      <c r="X744" s="123"/>
      <c r="Y744" s="123"/>
    </row>
    <row r="745" spans="24:25" x14ac:dyDescent="0.2">
      <c r="X745" s="123"/>
      <c r="Y745" s="123"/>
    </row>
    <row r="746" spans="24:25" x14ac:dyDescent="0.2">
      <c r="X746" s="123"/>
      <c r="Y746" s="123"/>
    </row>
    <row r="747" spans="24:25" x14ac:dyDescent="0.2">
      <c r="X747" s="123"/>
      <c r="Y747" s="123"/>
    </row>
    <row r="748" spans="24:25" x14ac:dyDescent="0.2">
      <c r="X748" s="123"/>
      <c r="Y748" s="123"/>
    </row>
    <row r="749" spans="24:25" x14ac:dyDescent="0.2">
      <c r="X749" s="123"/>
      <c r="Y749" s="123"/>
    </row>
    <row r="750" spans="24:25" x14ac:dyDescent="0.2">
      <c r="X750" s="123"/>
      <c r="Y750" s="123"/>
    </row>
    <row r="751" spans="24:25" x14ac:dyDescent="0.2">
      <c r="X751" s="123"/>
      <c r="Y751" s="123"/>
    </row>
    <row r="752" spans="24:25" x14ac:dyDescent="0.2">
      <c r="X752" s="123"/>
      <c r="Y752" s="123"/>
    </row>
    <row r="753" spans="24:25" x14ac:dyDescent="0.2">
      <c r="X753" s="123"/>
      <c r="Y753" s="123"/>
    </row>
    <row r="754" spans="24:25" x14ac:dyDescent="0.2">
      <c r="X754" s="123"/>
      <c r="Y754" s="123"/>
    </row>
    <row r="755" spans="24:25" x14ac:dyDescent="0.2">
      <c r="X755" s="123"/>
      <c r="Y755" s="123"/>
    </row>
    <row r="756" spans="24:25" x14ac:dyDescent="0.2">
      <c r="X756" s="123"/>
      <c r="Y756" s="123"/>
    </row>
    <row r="757" spans="24:25" x14ac:dyDescent="0.2">
      <c r="X757" s="123"/>
      <c r="Y757" s="123"/>
    </row>
    <row r="758" spans="24:25" x14ac:dyDescent="0.2">
      <c r="X758" s="123"/>
      <c r="Y758" s="123"/>
    </row>
    <row r="759" spans="24:25" x14ac:dyDescent="0.2">
      <c r="X759" s="123"/>
      <c r="Y759" s="123"/>
    </row>
    <row r="760" spans="24:25" x14ac:dyDescent="0.2">
      <c r="X760" s="123"/>
      <c r="Y760" s="123"/>
    </row>
    <row r="761" spans="24:25" x14ac:dyDescent="0.2">
      <c r="X761" s="123"/>
      <c r="Y761" s="123"/>
    </row>
    <row r="762" spans="24:25" x14ac:dyDescent="0.2">
      <c r="X762" s="123"/>
      <c r="Y762" s="123"/>
    </row>
    <row r="763" spans="24:25" x14ac:dyDescent="0.2">
      <c r="X763" s="123"/>
      <c r="Y763" s="123"/>
    </row>
    <row r="764" spans="24:25" x14ac:dyDescent="0.2">
      <c r="X764" s="123"/>
      <c r="Y764" s="123"/>
    </row>
    <row r="765" spans="24:25" x14ac:dyDescent="0.2">
      <c r="X765" s="123"/>
      <c r="Y765" s="123"/>
    </row>
    <row r="766" spans="24:25" x14ac:dyDescent="0.2">
      <c r="X766" s="123"/>
      <c r="Y766" s="123"/>
    </row>
    <row r="767" spans="24:25" x14ac:dyDescent="0.2">
      <c r="X767" s="123"/>
      <c r="Y767" s="123"/>
    </row>
    <row r="768" spans="24:25" x14ac:dyDescent="0.2">
      <c r="X768" s="123"/>
      <c r="Y768" s="123"/>
    </row>
    <row r="769" spans="24:25" x14ac:dyDescent="0.2">
      <c r="X769" s="123"/>
      <c r="Y769" s="123"/>
    </row>
    <row r="770" spans="24:25" x14ac:dyDescent="0.2">
      <c r="X770" s="123"/>
      <c r="Y770" s="123"/>
    </row>
    <row r="771" spans="24:25" x14ac:dyDescent="0.2">
      <c r="X771" s="123"/>
      <c r="Y771" s="123"/>
    </row>
    <row r="772" spans="24:25" x14ac:dyDescent="0.2">
      <c r="X772" s="123"/>
      <c r="Y772" s="123"/>
    </row>
    <row r="773" spans="24:25" x14ac:dyDescent="0.2">
      <c r="X773" s="123"/>
      <c r="Y773" s="123"/>
    </row>
    <row r="774" spans="24:25" x14ac:dyDescent="0.2">
      <c r="X774" s="123"/>
      <c r="Y774" s="123"/>
    </row>
    <row r="775" spans="24:25" x14ac:dyDescent="0.2">
      <c r="X775" s="123"/>
      <c r="Y775" s="123"/>
    </row>
    <row r="776" spans="24:25" x14ac:dyDescent="0.2">
      <c r="X776" s="123"/>
      <c r="Y776" s="123"/>
    </row>
    <row r="777" spans="24:25" x14ac:dyDescent="0.2">
      <c r="X777" s="123"/>
      <c r="Y777" s="123"/>
    </row>
    <row r="778" spans="24:25" x14ac:dyDescent="0.2">
      <c r="X778" s="123"/>
      <c r="Y778" s="123"/>
    </row>
    <row r="779" spans="24:25" x14ac:dyDescent="0.2">
      <c r="X779" s="123"/>
      <c r="Y779" s="123"/>
    </row>
    <row r="780" spans="24:25" x14ac:dyDescent="0.2">
      <c r="X780" s="123"/>
      <c r="Y780" s="123"/>
    </row>
    <row r="781" spans="24:25" x14ac:dyDescent="0.2">
      <c r="X781" s="123"/>
      <c r="Y781" s="123"/>
    </row>
    <row r="782" spans="24:25" x14ac:dyDescent="0.2">
      <c r="X782" s="123"/>
      <c r="Y782" s="123"/>
    </row>
    <row r="783" spans="24:25" x14ac:dyDescent="0.2">
      <c r="X783" s="123"/>
      <c r="Y783" s="123"/>
    </row>
    <row r="784" spans="24:25" x14ac:dyDescent="0.2">
      <c r="X784" s="123"/>
      <c r="Y784" s="123"/>
    </row>
    <row r="785" spans="24:25" x14ac:dyDescent="0.2">
      <c r="X785" s="123"/>
      <c r="Y785" s="123"/>
    </row>
    <row r="786" spans="24:25" x14ac:dyDescent="0.2">
      <c r="X786" s="123"/>
      <c r="Y786" s="123"/>
    </row>
    <row r="787" spans="24:25" x14ac:dyDescent="0.2">
      <c r="X787" s="123"/>
      <c r="Y787" s="123"/>
    </row>
    <row r="788" spans="24:25" x14ac:dyDescent="0.2">
      <c r="X788" s="123"/>
      <c r="Y788" s="123"/>
    </row>
    <row r="789" spans="24:25" x14ac:dyDescent="0.2">
      <c r="X789" s="123"/>
      <c r="Y789" s="123"/>
    </row>
    <row r="790" spans="24:25" x14ac:dyDescent="0.2">
      <c r="X790" s="123"/>
      <c r="Y790" s="123"/>
    </row>
    <row r="791" spans="24:25" x14ac:dyDescent="0.2">
      <c r="X791" s="123"/>
      <c r="Y791" s="123"/>
    </row>
    <row r="792" spans="24:25" x14ac:dyDescent="0.2">
      <c r="X792" s="123"/>
      <c r="Y792" s="123"/>
    </row>
    <row r="793" spans="24:25" x14ac:dyDescent="0.2">
      <c r="X793" s="123"/>
      <c r="Y793" s="123"/>
    </row>
    <row r="794" spans="24:25" x14ac:dyDescent="0.2">
      <c r="X794" s="123"/>
      <c r="Y794" s="123"/>
    </row>
    <row r="795" spans="24:25" x14ac:dyDescent="0.2">
      <c r="X795" s="123"/>
      <c r="Y795" s="123"/>
    </row>
    <row r="796" spans="24:25" x14ac:dyDescent="0.2">
      <c r="X796" s="123"/>
      <c r="Y796" s="123"/>
    </row>
    <row r="797" spans="24:25" x14ac:dyDescent="0.2">
      <c r="X797" s="123"/>
      <c r="Y797" s="123"/>
    </row>
    <row r="798" spans="24:25" x14ac:dyDescent="0.2">
      <c r="X798" s="123"/>
      <c r="Y798" s="123"/>
    </row>
    <row r="799" spans="24:25" x14ac:dyDescent="0.2">
      <c r="X799" s="123"/>
      <c r="Y799" s="123"/>
    </row>
    <row r="800" spans="24:25" x14ac:dyDescent="0.2">
      <c r="X800" s="123"/>
      <c r="Y800" s="123"/>
    </row>
    <row r="801" spans="24:25" x14ac:dyDescent="0.2">
      <c r="X801" s="123"/>
      <c r="Y801" s="123"/>
    </row>
    <row r="802" spans="24:25" x14ac:dyDescent="0.2">
      <c r="X802" s="123"/>
      <c r="Y802" s="123"/>
    </row>
    <row r="803" spans="24:25" x14ac:dyDescent="0.2">
      <c r="X803" s="123"/>
      <c r="Y803" s="123"/>
    </row>
    <row r="804" spans="24:25" x14ac:dyDescent="0.2">
      <c r="X804" s="123"/>
      <c r="Y804" s="123"/>
    </row>
    <row r="805" spans="24:25" x14ac:dyDescent="0.2">
      <c r="X805" s="123"/>
      <c r="Y805" s="123"/>
    </row>
    <row r="806" spans="24:25" x14ac:dyDescent="0.2">
      <c r="X806" s="123"/>
      <c r="Y806" s="123"/>
    </row>
    <row r="807" spans="24:25" x14ac:dyDescent="0.2">
      <c r="X807" s="123"/>
      <c r="Y807" s="123"/>
    </row>
    <row r="808" spans="24:25" x14ac:dyDescent="0.2">
      <c r="X808" s="123"/>
      <c r="Y808" s="123"/>
    </row>
    <row r="809" spans="24:25" x14ac:dyDescent="0.2">
      <c r="X809" s="123"/>
      <c r="Y809" s="123"/>
    </row>
    <row r="810" spans="24:25" x14ac:dyDescent="0.2">
      <c r="X810" s="123"/>
      <c r="Y810" s="123"/>
    </row>
    <row r="811" spans="24:25" x14ac:dyDescent="0.2">
      <c r="X811" s="123"/>
      <c r="Y811" s="123"/>
    </row>
    <row r="812" spans="24:25" x14ac:dyDescent="0.2">
      <c r="X812" s="123"/>
      <c r="Y812" s="123"/>
    </row>
    <row r="813" spans="24:25" x14ac:dyDescent="0.2">
      <c r="X813" s="123"/>
      <c r="Y813" s="123"/>
    </row>
    <row r="814" spans="24:25" x14ac:dyDescent="0.2">
      <c r="X814" s="123"/>
      <c r="Y814" s="123"/>
    </row>
    <row r="815" spans="24:25" x14ac:dyDescent="0.2">
      <c r="X815" s="123"/>
      <c r="Y815" s="123"/>
    </row>
    <row r="816" spans="24:25" x14ac:dyDescent="0.2">
      <c r="X816" s="123"/>
      <c r="Y816" s="123"/>
    </row>
    <row r="817" spans="24:25" x14ac:dyDescent="0.2">
      <c r="X817" s="123"/>
      <c r="Y817" s="123"/>
    </row>
    <row r="818" spans="24:25" x14ac:dyDescent="0.2">
      <c r="X818" s="123"/>
      <c r="Y818" s="123"/>
    </row>
    <row r="819" spans="24:25" x14ac:dyDescent="0.2">
      <c r="X819" s="123"/>
      <c r="Y819" s="123"/>
    </row>
    <row r="820" spans="24:25" x14ac:dyDescent="0.2">
      <c r="X820" s="123"/>
      <c r="Y820" s="123"/>
    </row>
    <row r="821" spans="24:25" x14ac:dyDescent="0.2">
      <c r="X821" s="123"/>
      <c r="Y821" s="123"/>
    </row>
    <row r="822" spans="24:25" x14ac:dyDescent="0.2">
      <c r="X822" s="123"/>
      <c r="Y822" s="123"/>
    </row>
    <row r="823" spans="24:25" x14ac:dyDescent="0.2">
      <c r="X823" s="123"/>
      <c r="Y823" s="123"/>
    </row>
    <row r="824" spans="24:25" x14ac:dyDescent="0.2">
      <c r="X824" s="123"/>
      <c r="Y824" s="123"/>
    </row>
    <row r="825" spans="24:25" x14ac:dyDescent="0.2">
      <c r="X825" s="123"/>
      <c r="Y825" s="123"/>
    </row>
    <row r="826" spans="24:25" x14ac:dyDescent="0.2">
      <c r="X826" s="123"/>
      <c r="Y826" s="123"/>
    </row>
    <row r="827" spans="24:25" x14ac:dyDescent="0.2">
      <c r="X827" s="123"/>
      <c r="Y827" s="123"/>
    </row>
    <row r="828" spans="24:25" x14ac:dyDescent="0.2">
      <c r="X828" s="123"/>
      <c r="Y828" s="123"/>
    </row>
    <row r="829" spans="24:25" x14ac:dyDescent="0.2">
      <c r="X829" s="123"/>
      <c r="Y829" s="123"/>
    </row>
    <row r="830" spans="24:25" x14ac:dyDescent="0.2">
      <c r="X830" s="123"/>
      <c r="Y830" s="123"/>
    </row>
    <row r="831" spans="24:25" x14ac:dyDescent="0.2">
      <c r="X831" s="123"/>
      <c r="Y831" s="123"/>
    </row>
    <row r="832" spans="24:25" x14ac:dyDescent="0.2">
      <c r="X832" s="123"/>
      <c r="Y832" s="123"/>
    </row>
    <row r="833" spans="24:25" x14ac:dyDescent="0.2">
      <c r="X833" s="123"/>
      <c r="Y833" s="123"/>
    </row>
    <row r="834" spans="24:25" x14ac:dyDescent="0.2">
      <c r="X834" s="123"/>
      <c r="Y834" s="123"/>
    </row>
    <row r="835" spans="24:25" x14ac:dyDescent="0.2">
      <c r="X835" s="123"/>
      <c r="Y835" s="123"/>
    </row>
    <row r="836" spans="24:25" x14ac:dyDescent="0.2">
      <c r="X836" s="123"/>
      <c r="Y836" s="123"/>
    </row>
    <row r="837" spans="24:25" x14ac:dyDescent="0.2">
      <c r="X837" s="123"/>
      <c r="Y837" s="123"/>
    </row>
    <row r="838" spans="24:25" x14ac:dyDescent="0.2">
      <c r="X838" s="123"/>
      <c r="Y838" s="123"/>
    </row>
    <row r="839" spans="24:25" x14ac:dyDescent="0.2">
      <c r="X839" s="123"/>
      <c r="Y839" s="123"/>
    </row>
    <row r="840" spans="24:25" x14ac:dyDescent="0.2">
      <c r="X840" s="123"/>
      <c r="Y840" s="123"/>
    </row>
    <row r="841" spans="24:25" x14ac:dyDescent="0.2">
      <c r="X841" s="123"/>
      <c r="Y841" s="123"/>
    </row>
    <row r="842" spans="24:25" x14ac:dyDescent="0.2">
      <c r="X842" s="123"/>
      <c r="Y842" s="123"/>
    </row>
    <row r="843" spans="24:25" x14ac:dyDescent="0.2">
      <c r="X843" s="123"/>
      <c r="Y843" s="123"/>
    </row>
    <row r="844" spans="24:25" x14ac:dyDescent="0.2">
      <c r="X844" s="123"/>
      <c r="Y844" s="123"/>
    </row>
    <row r="845" spans="24:25" x14ac:dyDescent="0.2">
      <c r="X845" s="123"/>
      <c r="Y845" s="123"/>
    </row>
    <row r="846" spans="24:25" x14ac:dyDescent="0.2">
      <c r="X846" s="123"/>
      <c r="Y846" s="123"/>
    </row>
    <row r="847" spans="24:25" x14ac:dyDescent="0.2">
      <c r="X847" s="123"/>
      <c r="Y847" s="123"/>
    </row>
    <row r="848" spans="24:25" x14ac:dyDescent="0.2">
      <c r="X848" s="123"/>
      <c r="Y848" s="123"/>
    </row>
    <row r="849" spans="24:25" x14ac:dyDescent="0.2">
      <c r="X849" s="123"/>
      <c r="Y849" s="123"/>
    </row>
    <row r="850" spans="24:25" x14ac:dyDescent="0.2">
      <c r="X850" s="123"/>
      <c r="Y850" s="123"/>
    </row>
    <row r="851" spans="24:25" x14ac:dyDescent="0.2">
      <c r="X851" s="123"/>
      <c r="Y851" s="123"/>
    </row>
    <row r="852" spans="24:25" x14ac:dyDescent="0.2">
      <c r="X852" s="123"/>
      <c r="Y852" s="123"/>
    </row>
    <row r="853" spans="24:25" x14ac:dyDescent="0.2">
      <c r="X853" s="123"/>
      <c r="Y853" s="123"/>
    </row>
    <row r="854" spans="24:25" x14ac:dyDescent="0.2">
      <c r="X854" s="123"/>
      <c r="Y854" s="123"/>
    </row>
    <row r="855" spans="24:25" x14ac:dyDescent="0.2">
      <c r="X855" s="123"/>
      <c r="Y855" s="123"/>
    </row>
    <row r="856" spans="24:25" x14ac:dyDescent="0.2">
      <c r="X856" s="123"/>
      <c r="Y856" s="123"/>
    </row>
    <row r="857" spans="24:25" x14ac:dyDescent="0.2">
      <c r="X857" s="123"/>
      <c r="Y857" s="123"/>
    </row>
    <row r="858" spans="24:25" x14ac:dyDescent="0.2">
      <c r="X858" s="123"/>
      <c r="Y858" s="123"/>
    </row>
    <row r="859" spans="24:25" x14ac:dyDescent="0.2">
      <c r="X859" s="123"/>
      <c r="Y859" s="123"/>
    </row>
    <row r="860" spans="24:25" x14ac:dyDescent="0.2">
      <c r="X860" s="123"/>
      <c r="Y860" s="123"/>
    </row>
    <row r="861" spans="24:25" x14ac:dyDescent="0.2">
      <c r="X861" s="123"/>
      <c r="Y861" s="123"/>
    </row>
  </sheetData>
  <autoFilter ref="A21:CO325"/>
  <mergeCells count="17">
    <mergeCell ref="C1:D1"/>
    <mergeCell ref="E1:F1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D12:E12"/>
  </mergeCells>
  <pageMargins left="0.5" right="0.5" top="0.5" bottom="0.5" header="0.5" footer="0.5"/>
  <pageSetup orientation="landscape" r:id="rId1"/>
  <headerFooter alignWithMargins="0">
    <oddFooter>&amp;L&amp;C&amp;R</oddFooter>
  </headerFooter>
  <customProperties>
    <customPr name="_pios_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 filterMode="1">
    <tabColor rgb="FF00B050"/>
    <pageSetUpPr fitToPage="1"/>
  </sheetPr>
  <dimension ref="A1:Z845"/>
  <sheetViews>
    <sheetView showGridLines="0" zoomScale="80" zoomScaleNormal="80" workbookViewId="0">
      <pane xSplit="4" ySplit="5" topLeftCell="E6" activePane="bottomRight" state="frozen"/>
      <selection activeCell="C31" sqref="C31"/>
      <selection pane="topRight" activeCell="C31" sqref="C31"/>
      <selection pane="bottomLeft" activeCell="C31" sqref="C31"/>
      <selection pane="bottomRight" activeCell="K682" sqref="K682"/>
    </sheetView>
  </sheetViews>
  <sheetFormatPr defaultColWidth="9.140625" defaultRowHeight="12.75" x14ac:dyDescent="0.2"/>
  <cols>
    <col min="1" max="1" width="12.5703125" style="126" customWidth="1"/>
    <col min="2" max="2" width="13.140625" style="126" customWidth="1"/>
    <col min="3" max="3" width="12.85546875" style="126" customWidth="1"/>
    <col min="4" max="4" width="65.85546875" style="126" customWidth="1"/>
    <col min="5" max="5" width="10.85546875" style="126" bestFit="1" customWidth="1"/>
    <col min="6" max="7" width="11.85546875" style="126" bestFit="1" customWidth="1"/>
    <col min="8" max="8" width="11.5703125" style="126" bestFit="1" customWidth="1"/>
    <col min="9" max="11" width="10.140625" style="126" bestFit="1" customWidth="1"/>
    <col min="12" max="12" width="11" style="126" bestFit="1" customWidth="1"/>
    <col min="13" max="13" width="11.28515625" style="126" bestFit="1" customWidth="1"/>
    <col min="14" max="16" width="11.85546875" style="126" bestFit="1" customWidth="1"/>
    <col min="17" max="19" width="10.140625" style="126" bestFit="1" customWidth="1"/>
    <col min="20" max="21" width="12" style="126" bestFit="1" customWidth="1"/>
    <col min="22" max="22" width="11.28515625" style="126" bestFit="1" customWidth="1"/>
    <col min="23" max="23" width="12" style="126" bestFit="1" customWidth="1"/>
    <col min="24" max="24" width="12" style="126" customWidth="1"/>
    <col min="25" max="25" width="10.140625" style="126" bestFit="1" customWidth="1"/>
    <col min="26" max="26" width="11.42578125" style="126" bestFit="1" customWidth="1"/>
    <col min="27" max="16384" width="9.140625" style="126"/>
  </cols>
  <sheetData>
    <row r="1" spans="1:26" x14ac:dyDescent="0.2">
      <c r="E1" s="372">
        <v>72</v>
      </c>
      <c r="F1" s="372">
        <f>E1+1</f>
        <v>73</v>
      </c>
      <c r="G1" s="372">
        <f t="shared" ref="G1:W2" si="0">F1+1</f>
        <v>74</v>
      </c>
      <c r="H1" s="372">
        <f t="shared" si="0"/>
        <v>75</v>
      </c>
      <c r="I1" s="372">
        <f t="shared" si="0"/>
        <v>76</v>
      </c>
      <c r="J1" s="372">
        <f t="shared" si="0"/>
        <v>77</v>
      </c>
      <c r="K1" s="372">
        <f t="shared" si="0"/>
        <v>78</v>
      </c>
      <c r="L1" s="372">
        <f t="shared" si="0"/>
        <v>79</v>
      </c>
      <c r="M1" s="372">
        <f t="shared" si="0"/>
        <v>80</v>
      </c>
      <c r="N1" s="372">
        <f t="shared" si="0"/>
        <v>81</v>
      </c>
      <c r="O1" s="372">
        <f t="shared" si="0"/>
        <v>82</v>
      </c>
      <c r="P1" s="372">
        <f t="shared" si="0"/>
        <v>83</v>
      </c>
      <c r="Q1" s="372">
        <f t="shared" si="0"/>
        <v>84</v>
      </c>
      <c r="R1" s="372">
        <f t="shared" si="0"/>
        <v>85</v>
      </c>
      <c r="S1" s="372">
        <f t="shared" si="0"/>
        <v>86</v>
      </c>
      <c r="T1" s="372">
        <f t="shared" si="0"/>
        <v>87</v>
      </c>
      <c r="U1" s="372">
        <f t="shared" si="0"/>
        <v>88</v>
      </c>
      <c r="V1" s="372">
        <f t="shared" si="0"/>
        <v>89</v>
      </c>
      <c r="W1" s="372">
        <f t="shared" si="0"/>
        <v>90</v>
      </c>
      <c r="X1" s="372"/>
      <c r="Y1" s="373" t="s">
        <v>2814</v>
      </c>
    </row>
    <row r="2" spans="1:26" x14ac:dyDescent="0.2">
      <c r="E2" s="374">
        <v>34</v>
      </c>
      <c r="F2" s="374">
        <f>E2+1</f>
        <v>35</v>
      </c>
      <c r="G2" s="374">
        <f t="shared" si="0"/>
        <v>36</v>
      </c>
      <c r="H2" s="374">
        <f t="shared" si="0"/>
        <v>37</v>
      </c>
      <c r="I2" s="374">
        <f t="shared" si="0"/>
        <v>38</v>
      </c>
      <c r="J2" s="374">
        <f t="shared" si="0"/>
        <v>39</v>
      </c>
      <c r="K2" s="374">
        <f t="shared" si="0"/>
        <v>40</v>
      </c>
      <c r="L2" s="374">
        <f t="shared" si="0"/>
        <v>41</v>
      </c>
      <c r="M2" s="374">
        <f t="shared" si="0"/>
        <v>42</v>
      </c>
      <c r="N2" s="374">
        <f t="shared" si="0"/>
        <v>43</v>
      </c>
      <c r="O2" s="374">
        <f t="shared" si="0"/>
        <v>44</v>
      </c>
      <c r="P2" s="374">
        <f t="shared" si="0"/>
        <v>45</v>
      </c>
      <c r="Q2" s="374">
        <f t="shared" si="0"/>
        <v>46</v>
      </c>
      <c r="R2" s="374">
        <f t="shared" si="0"/>
        <v>47</v>
      </c>
      <c r="S2" s="374">
        <f t="shared" si="0"/>
        <v>48</v>
      </c>
      <c r="T2" s="374">
        <f t="shared" si="0"/>
        <v>49</v>
      </c>
      <c r="U2" s="374">
        <f t="shared" si="0"/>
        <v>50</v>
      </c>
      <c r="V2" s="374">
        <f t="shared" si="0"/>
        <v>51</v>
      </c>
      <c r="W2" s="374">
        <f t="shared" si="0"/>
        <v>52</v>
      </c>
      <c r="X2" s="374"/>
      <c r="Y2" s="375" t="s">
        <v>2974</v>
      </c>
    </row>
    <row r="3" spans="1:26" x14ac:dyDescent="0.2">
      <c r="E3" s="124" t="s">
        <v>1012</v>
      </c>
      <c r="F3" s="124" t="s">
        <v>1013</v>
      </c>
      <c r="G3" s="125" t="s">
        <v>1014</v>
      </c>
      <c r="H3" s="124" t="s">
        <v>1015</v>
      </c>
      <c r="I3" s="124" t="s">
        <v>1016</v>
      </c>
      <c r="J3" s="124" t="s">
        <v>1017</v>
      </c>
      <c r="K3" s="124" t="s">
        <v>1018</v>
      </c>
      <c r="L3" s="124" t="s">
        <v>1019</v>
      </c>
      <c r="M3" s="124" t="s">
        <v>1020</v>
      </c>
      <c r="N3" s="124" t="s">
        <v>1021</v>
      </c>
      <c r="O3" s="124" t="s">
        <v>1022</v>
      </c>
      <c r="P3" s="124" t="s">
        <v>1023</v>
      </c>
      <c r="Q3" s="124" t="s">
        <v>1024</v>
      </c>
      <c r="R3" s="124" t="s">
        <v>1025</v>
      </c>
      <c r="S3" s="124" t="s">
        <v>1026</v>
      </c>
      <c r="T3" s="124" t="s">
        <v>1027</v>
      </c>
      <c r="U3" s="124" t="s">
        <v>1028</v>
      </c>
      <c r="V3" s="124" t="s">
        <v>1029</v>
      </c>
      <c r="W3" s="124" t="s">
        <v>1030</v>
      </c>
      <c r="X3" s="124"/>
    </row>
    <row r="4" spans="1:26" x14ac:dyDescent="0.2">
      <c r="E4" s="127">
        <v>3</v>
      </c>
      <c r="F4" s="127">
        <f>E4+1</f>
        <v>4</v>
      </c>
      <c r="G4" s="127">
        <f t="shared" ref="G4:W4" si="1">F4+1</f>
        <v>5</v>
      </c>
      <c r="H4" s="127">
        <f t="shared" si="1"/>
        <v>6</v>
      </c>
      <c r="I4" s="127">
        <f t="shared" si="1"/>
        <v>7</v>
      </c>
      <c r="J4" s="127">
        <f t="shared" si="1"/>
        <v>8</v>
      </c>
      <c r="K4" s="127">
        <f t="shared" si="1"/>
        <v>9</v>
      </c>
      <c r="L4" s="127">
        <f t="shared" si="1"/>
        <v>10</v>
      </c>
      <c r="M4" s="127">
        <f t="shared" si="1"/>
        <v>11</v>
      </c>
      <c r="N4" s="127">
        <f t="shared" si="1"/>
        <v>12</v>
      </c>
      <c r="O4" s="127">
        <f t="shared" si="1"/>
        <v>13</v>
      </c>
      <c r="P4" s="127">
        <f t="shared" si="1"/>
        <v>14</v>
      </c>
      <c r="Q4" s="127">
        <f t="shared" si="1"/>
        <v>15</v>
      </c>
      <c r="R4" s="127">
        <f t="shared" si="1"/>
        <v>16</v>
      </c>
      <c r="S4" s="127">
        <f t="shared" si="1"/>
        <v>17</v>
      </c>
      <c r="T4" s="127">
        <f t="shared" si="1"/>
        <v>18</v>
      </c>
      <c r="U4" s="127">
        <f t="shared" si="1"/>
        <v>19</v>
      </c>
      <c r="V4" s="127">
        <f t="shared" si="1"/>
        <v>20</v>
      </c>
      <c r="W4" s="127">
        <f t="shared" si="1"/>
        <v>21</v>
      </c>
      <c r="X4" s="127"/>
      <c r="Z4" s="371"/>
    </row>
    <row r="5" spans="1:26" ht="56.25" x14ac:dyDescent="0.2">
      <c r="A5" s="128" t="s">
        <v>2808</v>
      </c>
      <c r="B5" s="128" t="s">
        <v>2809</v>
      </c>
      <c r="C5" s="129" t="s">
        <v>1001</v>
      </c>
      <c r="D5" s="130" t="s">
        <v>1000</v>
      </c>
      <c r="E5" s="17" t="s">
        <v>1031</v>
      </c>
      <c r="F5" s="17" t="s">
        <v>1032</v>
      </c>
      <c r="G5" s="17" t="s">
        <v>1033</v>
      </c>
      <c r="H5" s="17" t="s">
        <v>1034</v>
      </c>
      <c r="I5" s="17" t="s">
        <v>1035</v>
      </c>
      <c r="J5" s="17" t="s">
        <v>854</v>
      </c>
      <c r="K5" s="17" t="s">
        <v>1036</v>
      </c>
      <c r="L5" s="17" t="s">
        <v>1037</v>
      </c>
      <c r="M5" s="17" t="s">
        <v>41</v>
      </c>
      <c r="N5" s="17" t="s">
        <v>1038</v>
      </c>
      <c r="O5" s="17" t="s">
        <v>1039</v>
      </c>
      <c r="P5" s="17" t="s">
        <v>1040</v>
      </c>
      <c r="Q5" s="17" t="s">
        <v>1041</v>
      </c>
      <c r="R5" s="17" t="s">
        <v>1042</v>
      </c>
      <c r="S5" s="17" t="s">
        <v>1043</v>
      </c>
      <c r="T5" s="17" t="s">
        <v>1044</v>
      </c>
      <c r="U5" s="17" t="s">
        <v>1045</v>
      </c>
      <c r="V5" s="17" t="s">
        <v>1046</v>
      </c>
      <c r="W5" s="18" t="s">
        <v>1047</v>
      </c>
      <c r="X5" s="689" t="s">
        <v>3051</v>
      </c>
      <c r="Y5" s="131" t="s">
        <v>639</v>
      </c>
      <c r="Z5" s="132"/>
    </row>
    <row r="6" spans="1:26" hidden="1" x14ac:dyDescent="0.2">
      <c r="A6" s="133" t="s">
        <v>2599</v>
      </c>
      <c r="B6" s="133"/>
      <c r="C6" s="134" t="s">
        <v>1102</v>
      </c>
      <c r="D6" s="135" t="s">
        <v>26</v>
      </c>
      <c r="E6" s="136">
        <v>0</v>
      </c>
      <c r="F6" s="136">
        <v>0</v>
      </c>
      <c r="G6" s="136">
        <v>4.4874302157497943E-2</v>
      </c>
      <c r="H6" s="136">
        <v>0</v>
      </c>
      <c r="I6" s="136">
        <v>0</v>
      </c>
      <c r="J6" s="136">
        <v>0</v>
      </c>
      <c r="K6" s="136">
        <v>7.6869566107446395E-4</v>
      </c>
      <c r="L6" s="136">
        <v>0</v>
      </c>
      <c r="M6" s="136">
        <v>0</v>
      </c>
      <c r="N6" s="136">
        <v>0.25202997004207189</v>
      </c>
      <c r="O6" s="136">
        <v>0</v>
      </c>
      <c r="P6" s="136">
        <v>0.13029368434774419</v>
      </c>
      <c r="Q6" s="136">
        <v>0</v>
      </c>
      <c r="R6" s="136">
        <v>0</v>
      </c>
      <c r="S6" s="136">
        <v>4.5298550890942951E-2</v>
      </c>
      <c r="T6" s="136">
        <v>0</v>
      </c>
      <c r="U6" s="136">
        <v>0.5267347969006686</v>
      </c>
      <c r="V6" s="136">
        <v>0</v>
      </c>
      <c r="W6" s="136">
        <v>0</v>
      </c>
      <c r="X6" s="136"/>
      <c r="Y6" s="137">
        <v>1</v>
      </c>
      <c r="Z6" s="139"/>
    </row>
    <row r="7" spans="1:26" hidden="1" x14ac:dyDescent="0.2">
      <c r="A7" s="140" t="s">
        <v>2599</v>
      </c>
      <c r="B7" s="140"/>
      <c r="C7" s="141" t="s">
        <v>1105</v>
      </c>
      <c r="D7" s="142" t="s">
        <v>33</v>
      </c>
      <c r="E7" s="136">
        <v>0</v>
      </c>
      <c r="F7" s="136">
        <v>0.26060008108430538</v>
      </c>
      <c r="G7" s="136">
        <v>7.7400160073879454E-2</v>
      </c>
      <c r="H7" s="136">
        <v>0</v>
      </c>
      <c r="I7" s="136">
        <v>0</v>
      </c>
      <c r="J7" s="136">
        <v>0</v>
      </c>
      <c r="K7" s="136">
        <v>0</v>
      </c>
      <c r="L7" s="136">
        <v>0</v>
      </c>
      <c r="M7" s="136">
        <v>0</v>
      </c>
      <c r="N7" s="136">
        <v>0.40659980361860765</v>
      </c>
      <c r="O7" s="136">
        <v>0</v>
      </c>
      <c r="P7" s="136">
        <v>2.6400035954826338E-2</v>
      </c>
      <c r="Q7" s="136">
        <v>0</v>
      </c>
      <c r="R7" s="136">
        <v>0</v>
      </c>
      <c r="S7" s="136">
        <v>0.22899991926838115</v>
      </c>
      <c r="T7" s="136">
        <v>0</v>
      </c>
      <c r="U7" s="136">
        <v>0</v>
      </c>
      <c r="V7" s="136">
        <v>0</v>
      </c>
      <c r="W7" s="136">
        <v>0</v>
      </c>
      <c r="X7" s="136"/>
      <c r="Y7" s="835">
        <v>0.99999999999999989</v>
      </c>
      <c r="Z7" s="139"/>
    </row>
    <row r="8" spans="1:26" hidden="1" x14ac:dyDescent="0.2">
      <c r="A8" s="140" t="s">
        <v>2599</v>
      </c>
      <c r="B8" s="140"/>
      <c r="C8" s="141" t="s">
        <v>1108</v>
      </c>
      <c r="D8" s="142" t="s">
        <v>1109</v>
      </c>
      <c r="E8" s="136">
        <v>0</v>
      </c>
      <c r="F8" s="136">
        <v>0</v>
      </c>
      <c r="G8" s="136">
        <v>9.5604049437070203E-3</v>
      </c>
      <c r="H8" s="136">
        <v>0</v>
      </c>
      <c r="I8" s="136">
        <v>0</v>
      </c>
      <c r="J8" s="136">
        <v>0</v>
      </c>
      <c r="K8" s="136">
        <v>0</v>
      </c>
      <c r="L8" s="136">
        <v>0</v>
      </c>
      <c r="M8" s="136">
        <v>0</v>
      </c>
      <c r="N8" s="136">
        <v>0.56218143898982686</v>
      </c>
      <c r="O8" s="136">
        <v>0</v>
      </c>
      <c r="P8" s="136">
        <v>0.26308070577347437</v>
      </c>
      <c r="Q8" s="136">
        <v>0</v>
      </c>
      <c r="R8" s="136">
        <v>0</v>
      </c>
      <c r="S8" s="136">
        <v>0.13730816501851864</v>
      </c>
      <c r="T8" s="136">
        <v>2.7869285274473111E-2</v>
      </c>
      <c r="U8" s="136">
        <v>0</v>
      </c>
      <c r="V8" s="136">
        <v>0</v>
      </c>
      <c r="W8" s="136">
        <v>0</v>
      </c>
      <c r="X8" s="136"/>
      <c r="Y8" s="835">
        <v>1</v>
      </c>
      <c r="Z8" s="139"/>
    </row>
    <row r="9" spans="1:26" hidden="1" x14ac:dyDescent="0.2">
      <c r="A9" s="140" t="s">
        <v>2599</v>
      </c>
      <c r="B9" s="140"/>
      <c r="C9" s="141" t="s">
        <v>1110</v>
      </c>
      <c r="D9" s="142" t="s">
        <v>39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6">
        <v>0.69830096537617348</v>
      </c>
      <c r="O9" s="136">
        <v>0</v>
      </c>
      <c r="P9" s="136">
        <v>0.1124007955164848</v>
      </c>
      <c r="Q9" s="136">
        <v>0</v>
      </c>
      <c r="R9" s="136">
        <v>0</v>
      </c>
      <c r="S9" s="136">
        <v>0.16889877166487649</v>
      </c>
      <c r="T9" s="136">
        <v>2.039946744246534E-2</v>
      </c>
      <c r="U9" s="136">
        <v>0</v>
      </c>
      <c r="V9" s="136">
        <v>0</v>
      </c>
      <c r="W9" s="136">
        <v>0</v>
      </c>
      <c r="X9" s="136"/>
      <c r="Y9" s="835">
        <v>1</v>
      </c>
      <c r="Z9" s="139"/>
    </row>
    <row r="10" spans="1:26" hidden="1" x14ac:dyDescent="0.2">
      <c r="A10" s="140" t="s">
        <v>2599</v>
      </c>
      <c r="B10" s="140"/>
      <c r="C10" s="141" t="s">
        <v>1111</v>
      </c>
      <c r="D10" s="142" t="s">
        <v>1112</v>
      </c>
      <c r="E10" s="136">
        <v>0</v>
      </c>
      <c r="F10" s="136">
        <v>0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1</v>
      </c>
      <c r="T10" s="136">
        <v>0</v>
      </c>
      <c r="U10" s="136">
        <v>0</v>
      </c>
      <c r="V10" s="136">
        <v>0</v>
      </c>
      <c r="W10" s="136">
        <v>0</v>
      </c>
      <c r="X10" s="136"/>
      <c r="Y10" s="835">
        <v>1</v>
      </c>
      <c r="Z10" s="139"/>
    </row>
    <row r="11" spans="1:26" hidden="1" x14ac:dyDescent="0.2">
      <c r="A11" s="741" t="s">
        <v>2599</v>
      </c>
      <c r="B11" s="741"/>
      <c r="C11" s="742" t="s">
        <v>1354</v>
      </c>
      <c r="D11" s="743" t="s">
        <v>1355</v>
      </c>
      <c r="E11" s="744">
        <v>0</v>
      </c>
      <c r="F11" s="744">
        <v>5.99936848752763E-3</v>
      </c>
      <c r="G11" s="744">
        <v>6.880161138447323E-2</v>
      </c>
      <c r="H11" s="744">
        <v>0</v>
      </c>
      <c r="I11" s="744">
        <v>0</v>
      </c>
      <c r="J11" s="744">
        <v>0</v>
      </c>
      <c r="K11" s="744">
        <v>0</v>
      </c>
      <c r="L11" s="744">
        <v>0</v>
      </c>
      <c r="M11" s="744">
        <v>0</v>
      </c>
      <c r="N11" s="744">
        <v>0.2140962288791419</v>
      </c>
      <c r="O11" s="744">
        <v>0</v>
      </c>
      <c r="P11" s="744">
        <v>0.34840063522013975</v>
      </c>
      <c r="Q11" s="744">
        <v>0</v>
      </c>
      <c r="R11" s="744">
        <v>0</v>
      </c>
      <c r="S11" s="744">
        <v>0.14400318053377922</v>
      </c>
      <c r="T11" s="744">
        <v>0.21869897549493836</v>
      </c>
      <c r="U11" s="744">
        <v>0</v>
      </c>
      <c r="V11" s="744">
        <v>0</v>
      </c>
      <c r="W11" s="744">
        <v>0</v>
      </c>
      <c r="X11" s="744">
        <v>0</v>
      </c>
      <c r="Y11" s="836">
        <v>1</v>
      </c>
      <c r="Z11" s="139"/>
    </row>
    <row r="12" spans="1:26" hidden="1" x14ac:dyDescent="0.2">
      <c r="A12" s="741" t="s">
        <v>2599</v>
      </c>
      <c r="B12" s="741"/>
      <c r="C12" s="742" t="s">
        <v>1358</v>
      </c>
      <c r="D12" s="743" t="s">
        <v>1359</v>
      </c>
      <c r="E12" s="744">
        <v>0</v>
      </c>
      <c r="F12" s="744">
        <v>0</v>
      </c>
      <c r="G12" s="744">
        <v>2.999971012283276E-2</v>
      </c>
      <c r="H12" s="744">
        <v>0</v>
      </c>
      <c r="I12" s="744">
        <v>0</v>
      </c>
      <c r="J12" s="744">
        <v>0</v>
      </c>
      <c r="K12" s="744">
        <v>0</v>
      </c>
      <c r="L12" s="744">
        <v>0</v>
      </c>
      <c r="M12" s="744">
        <v>0</v>
      </c>
      <c r="N12" s="744">
        <v>0.57600067566431057</v>
      </c>
      <c r="O12" s="744">
        <v>0</v>
      </c>
      <c r="P12" s="744">
        <v>0.12189986211151535</v>
      </c>
      <c r="Q12" s="744">
        <v>2.7999987116570338E-3</v>
      </c>
      <c r="R12" s="744">
        <v>0</v>
      </c>
      <c r="S12" s="744">
        <v>0.26929975338968404</v>
      </c>
      <c r="T12" s="744">
        <v>0</v>
      </c>
      <c r="U12" s="744">
        <v>0</v>
      </c>
      <c r="V12" s="744">
        <v>0</v>
      </c>
      <c r="W12" s="744">
        <v>0</v>
      </c>
      <c r="X12" s="744">
        <v>0</v>
      </c>
      <c r="Y12" s="836">
        <v>1.0000000000000002</v>
      </c>
      <c r="Z12" s="139"/>
    </row>
    <row r="13" spans="1:26" hidden="1" x14ac:dyDescent="0.2">
      <c r="A13" s="741" t="s">
        <v>2599</v>
      </c>
      <c r="B13" s="741"/>
      <c r="C13" s="742" t="s">
        <v>1666</v>
      </c>
      <c r="D13" s="743" t="s">
        <v>1667</v>
      </c>
      <c r="E13" s="744">
        <v>0</v>
      </c>
      <c r="F13" s="744">
        <v>0</v>
      </c>
      <c r="G13" s="744">
        <v>0</v>
      </c>
      <c r="H13" s="744">
        <v>0</v>
      </c>
      <c r="I13" s="744">
        <v>0</v>
      </c>
      <c r="J13" s="744">
        <v>0</v>
      </c>
      <c r="K13" s="744">
        <v>0</v>
      </c>
      <c r="L13" s="744">
        <v>0</v>
      </c>
      <c r="M13" s="744">
        <v>0</v>
      </c>
      <c r="N13" s="744">
        <v>0.61189994309582563</v>
      </c>
      <c r="O13" s="744">
        <v>0</v>
      </c>
      <c r="P13" s="744">
        <v>0.13740006427146001</v>
      </c>
      <c r="Q13" s="744">
        <v>0</v>
      </c>
      <c r="R13" s="744">
        <v>0</v>
      </c>
      <c r="S13" s="744">
        <v>0.25069999263271442</v>
      </c>
      <c r="T13" s="744">
        <v>0</v>
      </c>
      <c r="U13" s="744">
        <v>0</v>
      </c>
      <c r="V13" s="744">
        <v>0</v>
      </c>
      <c r="W13" s="744">
        <v>0</v>
      </c>
      <c r="X13" s="744">
        <v>0</v>
      </c>
      <c r="Y13" s="836">
        <v>1</v>
      </c>
      <c r="Z13" s="139"/>
    </row>
    <row r="14" spans="1:26" hidden="1" x14ac:dyDescent="0.2">
      <c r="A14" s="140" t="s">
        <v>2599</v>
      </c>
      <c r="B14" s="140"/>
      <c r="C14" s="141" t="s">
        <v>1115</v>
      </c>
      <c r="D14" s="142" t="s">
        <v>1116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4.2068987105254273E-2</v>
      </c>
      <c r="Q14" s="136">
        <v>0</v>
      </c>
      <c r="R14" s="136">
        <v>0</v>
      </c>
      <c r="S14" s="136">
        <v>0.95793101289474569</v>
      </c>
      <c r="T14" s="136">
        <v>0</v>
      </c>
      <c r="U14" s="136">
        <v>0</v>
      </c>
      <c r="V14" s="136">
        <v>0</v>
      </c>
      <c r="W14" s="136">
        <v>0</v>
      </c>
      <c r="X14" s="136"/>
      <c r="Y14" s="835">
        <v>1</v>
      </c>
      <c r="Z14" s="139"/>
    </row>
    <row r="15" spans="1:26" hidden="1" x14ac:dyDescent="0.2">
      <c r="A15" s="140" t="s">
        <v>2599</v>
      </c>
      <c r="B15" s="140"/>
      <c r="C15" s="145" t="s">
        <v>1364</v>
      </c>
      <c r="D15" s="146" t="s">
        <v>1365</v>
      </c>
      <c r="E15" s="136">
        <v>0</v>
      </c>
      <c r="F15" s="136">
        <v>0</v>
      </c>
      <c r="G15" s="136">
        <v>1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/>
      <c r="Y15" s="835">
        <v>1</v>
      </c>
      <c r="Z15" s="139"/>
    </row>
    <row r="16" spans="1:26" hidden="1" x14ac:dyDescent="0.2">
      <c r="A16" s="140" t="s">
        <v>2599</v>
      </c>
      <c r="B16" s="140"/>
      <c r="C16" s="141" t="s">
        <v>1117</v>
      </c>
      <c r="D16" s="142" t="s">
        <v>1118</v>
      </c>
      <c r="E16" s="136">
        <v>8.3663013714077375E-2</v>
      </c>
      <c r="F16" s="136">
        <v>0.34995130688803661</v>
      </c>
      <c r="G16" s="136">
        <v>0.56255793985886371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2.2975710230783704E-9</v>
      </c>
      <c r="Q16" s="136">
        <v>0</v>
      </c>
      <c r="R16" s="136">
        <v>0</v>
      </c>
      <c r="S16" s="136">
        <v>3.8277372414514035E-3</v>
      </c>
      <c r="T16" s="136">
        <v>0</v>
      </c>
      <c r="U16" s="136">
        <v>0</v>
      </c>
      <c r="V16" s="136">
        <v>0</v>
      </c>
      <c r="W16" s="136">
        <v>0</v>
      </c>
      <c r="X16" s="136"/>
      <c r="Y16" s="835">
        <v>1.0000000000000002</v>
      </c>
      <c r="Z16" s="139"/>
    </row>
    <row r="17" spans="1:26" hidden="1" x14ac:dyDescent="0.2">
      <c r="A17" s="741" t="s">
        <v>2599</v>
      </c>
      <c r="B17" s="741"/>
      <c r="C17" s="742" t="s">
        <v>1378</v>
      </c>
      <c r="D17" s="743" t="s">
        <v>1379</v>
      </c>
      <c r="E17" s="745">
        <v>0</v>
      </c>
      <c r="F17" s="745">
        <v>0</v>
      </c>
      <c r="G17" s="745">
        <v>4.5019449406495209E-2</v>
      </c>
      <c r="H17" s="745">
        <v>0</v>
      </c>
      <c r="I17" s="745">
        <v>0</v>
      </c>
      <c r="J17" s="745">
        <v>0</v>
      </c>
      <c r="K17" s="745">
        <v>0</v>
      </c>
      <c r="L17" s="745">
        <v>0</v>
      </c>
      <c r="M17" s="745">
        <v>0</v>
      </c>
      <c r="N17" s="745">
        <v>0.46141719957434996</v>
      </c>
      <c r="O17" s="745">
        <v>0</v>
      </c>
      <c r="P17" s="745">
        <v>0.22842542937902044</v>
      </c>
      <c r="Q17" s="745">
        <v>0</v>
      </c>
      <c r="R17" s="745">
        <v>0</v>
      </c>
      <c r="S17" s="745">
        <v>0.26513792164013439</v>
      </c>
      <c r="T17" s="745">
        <v>0</v>
      </c>
      <c r="U17" s="745">
        <v>0</v>
      </c>
      <c r="V17" s="745">
        <v>0</v>
      </c>
      <c r="W17" s="745">
        <v>0</v>
      </c>
      <c r="X17" s="744">
        <v>0</v>
      </c>
      <c r="Y17" s="836">
        <v>1</v>
      </c>
      <c r="Z17" s="139"/>
    </row>
    <row r="18" spans="1:26" hidden="1" x14ac:dyDescent="0.2">
      <c r="A18" s="140" t="s">
        <v>2599</v>
      </c>
      <c r="B18" s="140"/>
      <c r="C18" s="143" t="s">
        <v>2266</v>
      </c>
      <c r="D18" s="147" t="s">
        <v>2810</v>
      </c>
      <c r="E18" s="136">
        <v>0</v>
      </c>
      <c r="F18" s="136">
        <v>0</v>
      </c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6">
        <v>1</v>
      </c>
      <c r="T18" s="136">
        <v>0</v>
      </c>
      <c r="U18" s="136">
        <v>0</v>
      </c>
      <c r="V18" s="136">
        <v>0</v>
      </c>
      <c r="W18" s="136">
        <v>0</v>
      </c>
      <c r="X18" s="136"/>
      <c r="Y18" s="835">
        <v>1</v>
      </c>
      <c r="Z18" s="139"/>
    </row>
    <row r="19" spans="1:26" hidden="1" x14ac:dyDescent="0.2">
      <c r="A19" s="133" t="s">
        <v>2599</v>
      </c>
      <c r="B19" s="133"/>
      <c r="C19" s="148" t="s">
        <v>2265</v>
      </c>
      <c r="D19" s="149" t="s">
        <v>2811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6">
        <v>0</v>
      </c>
      <c r="O19" s="136">
        <v>0</v>
      </c>
      <c r="P19" s="136">
        <v>0</v>
      </c>
      <c r="Q19" s="136">
        <v>0</v>
      </c>
      <c r="R19" s="136">
        <v>0</v>
      </c>
      <c r="S19" s="136">
        <v>1</v>
      </c>
      <c r="T19" s="136">
        <v>0</v>
      </c>
      <c r="U19" s="136">
        <v>0</v>
      </c>
      <c r="V19" s="136">
        <v>0</v>
      </c>
      <c r="W19" s="136">
        <v>0</v>
      </c>
      <c r="X19" s="683"/>
      <c r="Y19" s="837">
        <v>1</v>
      </c>
      <c r="Z19" s="139"/>
    </row>
    <row r="20" spans="1:26" hidden="1" x14ac:dyDescent="0.2">
      <c r="A20" s="140" t="s">
        <v>2599</v>
      </c>
      <c r="B20" s="140"/>
      <c r="C20" s="141" t="s">
        <v>1120</v>
      </c>
      <c r="D20" s="142" t="s">
        <v>1121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0.88761005036984553</v>
      </c>
      <c r="O20" s="136">
        <v>0</v>
      </c>
      <c r="P20" s="136">
        <v>8.6815523407040504E-2</v>
      </c>
      <c r="Q20" s="136">
        <v>0</v>
      </c>
      <c r="R20" s="136">
        <v>0</v>
      </c>
      <c r="S20" s="136">
        <v>2.5574426223114084E-2</v>
      </c>
      <c r="T20" s="136">
        <v>0</v>
      </c>
      <c r="U20" s="136">
        <v>0</v>
      </c>
      <c r="V20" s="136">
        <v>0</v>
      </c>
      <c r="W20" s="136">
        <v>0</v>
      </c>
      <c r="X20" s="136"/>
      <c r="Y20" s="835">
        <v>1</v>
      </c>
      <c r="Z20" s="139"/>
    </row>
    <row r="21" spans="1:26" hidden="1" x14ac:dyDescent="0.2">
      <c r="A21" s="140" t="s">
        <v>2599</v>
      </c>
      <c r="B21" s="140"/>
      <c r="C21" s="143" t="s">
        <v>2812</v>
      </c>
      <c r="D21" s="147" t="s">
        <v>2813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1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/>
      <c r="Y21" s="835">
        <v>1</v>
      </c>
      <c r="Z21" s="139"/>
    </row>
    <row r="22" spans="1:26" hidden="1" x14ac:dyDescent="0.2">
      <c r="A22" s="140" t="s">
        <v>2599</v>
      </c>
      <c r="B22" s="140"/>
      <c r="C22" s="145" t="s">
        <v>1410</v>
      </c>
      <c r="D22" s="146" t="s">
        <v>1411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6">
        <v>0</v>
      </c>
      <c r="O22" s="136">
        <v>0</v>
      </c>
      <c r="P22" s="136">
        <v>1</v>
      </c>
      <c r="Q22" s="136">
        <v>0</v>
      </c>
      <c r="R22" s="136">
        <v>0</v>
      </c>
      <c r="S22" s="136">
        <v>0</v>
      </c>
      <c r="T22" s="136">
        <v>0</v>
      </c>
      <c r="U22" s="136">
        <v>0</v>
      </c>
      <c r="V22" s="136">
        <v>0</v>
      </c>
      <c r="W22" s="136">
        <v>0</v>
      </c>
      <c r="X22" s="136"/>
      <c r="Y22" s="835">
        <v>1</v>
      </c>
      <c r="Z22" s="139"/>
    </row>
    <row r="23" spans="1:26" hidden="1" x14ac:dyDescent="0.2">
      <c r="A23" s="150" t="s">
        <v>2599</v>
      </c>
      <c r="B23" s="133"/>
      <c r="C23" s="151" t="s">
        <v>1122</v>
      </c>
      <c r="D23" s="152" t="s">
        <v>63</v>
      </c>
      <c r="E23" s="136">
        <v>0</v>
      </c>
      <c r="F23" s="136">
        <v>0</v>
      </c>
      <c r="G23" s="136">
        <v>0</v>
      </c>
      <c r="H23" s="136">
        <v>0</v>
      </c>
      <c r="I23" s="136">
        <v>0</v>
      </c>
      <c r="J23" s="136">
        <v>1</v>
      </c>
      <c r="K23" s="136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>
        <v>0</v>
      </c>
      <c r="W23" s="136">
        <v>0</v>
      </c>
      <c r="X23" s="683"/>
      <c r="Y23" s="838">
        <v>1</v>
      </c>
      <c r="Z23" s="139"/>
    </row>
    <row r="24" spans="1:26" hidden="1" x14ac:dyDescent="0.2">
      <c r="A24" s="133" t="s">
        <v>2599</v>
      </c>
      <c r="B24" s="133"/>
      <c r="C24" s="153" t="s">
        <v>1123</v>
      </c>
      <c r="D24" s="154" t="s">
        <v>1124</v>
      </c>
      <c r="E24" s="136">
        <v>0</v>
      </c>
      <c r="F24" s="136">
        <v>0</v>
      </c>
      <c r="G24" s="136">
        <v>0</v>
      </c>
      <c r="H24" s="136">
        <v>1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0</v>
      </c>
      <c r="W24" s="136">
        <v>0</v>
      </c>
      <c r="X24" s="136"/>
      <c r="Y24" s="839">
        <v>1</v>
      </c>
      <c r="Z24" s="139"/>
    </row>
    <row r="25" spans="1:26" hidden="1" x14ac:dyDescent="0.2">
      <c r="A25" s="140" t="s">
        <v>2599</v>
      </c>
      <c r="B25" s="140"/>
      <c r="C25" s="145" t="s">
        <v>1435</v>
      </c>
      <c r="D25" s="146" t="s">
        <v>1436</v>
      </c>
      <c r="E25" s="136">
        <v>0</v>
      </c>
      <c r="F25" s="136">
        <v>0</v>
      </c>
      <c r="G25" s="136">
        <v>0</v>
      </c>
      <c r="H25" s="136">
        <v>0.10289999210002607</v>
      </c>
      <c r="I25" s="136">
        <v>0</v>
      </c>
      <c r="J25" s="136">
        <v>0</v>
      </c>
      <c r="K25" s="136">
        <v>0</v>
      </c>
      <c r="L25" s="136">
        <v>0.89710000789997391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/>
      <c r="Y25" s="835">
        <v>1</v>
      </c>
      <c r="Z25" s="139"/>
    </row>
    <row r="26" spans="1:26" hidden="1" x14ac:dyDescent="0.2">
      <c r="A26" s="133" t="s">
        <v>2599</v>
      </c>
      <c r="B26" s="133"/>
      <c r="C26" s="155" t="s">
        <v>1127</v>
      </c>
      <c r="D26" s="156" t="s">
        <v>1128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1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683"/>
      <c r="Y26" s="837">
        <v>1</v>
      </c>
      <c r="Z26" s="139"/>
    </row>
    <row r="27" spans="1:26" hidden="1" x14ac:dyDescent="0.2">
      <c r="A27" s="140" t="s">
        <v>2599</v>
      </c>
      <c r="B27" s="140"/>
      <c r="C27" s="141" t="s">
        <v>1129</v>
      </c>
      <c r="D27" s="142" t="s">
        <v>1130</v>
      </c>
      <c r="E27" s="136">
        <v>0.4189960583470716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0.24479790471551827</v>
      </c>
      <c r="O27" s="136">
        <v>0</v>
      </c>
      <c r="P27" s="136">
        <v>2.7199738313890671E-2</v>
      </c>
      <c r="Q27" s="136">
        <v>0</v>
      </c>
      <c r="R27" s="136">
        <v>0</v>
      </c>
      <c r="S27" s="136">
        <v>0.30900629862351947</v>
      </c>
      <c r="T27" s="136">
        <v>0</v>
      </c>
      <c r="U27" s="136">
        <v>0</v>
      </c>
      <c r="V27" s="136">
        <v>0</v>
      </c>
      <c r="W27" s="136">
        <v>0</v>
      </c>
      <c r="X27" s="136"/>
      <c r="Y27" s="835">
        <v>1</v>
      </c>
      <c r="Z27" s="139"/>
    </row>
    <row r="28" spans="1:26" hidden="1" x14ac:dyDescent="0.2">
      <c r="A28" s="133" t="s">
        <v>2599</v>
      </c>
      <c r="B28" s="133"/>
      <c r="C28" s="155" t="s">
        <v>1131</v>
      </c>
      <c r="D28" s="156" t="s">
        <v>1132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1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683"/>
      <c r="Y28" s="837">
        <v>1</v>
      </c>
      <c r="Z28" s="139"/>
    </row>
    <row r="29" spans="1:26" hidden="1" x14ac:dyDescent="0.2">
      <c r="A29" s="140" t="s">
        <v>2599</v>
      </c>
      <c r="B29" s="140"/>
      <c r="C29" s="141" t="s">
        <v>1133</v>
      </c>
      <c r="D29" s="142" t="s">
        <v>64</v>
      </c>
      <c r="E29" s="136">
        <v>0</v>
      </c>
      <c r="F29" s="136">
        <v>0</v>
      </c>
      <c r="G29" s="136">
        <v>0</v>
      </c>
      <c r="H29" s="136">
        <v>1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/>
      <c r="Y29" s="835">
        <v>1</v>
      </c>
      <c r="Z29" s="139"/>
    </row>
    <row r="30" spans="1:26" hidden="1" x14ac:dyDescent="0.2">
      <c r="A30" s="140" t="s">
        <v>2599</v>
      </c>
      <c r="B30" s="140"/>
      <c r="C30" s="145" t="s">
        <v>1469</v>
      </c>
      <c r="D30" s="146" t="s">
        <v>1470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1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/>
      <c r="Y30" s="835">
        <v>1</v>
      </c>
      <c r="Z30" s="139"/>
    </row>
    <row r="31" spans="1:26" hidden="1" x14ac:dyDescent="0.2">
      <c r="A31" s="140" t="s">
        <v>2599</v>
      </c>
      <c r="B31" s="140"/>
      <c r="C31" s="145" t="s">
        <v>1489</v>
      </c>
      <c r="D31" s="146" t="s">
        <v>1490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  <c r="M31" s="136">
        <v>0</v>
      </c>
      <c r="N31" s="136">
        <v>1</v>
      </c>
      <c r="O31" s="136">
        <v>0</v>
      </c>
      <c r="P31" s="136">
        <v>0</v>
      </c>
      <c r="Q31" s="136">
        <v>0</v>
      </c>
      <c r="R31" s="136">
        <v>0</v>
      </c>
      <c r="S31" s="136">
        <v>0</v>
      </c>
      <c r="T31" s="136">
        <v>0</v>
      </c>
      <c r="U31" s="136">
        <v>0</v>
      </c>
      <c r="V31" s="136">
        <v>0</v>
      </c>
      <c r="W31" s="136">
        <v>0</v>
      </c>
      <c r="X31" s="136"/>
      <c r="Y31" s="835">
        <v>1</v>
      </c>
      <c r="Z31" s="139"/>
    </row>
    <row r="32" spans="1:26" hidden="1" x14ac:dyDescent="0.2">
      <c r="A32" s="140" t="s">
        <v>2599</v>
      </c>
      <c r="B32" s="140"/>
      <c r="C32" s="141" t="s">
        <v>1135</v>
      </c>
      <c r="D32" s="142" t="s">
        <v>1136</v>
      </c>
      <c r="E32" s="136">
        <v>0</v>
      </c>
      <c r="F32" s="136">
        <v>0</v>
      </c>
      <c r="G32" s="136">
        <v>0</v>
      </c>
      <c r="H32" s="136">
        <v>1</v>
      </c>
      <c r="I32" s="136">
        <v>0</v>
      </c>
      <c r="J32" s="136">
        <v>0</v>
      </c>
      <c r="K32" s="136">
        <v>0</v>
      </c>
      <c r="L32" s="136">
        <v>0</v>
      </c>
      <c r="M32" s="136">
        <v>0</v>
      </c>
      <c r="N32" s="136">
        <v>0</v>
      </c>
      <c r="O32" s="136">
        <v>0</v>
      </c>
      <c r="P32" s="136">
        <v>0</v>
      </c>
      <c r="Q32" s="136">
        <v>0</v>
      </c>
      <c r="R32" s="136">
        <v>0</v>
      </c>
      <c r="S32" s="136">
        <v>0</v>
      </c>
      <c r="T32" s="136">
        <v>0</v>
      </c>
      <c r="U32" s="136">
        <v>0</v>
      </c>
      <c r="V32" s="136">
        <v>0</v>
      </c>
      <c r="W32" s="136">
        <v>0</v>
      </c>
      <c r="X32" s="136"/>
      <c r="Y32" s="835">
        <v>1</v>
      </c>
      <c r="Z32" s="139"/>
    </row>
    <row r="33" spans="1:26" hidden="1" x14ac:dyDescent="0.2">
      <c r="A33" s="140" t="s">
        <v>2599</v>
      </c>
      <c r="B33" s="140"/>
      <c r="C33" s="141" t="s">
        <v>1137</v>
      </c>
      <c r="D33" s="142" t="s">
        <v>1138</v>
      </c>
      <c r="E33" s="136">
        <v>0</v>
      </c>
      <c r="F33" s="136">
        <v>0</v>
      </c>
      <c r="G33" s="136">
        <v>0</v>
      </c>
      <c r="H33" s="136">
        <v>1</v>
      </c>
      <c r="I33" s="136">
        <v>0</v>
      </c>
      <c r="J33" s="136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6">
        <v>0</v>
      </c>
      <c r="S33" s="136">
        <v>0</v>
      </c>
      <c r="T33" s="136">
        <v>0</v>
      </c>
      <c r="U33" s="136">
        <v>0</v>
      </c>
      <c r="V33" s="136">
        <v>0</v>
      </c>
      <c r="W33" s="136">
        <v>0</v>
      </c>
      <c r="X33" s="136"/>
      <c r="Y33" s="835">
        <v>1</v>
      </c>
      <c r="Z33" s="139"/>
    </row>
    <row r="34" spans="1:26" hidden="1" x14ac:dyDescent="0.2">
      <c r="A34" s="140" t="s">
        <v>2599</v>
      </c>
      <c r="B34" s="140"/>
      <c r="C34" s="141" t="s">
        <v>1139</v>
      </c>
      <c r="D34" s="142" t="s">
        <v>1140</v>
      </c>
      <c r="E34" s="136">
        <v>0</v>
      </c>
      <c r="F34" s="136">
        <v>0</v>
      </c>
      <c r="G34" s="136">
        <v>0</v>
      </c>
      <c r="H34" s="136">
        <v>1</v>
      </c>
      <c r="I34" s="136">
        <v>0</v>
      </c>
      <c r="J34" s="136">
        <v>0</v>
      </c>
      <c r="K34" s="136">
        <v>0</v>
      </c>
      <c r="L34" s="136">
        <v>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6">
        <v>0</v>
      </c>
      <c r="T34" s="136">
        <v>0</v>
      </c>
      <c r="U34" s="136">
        <v>0</v>
      </c>
      <c r="V34" s="136">
        <v>0</v>
      </c>
      <c r="W34" s="136">
        <v>0</v>
      </c>
      <c r="X34" s="136"/>
      <c r="Y34" s="835">
        <v>1</v>
      </c>
      <c r="Z34" s="139"/>
    </row>
    <row r="35" spans="1:26" hidden="1" x14ac:dyDescent="0.2">
      <c r="A35" s="140" t="s">
        <v>2599</v>
      </c>
      <c r="B35" s="140"/>
      <c r="C35" s="145" t="s">
        <v>1512</v>
      </c>
      <c r="D35" s="146" t="s">
        <v>1513</v>
      </c>
      <c r="E35" s="136">
        <v>1</v>
      </c>
      <c r="F35" s="136">
        <v>0</v>
      </c>
      <c r="G35" s="136">
        <v>0</v>
      </c>
      <c r="H35" s="136">
        <v>0</v>
      </c>
      <c r="I35" s="136">
        <v>0</v>
      </c>
      <c r="J35" s="136">
        <v>0</v>
      </c>
      <c r="K35" s="136">
        <v>0</v>
      </c>
      <c r="L35" s="136">
        <v>0</v>
      </c>
      <c r="M35" s="136">
        <v>0</v>
      </c>
      <c r="N35" s="136">
        <v>0</v>
      </c>
      <c r="O35" s="136">
        <v>0</v>
      </c>
      <c r="P35" s="136">
        <v>0</v>
      </c>
      <c r="Q35" s="136">
        <v>0</v>
      </c>
      <c r="R35" s="136">
        <v>0</v>
      </c>
      <c r="S35" s="136">
        <v>0</v>
      </c>
      <c r="T35" s="136">
        <v>0</v>
      </c>
      <c r="U35" s="136">
        <v>0</v>
      </c>
      <c r="V35" s="136">
        <v>0</v>
      </c>
      <c r="W35" s="136">
        <v>0</v>
      </c>
      <c r="X35" s="136"/>
      <c r="Y35" s="835">
        <v>1</v>
      </c>
      <c r="Z35" s="139"/>
    </row>
    <row r="36" spans="1:26" hidden="1" x14ac:dyDescent="0.2">
      <c r="A36" s="140" t="s">
        <v>2599</v>
      </c>
      <c r="B36" s="140"/>
      <c r="C36" s="145" t="s">
        <v>1516</v>
      </c>
      <c r="D36" s="146" t="s">
        <v>1517</v>
      </c>
      <c r="E36" s="136">
        <v>0</v>
      </c>
      <c r="F36" s="136">
        <v>0</v>
      </c>
      <c r="G36" s="136">
        <v>0</v>
      </c>
      <c r="H36" s="136">
        <v>1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/>
      <c r="Y36" s="835">
        <v>1</v>
      </c>
      <c r="Z36" s="139"/>
    </row>
    <row r="37" spans="1:26" hidden="1" x14ac:dyDescent="0.2">
      <c r="A37" s="140" t="s">
        <v>2599</v>
      </c>
      <c r="B37" s="140"/>
      <c r="C37" s="145" t="s">
        <v>1518</v>
      </c>
      <c r="D37" s="146" t="s">
        <v>1519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6">
        <v>0</v>
      </c>
      <c r="O37" s="136">
        <v>0</v>
      </c>
      <c r="P37" s="136">
        <v>0</v>
      </c>
      <c r="Q37" s="136">
        <v>0</v>
      </c>
      <c r="R37" s="136">
        <v>0</v>
      </c>
      <c r="S37" s="136">
        <v>1</v>
      </c>
      <c r="T37" s="136">
        <v>0</v>
      </c>
      <c r="U37" s="136">
        <v>0</v>
      </c>
      <c r="V37" s="136">
        <v>0</v>
      </c>
      <c r="W37" s="136">
        <v>0</v>
      </c>
      <c r="X37" s="136"/>
      <c r="Y37" s="835">
        <v>1</v>
      </c>
      <c r="Z37" s="139"/>
    </row>
    <row r="38" spans="1:26" hidden="1" x14ac:dyDescent="0.2">
      <c r="A38" s="133" t="s">
        <v>2599</v>
      </c>
      <c r="B38" s="133"/>
      <c r="C38" s="155" t="s">
        <v>1142</v>
      </c>
      <c r="D38" s="156" t="s">
        <v>1143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1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683"/>
      <c r="Y38" s="837">
        <v>1</v>
      </c>
      <c r="Z38" s="139"/>
    </row>
    <row r="39" spans="1:26" hidden="1" x14ac:dyDescent="0.2">
      <c r="A39" s="140" t="s">
        <v>2599</v>
      </c>
      <c r="B39" s="140"/>
      <c r="C39" s="141" t="s">
        <v>1146</v>
      </c>
      <c r="D39" s="142" t="s">
        <v>1147</v>
      </c>
      <c r="E39" s="136">
        <v>0</v>
      </c>
      <c r="F39" s="136">
        <v>0</v>
      </c>
      <c r="G39" s="136">
        <v>0</v>
      </c>
      <c r="H39" s="136">
        <v>1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/>
      <c r="Y39" s="835">
        <v>1</v>
      </c>
      <c r="Z39" s="139"/>
    </row>
    <row r="40" spans="1:26" hidden="1" x14ac:dyDescent="0.2">
      <c r="A40" s="140" t="s">
        <v>2599</v>
      </c>
      <c r="B40" s="140"/>
      <c r="C40" s="141" t="s">
        <v>1149</v>
      </c>
      <c r="D40" s="142" t="s">
        <v>1150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1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/>
      <c r="Y40" s="835">
        <v>1</v>
      </c>
      <c r="Z40" s="139"/>
    </row>
    <row r="41" spans="1:26" hidden="1" x14ac:dyDescent="0.2">
      <c r="A41" s="140" t="s">
        <v>2599</v>
      </c>
      <c r="B41" s="140"/>
      <c r="C41" s="145" t="s">
        <v>1522</v>
      </c>
      <c r="D41" s="146" t="s">
        <v>1523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6">
        <v>0</v>
      </c>
      <c r="R41" s="136">
        <v>0</v>
      </c>
      <c r="S41" s="136">
        <v>0</v>
      </c>
      <c r="T41" s="136">
        <v>1</v>
      </c>
      <c r="U41" s="136">
        <v>0</v>
      </c>
      <c r="V41" s="136">
        <v>0</v>
      </c>
      <c r="W41" s="136">
        <v>0</v>
      </c>
      <c r="X41" s="136"/>
      <c r="Y41" s="835">
        <v>1</v>
      </c>
      <c r="Z41" s="139"/>
    </row>
    <row r="42" spans="1:26" hidden="1" x14ac:dyDescent="0.2">
      <c r="A42" s="133" t="s">
        <v>2599</v>
      </c>
      <c r="B42" s="133"/>
      <c r="C42" s="157" t="s">
        <v>1524</v>
      </c>
      <c r="D42" s="158" t="s">
        <v>1525</v>
      </c>
      <c r="E42" s="136">
        <v>0</v>
      </c>
      <c r="F42" s="136">
        <v>0</v>
      </c>
      <c r="G42" s="136">
        <v>0</v>
      </c>
      <c r="H42" s="136">
        <v>1</v>
      </c>
      <c r="I42" s="136">
        <v>0</v>
      </c>
      <c r="J42" s="136">
        <v>0</v>
      </c>
      <c r="K42" s="136">
        <v>0</v>
      </c>
      <c r="L42" s="136">
        <v>0</v>
      </c>
      <c r="M42" s="136">
        <v>0</v>
      </c>
      <c r="N42" s="136">
        <v>0</v>
      </c>
      <c r="O42" s="136">
        <v>0</v>
      </c>
      <c r="P42" s="136">
        <v>0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36">
        <v>0</v>
      </c>
      <c r="X42" s="683"/>
      <c r="Y42" s="837">
        <v>1</v>
      </c>
      <c r="Z42" s="139"/>
    </row>
    <row r="43" spans="1:26" hidden="1" x14ac:dyDescent="0.2">
      <c r="A43" s="140" t="s">
        <v>2599</v>
      </c>
      <c r="B43" s="140"/>
      <c r="C43" s="145" t="s">
        <v>1526</v>
      </c>
      <c r="D43" s="146" t="s">
        <v>1527</v>
      </c>
      <c r="E43" s="136">
        <v>0</v>
      </c>
      <c r="F43" s="136">
        <v>0</v>
      </c>
      <c r="G43" s="136">
        <v>0</v>
      </c>
      <c r="H43" s="136">
        <v>1</v>
      </c>
      <c r="I43" s="136">
        <v>0</v>
      </c>
      <c r="J43" s="136">
        <v>0</v>
      </c>
      <c r="K43" s="136">
        <v>0</v>
      </c>
      <c r="L43" s="136">
        <v>0</v>
      </c>
      <c r="M43" s="136">
        <v>0</v>
      </c>
      <c r="N43" s="136">
        <v>0</v>
      </c>
      <c r="O43" s="136">
        <v>0</v>
      </c>
      <c r="P43" s="136">
        <v>0</v>
      </c>
      <c r="Q43" s="136">
        <v>0</v>
      </c>
      <c r="R43" s="136">
        <v>0</v>
      </c>
      <c r="S43" s="136">
        <v>0</v>
      </c>
      <c r="T43" s="136">
        <v>0</v>
      </c>
      <c r="U43" s="136">
        <v>0</v>
      </c>
      <c r="V43" s="136">
        <v>0</v>
      </c>
      <c r="W43" s="136">
        <v>0</v>
      </c>
      <c r="X43" s="136"/>
      <c r="Y43" s="835">
        <v>1</v>
      </c>
      <c r="Z43" s="139"/>
    </row>
    <row r="44" spans="1:26" hidden="1" x14ac:dyDescent="0.2">
      <c r="A44" s="746" t="s">
        <v>2599</v>
      </c>
      <c r="B44" s="746"/>
      <c r="C44" s="747" t="s">
        <v>1151</v>
      </c>
      <c r="D44" s="748" t="s">
        <v>1152</v>
      </c>
      <c r="E44" s="745">
        <v>0</v>
      </c>
      <c r="F44" s="745">
        <v>1.7017376710523916E-3</v>
      </c>
      <c r="G44" s="745">
        <v>7.2796248786436257E-2</v>
      </c>
      <c r="H44" s="745">
        <v>0</v>
      </c>
      <c r="I44" s="745">
        <v>0</v>
      </c>
      <c r="J44" s="745">
        <v>0</v>
      </c>
      <c r="K44" s="745">
        <v>0</v>
      </c>
      <c r="L44" s="745">
        <v>0</v>
      </c>
      <c r="M44" s="745">
        <v>0</v>
      </c>
      <c r="N44" s="745">
        <v>0.40929924573090215</v>
      </c>
      <c r="O44" s="745">
        <v>0</v>
      </c>
      <c r="P44" s="745">
        <v>0.15460765779756919</v>
      </c>
      <c r="Q44" s="745">
        <v>0</v>
      </c>
      <c r="R44" s="745">
        <v>0</v>
      </c>
      <c r="S44" s="745">
        <v>0.11708801793106921</v>
      </c>
      <c r="T44" s="745">
        <v>0.24450709208297083</v>
      </c>
      <c r="U44" s="745">
        <v>0</v>
      </c>
      <c r="V44" s="745">
        <v>0</v>
      </c>
      <c r="W44" s="745">
        <v>0</v>
      </c>
      <c r="X44" s="744">
        <v>0</v>
      </c>
      <c r="Y44" s="840">
        <v>1</v>
      </c>
      <c r="Z44" s="139"/>
    </row>
    <row r="45" spans="1:26" hidden="1" x14ac:dyDescent="0.2">
      <c r="A45" s="133" t="s">
        <v>2599</v>
      </c>
      <c r="B45" s="133"/>
      <c r="C45" s="153" t="s">
        <v>1153</v>
      </c>
      <c r="D45" s="154" t="s">
        <v>1154</v>
      </c>
      <c r="E45" s="136">
        <v>0</v>
      </c>
      <c r="F45" s="136">
        <v>0</v>
      </c>
      <c r="G45" s="136">
        <v>3.5023015927772107E-2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6">
        <v>0.37927508351138134</v>
      </c>
      <c r="O45" s="136">
        <v>0</v>
      </c>
      <c r="P45" s="136">
        <v>0.3059215002616365</v>
      </c>
      <c r="Q45" s="136">
        <v>0</v>
      </c>
      <c r="R45" s="136">
        <v>0</v>
      </c>
      <c r="S45" s="136">
        <v>0.27978040029920997</v>
      </c>
      <c r="T45" s="136">
        <v>0</v>
      </c>
      <c r="U45" s="136">
        <v>0</v>
      </c>
      <c r="V45" s="136">
        <v>0</v>
      </c>
      <c r="W45" s="136">
        <v>0</v>
      </c>
      <c r="X45" s="136"/>
      <c r="Y45" s="839">
        <v>1</v>
      </c>
      <c r="Z45" s="139"/>
    </row>
    <row r="46" spans="1:26" hidden="1" x14ac:dyDescent="0.2">
      <c r="A46" s="140" t="s">
        <v>2599</v>
      </c>
      <c r="B46" s="140"/>
      <c r="C46" s="141" t="s">
        <v>1156</v>
      </c>
      <c r="D46" s="142" t="s">
        <v>1157</v>
      </c>
      <c r="E46" s="136">
        <v>0</v>
      </c>
      <c r="F46" s="136">
        <v>0</v>
      </c>
      <c r="G46" s="136">
        <v>0.16809374938857385</v>
      </c>
      <c r="H46" s="136">
        <v>0</v>
      </c>
      <c r="I46" s="136">
        <v>0</v>
      </c>
      <c r="J46" s="136">
        <v>0</v>
      </c>
      <c r="K46" s="136">
        <v>1.6381075245655542E-4</v>
      </c>
      <c r="L46" s="136">
        <v>0</v>
      </c>
      <c r="M46" s="136">
        <v>0</v>
      </c>
      <c r="N46" s="136">
        <v>0.38426550596488368</v>
      </c>
      <c r="O46" s="136">
        <v>0</v>
      </c>
      <c r="P46" s="136">
        <v>0.33044604527252608</v>
      </c>
      <c r="Q46" s="136">
        <v>0</v>
      </c>
      <c r="R46" s="136">
        <v>0</v>
      </c>
      <c r="S46" s="136">
        <v>0.11703088862155986</v>
      </c>
      <c r="T46" s="136">
        <v>0</v>
      </c>
      <c r="U46" s="136">
        <v>0</v>
      </c>
      <c r="V46" s="136">
        <v>0</v>
      </c>
      <c r="W46" s="136">
        <v>0</v>
      </c>
      <c r="X46" s="136"/>
      <c r="Y46" s="835">
        <v>1</v>
      </c>
      <c r="Z46" s="139"/>
    </row>
    <row r="47" spans="1:26" hidden="1" x14ac:dyDescent="0.2">
      <c r="A47" s="133" t="s">
        <v>2599</v>
      </c>
      <c r="B47" s="133"/>
      <c r="C47" s="159" t="s">
        <v>1158</v>
      </c>
      <c r="D47" s="160" t="s">
        <v>73</v>
      </c>
      <c r="E47" s="136">
        <v>0</v>
      </c>
      <c r="F47" s="136">
        <v>0</v>
      </c>
      <c r="G47" s="136">
        <v>0.11161900340610426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36">
        <v>0.12662043616447669</v>
      </c>
      <c r="O47" s="136">
        <v>0</v>
      </c>
      <c r="P47" s="136">
        <v>0.22081157960265235</v>
      </c>
      <c r="Q47" s="136">
        <v>0</v>
      </c>
      <c r="R47" s="136">
        <v>0</v>
      </c>
      <c r="S47" s="136">
        <v>0.54094898082676668</v>
      </c>
      <c r="T47" s="136">
        <v>0</v>
      </c>
      <c r="U47" s="136">
        <v>0</v>
      </c>
      <c r="V47" s="136">
        <v>0</v>
      </c>
      <c r="W47" s="136">
        <v>0</v>
      </c>
      <c r="X47" s="683"/>
      <c r="Y47" s="840">
        <v>1</v>
      </c>
      <c r="Z47" s="139"/>
    </row>
    <row r="48" spans="1:26" hidden="1" x14ac:dyDescent="0.2">
      <c r="A48" s="133" t="s">
        <v>2599</v>
      </c>
      <c r="B48" s="133"/>
      <c r="C48" s="134" t="s">
        <v>1161</v>
      </c>
      <c r="D48" s="161" t="s">
        <v>1162</v>
      </c>
      <c r="E48" s="136">
        <v>0</v>
      </c>
      <c r="F48" s="136">
        <v>0</v>
      </c>
      <c r="G48" s="136">
        <v>0.83928385278341977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6">
        <v>0</v>
      </c>
      <c r="O48" s="136">
        <v>0</v>
      </c>
      <c r="P48" s="136">
        <v>0</v>
      </c>
      <c r="Q48" s="136">
        <v>0</v>
      </c>
      <c r="R48" s="136">
        <v>0</v>
      </c>
      <c r="S48" s="136">
        <v>0.16071614721658023</v>
      </c>
      <c r="T48" s="136">
        <v>0</v>
      </c>
      <c r="U48" s="136">
        <v>0</v>
      </c>
      <c r="V48" s="136">
        <v>0</v>
      </c>
      <c r="W48" s="136">
        <v>0</v>
      </c>
      <c r="X48" s="136"/>
      <c r="Y48" s="137">
        <v>1</v>
      </c>
      <c r="Z48" s="139"/>
    </row>
    <row r="49" spans="1:26" hidden="1" x14ac:dyDescent="0.2">
      <c r="A49" s="140" t="s">
        <v>2599</v>
      </c>
      <c r="B49" s="140"/>
      <c r="C49" s="141" t="s">
        <v>1163</v>
      </c>
      <c r="D49" s="142" t="s">
        <v>1164</v>
      </c>
      <c r="E49" s="136">
        <v>0</v>
      </c>
      <c r="F49" s="136">
        <v>0</v>
      </c>
      <c r="G49" s="136">
        <v>0</v>
      </c>
      <c r="H49" s="136">
        <v>1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36">
        <v>0</v>
      </c>
      <c r="O49" s="136">
        <v>0</v>
      </c>
      <c r="P49" s="136">
        <v>0</v>
      </c>
      <c r="Q49" s="136">
        <v>0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  <c r="W49" s="136">
        <v>0</v>
      </c>
      <c r="X49" s="136"/>
      <c r="Y49" s="835">
        <v>1</v>
      </c>
      <c r="Z49" s="139"/>
    </row>
    <row r="50" spans="1:26" hidden="1" x14ac:dyDescent="0.2">
      <c r="A50" s="140" t="s">
        <v>2599</v>
      </c>
      <c r="B50" s="140"/>
      <c r="C50" s="141" t="s">
        <v>1165</v>
      </c>
      <c r="D50" s="142" t="s">
        <v>1166</v>
      </c>
      <c r="E50" s="136">
        <v>0</v>
      </c>
      <c r="F50" s="136">
        <v>0</v>
      </c>
      <c r="G50" s="136">
        <v>0</v>
      </c>
      <c r="H50" s="136">
        <v>1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6">
        <v>0</v>
      </c>
      <c r="O50" s="136">
        <v>0</v>
      </c>
      <c r="P50" s="136">
        <v>0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/>
      <c r="Y50" s="835">
        <v>1</v>
      </c>
      <c r="Z50" s="139"/>
    </row>
    <row r="51" spans="1:26" hidden="1" x14ac:dyDescent="0.2">
      <c r="A51" s="140" t="s">
        <v>2599</v>
      </c>
      <c r="B51" s="140"/>
      <c r="C51" s="145" t="s">
        <v>1536</v>
      </c>
      <c r="D51" s="146" t="s">
        <v>194</v>
      </c>
      <c r="E51" s="136">
        <v>0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0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/>
      <c r="Y51" s="835">
        <v>1</v>
      </c>
      <c r="Z51" s="139"/>
    </row>
    <row r="52" spans="1:26" hidden="1" x14ac:dyDescent="0.2">
      <c r="A52" s="140" t="s">
        <v>2599</v>
      </c>
      <c r="B52" s="140"/>
      <c r="C52" s="141" t="s">
        <v>1167</v>
      </c>
      <c r="D52" s="142" t="s">
        <v>1168</v>
      </c>
      <c r="E52" s="136">
        <v>0</v>
      </c>
      <c r="F52" s="136">
        <v>0</v>
      </c>
      <c r="G52" s="136">
        <v>0</v>
      </c>
      <c r="H52" s="136">
        <v>1</v>
      </c>
      <c r="I52" s="136">
        <v>0</v>
      </c>
      <c r="J52" s="136">
        <v>0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  <c r="S52" s="136">
        <v>0</v>
      </c>
      <c r="T52" s="136">
        <v>0</v>
      </c>
      <c r="U52" s="136">
        <v>0</v>
      </c>
      <c r="V52" s="136">
        <v>0</v>
      </c>
      <c r="W52" s="136">
        <v>0</v>
      </c>
      <c r="X52" s="136"/>
      <c r="Y52" s="835">
        <v>1</v>
      </c>
      <c r="Z52" s="139"/>
    </row>
    <row r="53" spans="1:26" hidden="1" x14ac:dyDescent="0.2">
      <c r="A53" s="140" t="s">
        <v>2599</v>
      </c>
      <c r="B53" s="140"/>
      <c r="C53" s="145" t="s">
        <v>1539</v>
      </c>
      <c r="D53" s="146" t="s">
        <v>1540</v>
      </c>
      <c r="E53" s="136">
        <v>1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6">
        <v>0</v>
      </c>
      <c r="M53" s="136">
        <v>0</v>
      </c>
      <c r="N53" s="136">
        <v>0</v>
      </c>
      <c r="O53" s="136">
        <v>0</v>
      </c>
      <c r="P53" s="136">
        <v>0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/>
      <c r="Y53" s="835">
        <v>1</v>
      </c>
      <c r="Z53" s="139"/>
    </row>
    <row r="54" spans="1:26" hidden="1" x14ac:dyDescent="0.2">
      <c r="A54" s="140" t="s">
        <v>2599</v>
      </c>
      <c r="B54" s="140"/>
      <c r="C54" s="141" t="s">
        <v>1169</v>
      </c>
      <c r="D54" s="142" t="s">
        <v>1170</v>
      </c>
      <c r="E54" s="136">
        <v>0</v>
      </c>
      <c r="F54" s="136">
        <v>0</v>
      </c>
      <c r="G54" s="136">
        <v>0</v>
      </c>
      <c r="H54" s="136">
        <v>1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6">
        <v>0</v>
      </c>
      <c r="O54" s="136">
        <v>0</v>
      </c>
      <c r="P54" s="136">
        <v>0</v>
      </c>
      <c r="Q54" s="136">
        <v>0</v>
      </c>
      <c r="R54" s="136">
        <v>0</v>
      </c>
      <c r="S54" s="136">
        <v>0</v>
      </c>
      <c r="T54" s="136">
        <v>0</v>
      </c>
      <c r="U54" s="136">
        <v>0</v>
      </c>
      <c r="V54" s="136">
        <v>0</v>
      </c>
      <c r="W54" s="136">
        <v>0</v>
      </c>
      <c r="X54" s="136"/>
      <c r="Y54" s="835">
        <v>1</v>
      </c>
      <c r="Z54" s="139"/>
    </row>
    <row r="55" spans="1:26" hidden="1" x14ac:dyDescent="0.2">
      <c r="A55" s="140" t="s">
        <v>2599</v>
      </c>
      <c r="B55" s="140"/>
      <c r="C55" s="141" t="s">
        <v>1171</v>
      </c>
      <c r="D55" s="142" t="s">
        <v>1172</v>
      </c>
      <c r="E55" s="136">
        <v>0</v>
      </c>
      <c r="F55" s="136">
        <v>0</v>
      </c>
      <c r="G55" s="136">
        <v>0</v>
      </c>
      <c r="H55" s="136">
        <v>1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  <c r="S55" s="136">
        <v>0</v>
      </c>
      <c r="T55" s="136">
        <v>0</v>
      </c>
      <c r="U55" s="136">
        <v>0</v>
      </c>
      <c r="V55" s="136">
        <v>0</v>
      </c>
      <c r="W55" s="136">
        <v>0</v>
      </c>
      <c r="X55" s="136"/>
      <c r="Y55" s="835">
        <v>1</v>
      </c>
      <c r="Z55" s="139"/>
    </row>
    <row r="56" spans="1:26" hidden="1" x14ac:dyDescent="0.2">
      <c r="A56" s="133" t="s">
        <v>2599</v>
      </c>
      <c r="B56" s="133"/>
      <c r="C56" s="162" t="s">
        <v>1688</v>
      </c>
      <c r="D56" s="163" t="s">
        <v>1689</v>
      </c>
      <c r="E56" s="136">
        <v>0</v>
      </c>
      <c r="F56" s="136">
        <v>0</v>
      </c>
      <c r="G56" s="136">
        <v>0</v>
      </c>
      <c r="H56" s="136">
        <v>5.3588478529363655E-3</v>
      </c>
      <c r="I56" s="136">
        <v>0</v>
      </c>
      <c r="J56" s="136">
        <v>0</v>
      </c>
      <c r="K56" s="136">
        <v>4.7610698422891437E-2</v>
      </c>
      <c r="L56" s="136">
        <v>3.1178684978418972E-3</v>
      </c>
      <c r="M56" s="136">
        <v>0</v>
      </c>
      <c r="N56" s="136">
        <v>0</v>
      </c>
      <c r="O56" s="136">
        <v>5.1511602988631673E-2</v>
      </c>
      <c r="P56" s="136">
        <v>0</v>
      </c>
      <c r="Q56" s="136">
        <v>0</v>
      </c>
      <c r="R56" s="136">
        <v>0</v>
      </c>
      <c r="S56" s="136">
        <v>0.8924009822376987</v>
      </c>
      <c r="T56" s="136">
        <v>0</v>
      </c>
      <c r="U56" s="136">
        <v>0</v>
      </c>
      <c r="V56" s="136">
        <v>0</v>
      </c>
      <c r="W56" s="136">
        <v>0</v>
      </c>
      <c r="X56" s="683"/>
      <c r="Y56" s="837">
        <v>1</v>
      </c>
      <c r="Z56" s="139"/>
    </row>
    <row r="57" spans="1:26" hidden="1" x14ac:dyDescent="0.2">
      <c r="A57" s="140" t="s">
        <v>2599</v>
      </c>
      <c r="B57" s="140"/>
      <c r="C57" s="141" t="s">
        <v>1173</v>
      </c>
      <c r="D57" s="142" t="s">
        <v>1174</v>
      </c>
      <c r="E57" s="136">
        <v>0</v>
      </c>
      <c r="F57" s="136">
        <v>0</v>
      </c>
      <c r="G57" s="136">
        <v>0</v>
      </c>
      <c r="H57" s="136">
        <v>1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0</v>
      </c>
      <c r="S57" s="136">
        <v>0</v>
      </c>
      <c r="T57" s="136">
        <v>0</v>
      </c>
      <c r="U57" s="136">
        <v>0</v>
      </c>
      <c r="V57" s="136">
        <v>0</v>
      </c>
      <c r="W57" s="136">
        <v>0</v>
      </c>
      <c r="X57" s="136"/>
      <c r="Y57" s="835">
        <v>1</v>
      </c>
      <c r="Z57" s="139"/>
    </row>
    <row r="58" spans="1:26" hidden="1" x14ac:dyDescent="0.2">
      <c r="A58" s="140" t="s">
        <v>2599</v>
      </c>
      <c r="B58" s="140"/>
      <c r="C58" s="141" t="s">
        <v>1175</v>
      </c>
      <c r="D58" s="142" t="s">
        <v>1176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1</v>
      </c>
      <c r="M58" s="136">
        <v>0</v>
      </c>
      <c r="N58" s="136">
        <v>0</v>
      </c>
      <c r="O58" s="136">
        <v>0</v>
      </c>
      <c r="P58" s="136">
        <v>0</v>
      </c>
      <c r="Q58" s="136">
        <v>0</v>
      </c>
      <c r="R58" s="136">
        <v>0</v>
      </c>
      <c r="S58" s="136">
        <v>0</v>
      </c>
      <c r="T58" s="136">
        <v>0</v>
      </c>
      <c r="U58" s="136">
        <v>0</v>
      </c>
      <c r="V58" s="136">
        <v>0</v>
      </c>
      <c r="W58" s="136">
        <v>0</v>
      </c>
      <c r="X58" s="136"/>
      <c r="Y58" s="835">
        <v>1</v>
      </c>
      <c r="Z58" s="139"/>
    </row>
    <row r="59" spans="1:26" hidden="1" x14ac:dyDescent="0.2">
      <c r="A59" s="140" t="s">
        <v>2599</v>
      </c>
      <c r="B59" s="140"/>
      <c r="C59" s="141" t="s">
        <v>1181</v>
      </c>
      <c r="D59" s="142" t="s">
        <v>1182</v>
      </c>
      <c r="E59" s="136">
        <v>0</v>
      </c>
      <c r="F59" s="136">
        <v>0</v>
      </c>
      <c r="G59" s="136">
        <v>0</v>
      </c>
      <c r="H59" s="136">
        <v>1</v>
      </c>
      <c r="I59" s="136">
        <v>0</v>
      </c>
      <c r="J59" s="136">
        <v>0</v>
      </c>
      <c r="K59" s="136">
        <v>0</v>
      </c>
      <c r="L59" s="136">
        <v>0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0</v>
      </c>
      <c r="V59" s="136">
        <v>0</v>
      </c>
      <c r="W59" s="136">
        <v>0</v>
      </c>
      <c r="X59" s="136"/>
      <c r="Y59" s="835">
        <v>1</v>
      </c>
      <c r="Z59" s="139"/>
    </row>
    <row r="60" spans="1:26" hidden="1" x14ac:dyDescent="0.2">
      <c r="A60" s="140" t="s">
        <v>2599</v>
      </c>
      <c r="B60" s="140"/>
      <c r="C60" s="145" t="s">
        <v>1541</v>
      </c>
      <c r="D60" s="146" t="s">
        <v>1542</v>
      </c>
      <c r="E60" s="136">
        <v>0</v>
      </c>
      <c r="F60" s="136">
        <v>0</v>
      </c>
      <c r="G60" s="136">
        <v>0</v>
      </c>
      <c r="H60" s="136">
        <v>1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6">
        <v>0</v>
      </c>
      <c r="O60" s="136">
        <v>0</v>
      </c>
      <c r="P60" s="136">
        <v>0</v>
      </c>
      <c r="Q60" s="136">
        <v>0</v>
      </c>
      <c r="R60" s="136">
        <v>0</v>
      </c>
      <c r="S60" s="136">
        <v>0</v>
      </c>
      <c r="T60" s="136">
        <v>0</v>
      </c>
      <c r="U60" s="136">
        <v>0</v>
      </c>
      <c r="V60" s="136">
        <v>0</v>
      </c>
      <c r="W60" s="136">
        <v>0</v>
      </c>
      <c r="X60" s="136"/>
      <c r="Y60" s="835">
        <v>1</v>
      </c>
      <c r="Z60" s="139"/>
    </row>
    <row r="61" spans="1:26" hidden="1" x14ac:dyDescent="0.2">
      <c r="A61" s="140" t="s">
        <v>2599</v>
      </c>
      <c r="B61" s="140"/>
      <c r="C61" s="141" t="s">
        <v>1183</v>
      </c>
      <c r="D61" s="142" t="s">
        <v>1184</v>
      </c>
      <c r="E61" s="136">
        <v>0</v>
      </c>
      <c r="F61" s="136">
        <v>0</v>
      </c>
      <c r="G61" s="136">
        <v>0</v>
      </c>
      <c r="H61" s="136">
        <v>1</v>
      </c>
      <c r="I61" s="136">
        <v>0</v>
      </c>
      <c r="J61" s="136">
        <v>0</v>
      </c>
      <c r="K61" s="136">
        <v>0</v>
      </c>
      <c r="L61" s="136">
        <v>0</v>
      </c>
      <c r="M61" s="136">
        <v>0</v>
      </c>
      <c r="N61" s="136">
        <v>0</v>
      </c>
      <c r="O61" s="136">
        <v>0</v>
      </c>
      <c r="P61" s="136">
        <v>0</v>
      </c>
      <c r="Q61" s="136">
        <v>0</v>
      </c>
      <c r="R61" s="136">
        <v>0</v>
      </c>
      <c r="S61" s="136">
        <v>0</v>
      </c>
      <c r="T61" s="136">
        <v>0</v>
      </c>
      <c r="U61" s="136">
        <v>0</v>
      </c>
      <c r="V61" s="136">
        <v>0</v>
      </c>
      <c r="W61" s="136">
        <v>0</v>
      </c>
      <c r="X61" s="136"/>
      <c r="Y61" s="835">
        <v>1</v>
      </c>
      <c r="Z61" s="139"/>
    </row>
    <row r="62" spans="1:26" hidden="1" x14ac:dyDescent="0.2">
      <c r="A62" s="140" t="s">
        <v>2599</v>
      </c>
      <c r="B62" s="140"/>
      <c r="C62" s="145" t="s">
        <v>1543</v>
      </c>
      <c r="D62" s="146" t="s">
        <v>1544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136">
        <v>0</v>
      </c>
      <c r="K62" s="136">
        <v>0</v>
      </c>
      <c r="L62" s="136">
        <v>1</v>
      </c>
      <c r="M62" s="136">
        <v>0</v>
      </c>
      <c r="N62" s="136">
        <v>0</v>
      </c>
      <c r="O62" s="136">
        <v>0</v>
      </c>
      <c r="P62" s="136">
        <v>0</v>
      </c>
      <c r="Q62" s="136">
        <v>0</v>
      </c>
      <c r="R62" s="136">
        <v>0</v>
      </c>
      <c r="S62" s="136">
        <v>0</v>
      </c>
      <c r="T62" s="136">
        <v>0</v>
      </c>
      <c r="U62" s="136">
        <v>0</v>
      </c>
      <c r="V62" s="136">
        <v>0</v>
      </c>
      <c r="W62" s="136">
        <v>0</v>
      </c>
      <c r="X62" s="136"/>
      <c r="Y62" s="835">
        <v>1</v>
      </c>
      <c r="Z62" s="139"/>
    </row>
    <row r="63" spans="1:26" hidden="1" x14ac:dyDescent="0.2">
      <c r="A63" s="133" t="s">
        <v>2599</v>
      </c>
      <c r="B63" s="133"/>
      <c r="C63" s="148" t="s">
        <v>2815</v>
      </c>
      <c r="D63" s="149" t="s">
        <v>2816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683"/>
      <c r="Y63" s="837">
        <v>1</v>
      </c>
      <c r="Z63" s="139"/>
    </row>
    <row r="64" spans="1:26" hidden="1" x14ac:dyDescent="0.2">
      <c r="A64" s="140" t="s">
        <v>2599</v>
      </c>
      <c r="B64" s="140"/>
      <c r="C64" s="141" t="s">
        <v>1185</v>
      </c>
      <c r="D64" s="142" t="s">
        <v>2817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136">
        <v>0</v>
      </c>
      <c r="K64" s="136">
        <v>0</v>
      </c>
      <c r="L64" s="136">
        <v>0</v>
      </c>
      <c r="M64" s="136">
        <v>0</v>
      </c>
      <c r="N64" s="136">
        <v>1</v>
      </c>
      <c r="O64" s="136">
        <v>0</v>
      </c>
      <c r="P64" s="136">
        <v>0</v>
      </c>
      <c r="Q64" s="136">
        <v>0</v>
      </c>
      <c r="R64" s="136">
        <v>0</v>
      </c>
      <c r="S64" s="136">
        <v>0</v>
      </c>
      <c r="T64" s="136">
        <v>0</v>
      </c>
      <c r="U64" s="136">
        <v>0</v>
      </c>
      <c r="V64" s="136">
        <v>0</v>
      </c>
      <c r="W64" s="136">
        <v>0</v>
      </c>
      <c r="X64" s="136"/>
      <c r="Y64" s="835">
        <v>1</v>
      </c>
      <c r="Z64" s="139"/>
    </row>
    <row r="65" spans="1:26" hidden="1" x14ac:dyDescent="0.2">
      <c r="A65" s="140" t="s">
        <v>2599</v>
      </c>
      <c r="B65" s="140"/>
      <c r="C65" s="164" t="s">
        <v>1692</v>
      </c>
      <c r="D65" s="165" t="s">
        <v>1693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6">
        <v>0</v>
      </c>
      <c r="M65" s="136">
        <v>0</v>
      </c>
      <c r="N65" s="136">
        <v>1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/>
      <c r="Y65" s="835">
        <v>1</v>
      </c>
      <c r="Z65" s="139"/>
    </row>
    <row r="66" spans="1:26" hidden="1" x14ac:dyDescent="0.2">
      <c r="A66" s="133" t="s">
        <v>2599</v>
      </c>
      <c r="B66" s="133"/>
      <c r="C66" s="148" t="s">
        <v>1186</v>
      </c>
      <c r="D66" s="166" t="s">
        <v>1187</v>
      </c>
      <c r="E66" s="136">
        <v>0</v>
      </c>
      <c r="F66" s="136">
        <v>0</v>
      </c>
      <c r="G66" s="136">
        <v>5.5940078265553583E-2</v>
      </c>
      <c r="H66" s="136">
        <v>0</v>
      </c>
      <c r="I66" s="136">
        <v>0</v>
      </c>
      <c r="J66" s="136">
        <v>2.8810194765493752E-2</v>
      </c>
      <c r="K66" s="136">
        <v>0</v>
      </c>
      <c r="L66" s="136">
        <v>0</v>
      </c>
      <c r="M66" s="136">
        <v>0</v>
      </c>
      <c r="N66" s="136">
        <v>0.16877000310792442</v>
      </c>
      <c r="O66" s="136">
        <v>0</v>
      </c>
      <c r="P66" s="136">
        <v>0.47201948346579015</v>
      </c>
      <c r="Q66" s="136">
        <v>9.7540744561708664E-3</v>
      </c>
      <c r="R66" s="136">
        <v>0</v>
      </c>
      <c r="S66" s="136">
        <v>0.10770573079990269</v>
      </c>
      <c r="T66" s="136">
        <v>0.15700043513916459</v>
      </c>
      <c r="U66" s="136">
        <v>0</v>
      </c>
      <c r="V66" s="136">
        <v>0</v>
      </c>
      <c r="W66" s="136">
        <v>0</v>
      </c>
      <c r="X66" s="683"/>
      <c r="Y66" s="841">
        <v>1</v>
      </c>
      <c r="Z66" s="139"/>
    </row>
    <row r="67" spans="1:26" hidden="1" x14ac:dyDescent="0.2">
      <c r="A67" s="140" t="s">
        <v>2599</v>
      </c>
      <c r="B67" s="140"/>
      <c r="C67" s="143" t="s">
        <v>1188</v>
      </c>
      <c r="D67" s="144" t="s">
        <v>86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6">
        <v>0</v>
      </c>
      <c r="M67" s="136">
        <v>0</v>
      </c>
      <c r="N67" s="136">
        <v>0.25410410952001239</v>
      </c>
      <c r="O67" s="136">
        <v>0</v>
      </c>
      <c r="P67" s="136">
        <v>0</v>
      </c>
      <c r="Q67" s="136">
        <v>0</v>
      </c>
      <c r="R67" s="136">
        <v>0</v>
      </c>
      <c r="S67" s="136">
        <v>0.74589589047998761</v>
      </c>
      <c r="T67" s="136">
        <v>0</v>
      </c>
      <c r="U67" s="136">
        <v>0</v>
      </c>
      <c r="V67" s="136">
        <v>0</v>
      </c>
      <c r="W67" s="136">
        <v>0</v>
      </c>
      <c r="X67" s="136"/>
      <c r="Y67" s="836">
        <v>1</v>
      </c>
      <c r="Z67" s="139"/>
    </row>
    <row r="68" spans="1:26" hidden="1" x14ac:dyDescent="0.2">
      <c r="A68" s="741" t="s">
        <v>2599</v>
      </c>
      <c r="B68" s="741"/>
      <c r="C68" s="742" t="s">
        <v>1189</v>
      </c>
      <c r="D68" s="743" t="s">
        <v>1190</v>
      </c>
      <c r="E68" s="744">
        <v>0</v>
      </c>
      <c r="F68" s="744">
        <v>1.2122431221694171E-2</v>
      </c>
      <c r="G68" s="744">
        <v>7.4994971210511546E-2</v>
      </c>
      <c r="H68" s="744">
        <v>0</v>
      </c>
      <c r="I68" s="744">
        <v>0</v>
      </c>
      <c r="J68" s="744">
        <v>0</v>
      </c>
      <c r="K68" s="744">
        <v>0</v>
      </c>
      <c r="L68" s="744">
        <v>0</v>
      </c>
      <c r="M68" s="744">
        <v>0</v>
      </c>
      <c r="N68" s="744">
        <v>0.27203656908146467</v>
      </c>
      <c r="O68" s="744">
        <v>0</v>
      </c>
      <c r="P68" s="744">
        <v>8.95830733225607E-2</v>
      </c>
      <c r="Q68" s="744">
        <v>0</v>
      </c>
      <c r="R68" s="744">
        <v>0</v>
      </c>
      <c r="S68" s="744">
        <v>0.1773164428214706</v>
      </c>
      <c r="T68" s="744">
        <v>0.37394651234229831</v>
      </c>
      <c r="U68" s="744">
        <v>0</v>
      </c>
      <c r="V68" s="744">
        <v>0</v>
      </c>
      <c r="W68" s="744">
        <v>0</v>
      </c>
      <c r="X68" s="744">
        <v>0</v>
      </c>
      <c r="Y68" s="836">
        <v>1</v>
      </c>
      <c r="Z68" s="139"/>
    </row>
    <row r="69" spans="1:26" hidden="1" x14ac:dyDescent="0.2">
      <c r="A69" s="140" t="s">
        <v>2599</v>
      </c>
      <c r="B69" s="140"/>
      <c r="C69" s="141" t="s">
        <v>1191</v>
      </c>
      <c r="D69" s="142" t="s">
        <v>1192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6">
        <v>0</v>
      </c>
      <c r="M69" s="136">
        <v>0</v>
      </c>
      <c r="N69" s="136">
        <v>0</v>
      </c>
      <c r="O69" s="136">
        <v>0</v>
      </c>
      <c r="P69" s="136">
        <v>0</v>
      </c>
      <c r="Q69" s="136">
        <v>0</v>
      </c>
      <c r="R69" s="136">
        <v>0</v>
      </c>
      <c r="S69" s="136">
        <v>1</v>
      </c>
      <c r="T69" s="136">
        <v>0</v>
      </c>
      <c r="U69" s="136">
        <v>0</v>
      </c>
      <c r="V69" s="136">
        <v>0</v>
      </c>
      <c r="W69" s="136">
        <v>0</v>
      </c>
      <c r="X69" s="136"/>
      <c r="Y69" s="835">
        <v>1</v>
      </c>
      <c r="Z69" s="139"/>
    </row>
    <row r="70" spans="1:26" hidden="1" x14ac:dyDescent="0.2">
      <c r="A70" s="140" t="s">
        <v>2599</v>
      </c>
      <c r="B70" s="140"/>
      <c r="C70" s="141" t="s">
        <v>1193</v>
      </c>
      <c r="D70" s="142" t="s">
        <v>2818</v>
      </c>
      <c r="E70" s="136">
        <v>0</v>
      </c>
      <c r="F70" s="136">
        <v>0</v>
      </c>
      <c r="G70" s="136">
        <v>1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6">
        <v>0</v>
      </c>
      <c r="O70" s="136">
        <v>0</v>
      </c>
      <c r="P70" s="136">
        <v>0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/>
      <c r="Y70" s="835">
        <v>1</v>
      </c>
      <c r="Z70" s="139"/>
    </row>
    <row r="71" spans="1:26" hidden="1" x14ac:dyDescent="0.2">
      <c r="A71" s="741" t="s">
        <v>2599</v>
      </c>
      <c r="B71" s="741"/>
      <c r="C71" s="749" t="s">
        <v>1194</v>
      </c>
      <c r="D71" s="750" t="s">
        <v>90</v>
      </c>
      <c r="E71" s="745">
        <v>0</v>
      </c>
      <c r="F71" s="745">
        <v>0</v>
      </c>
      <c r="G71" s="745">
        <v>0.98529252208264806</v>
      </c>
      <c r="H71" s="745">
        <v>0</v>
      </c>
      <c r="I71" s="745">
        <v>0</v>
      </c>
      <c r="J71" s="745">
        <v>0</v>
      </c>
      <c r="K71" s="745">
        <v>0</v>
      </c>
      <c r="L71" s="745">
        <v>0</v>
      </c>
      <c r="M71" s="745">
        <v>0</v>
      </c>
      <c r="N71" s="745">
        <v>0</v>
      </c>
      <c r="O71" s="745">
        <v>0</v>
      </c>
      <c r="P71" s="745">
        <v>1.470747791735184E-2</v>
      </c>
      <c r="Q71" s="745">
        <v>0</v>
      </c>
      <c r="R71" s="745">
        <v>0</v>
      </c>
      <c r="S71" s="745">
        <v>0</v>
      </c>
      <c r="T71" s="745">
        <v>0</v>
      </c>
      <c r="U71" s="745">
        <v>0</v>
      </c>
      <c r="V71" s="745">
        <v>0</v>
      </c>
      <c r="W71" s="745">
        <v>0</v>
      </c>
      <c r="X71" s="744">
        <v>0</v>
      </c>
      <c r="Y71" s="835">
        <v>0.99999999999999989</v>
      </c>
      <c r="Z71" s="139"/>
    </row>
    <row r="72" spans="1:26" hidden="1" x14ac:dyDescent="0.2">
      <c r="A72" s="746" t="s">
        <v>2599</v>
      </c>
      <c r="B72" s="746"/>
      <c r="C72" s="751" t="s">
        <v>1195</v>
      </c>
      <c r="D72" s="752" t="s">
        <v>92</v>
      </c>
      <c r="E72" s="744">
        <v>0</v>
      </c>
      <c r="F72" s="744">
        <v>0</v>
      </c>
      <c r="G72" s="744">
        <v>0</v>
      </c>
      <c r="H72" s="744">
        <v>1</v>
      </c>
      <c r="I72" s="744">
        <v>0</v>
      </c>
      <c r="J72" s="744">
        <v>0</v>
      </c>
      <c r="K72" s="744">
        <v>0</v>
      </c>
      <c r="L72" s="744">
        <v>0</v>
      </c>
      <c r="M72" s="744">
        <v>0</v>
      </c>
      <c r="N72" s="744">
        <v>0</v>
      </c>
      <c r="O72" s="744">
        <v>0</v>
      </c>
      <c r="P72" s="744">
        <v>0</v>
      </c>
      <c r="Q72" s="744">
        <v>0</v>
      </c>
      <c r="R72" s="744">
        <v>0</v>
      </c>
      <c r="S72" s="744">
        <v>0</v>
      </c>
      <c r="T72" s="744">
        <v>0</v>
      </c>
      <c r="U72" s="744">
        <v>0</v>
      </c>
      <c r="V72" s="744">
        <v>0</v>
      </c>
      <c r="W72" s="744">
        <v>0</v>
      </c>
      <c r="X72" s="744">
        <v>0</v>
      </c>
      <c r="Y72" s="841">
        <v>1</v>
      </c>
      <c r="Z72" s="139"/>
    </row>
    <row r="73" spans="1:26" hidden="1" x14ac:dyDescent="0.2">
      <c r="A73" s="140" t="s">
        <v>2599</v>
      </c>
      <c r="B73" s="140"/>
      <c r="C73" s="141" t="s">
        <v>1198</v>
      </c>
      <c r="D73" s="142" t="s">
        <v>1199</v>
      </c>
      <c r="E73" s="136">
        <v>0</v>
      </c>
      <c r="F73" s="136">
        <v>0</v>
      </c>
      <c r="G73" s="136">
        <v>0</v>
      </c>
      <c r="H73" s="136">
        <v>0.1239197669292226</v>
      </c>
      <c r="I73" s="136">
        <v>0</v>
      </c>
      <c r="J73" s="136">
        <v>0</v>
      </c>
      <c r="K73" s="136">
        <v>0</v>
      </c>
      <c r="L73" s="136">
        <v>0</v>
      </c>
      <c r="M73" s="136">
        <v>0</v>
      </c>
      <c r="N73" s="136">
        <v>0.30414474537252706</v>
      </c>
      <c r="O73" s="136">
        <v>0</v>
      </c>
      <c r="P73" s="136">
        <v>0.53370405042260816</v>
      </c>
      <c r="Q73" s="136">
        <v>0</v>
      </c>
      <c r="R73" s="136">
        <v>0</v>
      </c>
      <c r="S73" s="136">
        <v>0</v>
      </c>
      <c r="T73" s="136">
        <v>3.8231437275642363E-2</v>
      </c>
      <c r="U73" s="136">
        <v>0</v>
      </c>
      <c r="V73" s="136">
        <v>0</v>
      </c>
      <c r="W73" s="136">
        <v>0</v>
      </c>
      <c r="X73" s="136"/>
      <c r="Y73" s="835">
        <v>1.0000000000000002</v>
      </c>
      <c r="Z73" s="139"/>
    </row>
    <row r="74" spans="1:26" hidden="1" x14ac:dyDescent="0.2">
      <c r="A74" s="167" t="s">
        <v>2599</v>
      </c>
      <c r="B74" s="133"/>
      <c r="C74" s="155" t="s">
        <v>1201</v>
      </c>
      <c r="D74" s="156" t="s">
        <v>1202</v>
      </c>
      <c r="E74" s="136">
        <v>0</v>
      </c>
      <c r="F74" s="136">
        <v>0</v>
      </c>
      <c r="G74" s="136">
        <v>0</v>
      </c>
      <c r="H74" s="136">
        <v>1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6">
        <v>0</v>
      </c>
      <c r="O74" s="136">
        <v>0</v>
      </c>
      <c r="P74" s="136">
        <v>0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683"/>
      <c r="Y74" s="838">
        <v>1</v>
      </c>
      <c r="Z74" s="139"/>
    </row>
    <row r="75" spans="1:26" hidden="1" x14ac:dyDescent="0.2">
      <c r="A75" s="140" t="s">
        <v>2599</v>
      </c>
      <c r="B75" s="140"/>
      <c r="C75" s="141" t="s">
        <v>1203</v>
      </c>
      <c r="D75" s="142" t="s">
        <v>2819</v>
      </c>
      <c r="E75" s="136">
        <v>0</v>
      </c>
      <c r="F75" s="136">
        <v>0</v>
      </c>
      <c r="G75" s="136">
        <v>0</v>
      </c>
      <c r="H75" s="136">
        <v>1</v>
      </c>
      <c r="I75" s="136">
        <v>0</v>
      </c>
      <c r="J75" s="136">
        <v>0</v>
      </c>
      <c r="K75" s="136">
        <v>0</v>
      </c>
      <c r="L75" s="136">
        <v>0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6">
        <v>0</v>
      </c>
      <c r="X75" s="136"/>
      <c r="Y75" s="835">
        <v>1</v>
      </c>
      <c r="Z75" s="139"/>
    </row>
    <row r="76" spans="1:26" hidden="1" x14ac:dyDescent="0.2">
      <c r="A76" s="140" t="s">
        <v>2599</v>
      </c>
      <c r="B76" s="140"/>
      <c r="C76" s="145" t="s">
        <v>1552</v>
      </c>
      <c r="D76" s="146" t="s">
        <v>1553</v>
      </c>
      <c r="E76" s="136">
        <v>0</v>
      </c>
      <c r="F76" s="136">
        <v>0</v>
      </c>
      <c r="G76" s="136">
        <v>0</v>
      </c>
      <c r="H76" s="136">
        <v>1</v>
      </c>
      <c r="I76" s="136">
        <v>0</v>
      </c>
      <c r="J76" s="136">
        <v>0</v>
      </c>
      <c r="K76" s="136">
        <v>0</v>
      </c>
      <c r="L76" s="136">
        <v>0</v>
      </c>
      <c r="M76" s="136">
        <v>0</v>
      </c>
      <c r="N76" s="136">
        <v>0</v>
      </c>
      <c r="O76" s="136">
        <v>0</v>
      </c>
      <c r="P76" s="136">
        <v>0</v>
      </c>
      <c r="Q76" s="136">
        <v>0</v>
      </c>
      <c r="R76" s="136">
        <v>0</v>
      </c>
      <c r="S76" s="136">
        <v>0</v>
      </c>
      <c r="T76" s="136">
        <v>0</v>
      </c>
      <c r="U76" s="136">
        <v>0</v>
      </c>
      <c r="V76" s="136">
        <v>0</v>
      </c>
      <c r="W76" s="136">
        <v>0</v>
      </c>
      <c r="X76" s="136"/>
      <c r="Y76" s="835">
        <v>1</v>
      </c>
      <c r="Z76" s="139"/>
    </row>
    <row r="77" spans="1:26" hidden="1" x14ac:dyDescent="0.2">
      <c r="A77" s="140" t="s">
        <v>2599</v>
      </c>
      <c r="B77" s="140"/>
      <c r="C77" s="141" t="s">
        <v>1204</v>
      </c>
      <c r="D77" s="142" t="s">
        <v>97</v>
      </c>
      <c r="E77" s="136">
        <v>0</v>
      </c>
      <c r="F77" s="136">
        <v>0</v>
      </c>
      <c r="G77" s="136">
        <v>0</v>
      </c>
      <c r="H77" s="136">
        <v>1</v>
      </c>
      <c r="I77" s="136">
        <v>0</v>
      </c>
      <c r="J77" s="136">
        <v>0</v>
      </c>
      <c r="K77" s="136">
        <v>0</v>
      </c>
      <c r="L77" s="136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6">
        <v>0</v>
      </c>
      <c r="X77" s="136"/>
      <c r="Y77" s="835">
        <v>1</v>
      </c>
      <c r="Z77" s="139"/>
    </row>
    <row r="78" spans="1:26" hidden="1" x14ac:dyDescent="0.2">
      <c r="A78" s="140" t="s">
        <v>2599</v>
      </c>
      <c r="B78" s="140"/>
      <c r="C78" s="141" t="s">
        <v>1205</v>
      </c>
      <c r="D78" s="142" t="s">
        <v>1206</v>
      </c>
      <c r="E78" s="136">
        <v>1</v>
      </c>
      <c r="F78" s="136">
        <v>0</v>
      </c>
      <c r="G78" s="136">
        <v>0</v>
      </c>
      <c r="H78" s="136">
        <v>0</v>
      </c>
      <c r="I78" s="136">
        <v>0</v>
      </c>
      <c r="J78" s="136">
        <v>0</v>
      </c>
      <c r="K78" s="136">
        <v>0</v>
      </c>
      <c r="L78" s="136">
        <v>0</v>
      </c>
      <c r="M78" s="136">
        <v>0</v>
      </c>
      <c r="N78" s="136">
        <v>0</v>
      </c>
      <c r="O78" s="136">
        <v>0</v>
      </c>
      <c r="P78" s="136">
        <v>0</v>
      </c>
      <c r="Q78" s="136">
        <v>0</v>
      </c>
      <c r="R78" s="136">
        <v>0</v>
      </c>
      <c r="S78" s="136">
        <v>0</v>
      </c>
      <c r="T78" s="136">
        <v>0</v>
      </c>
      <c r="U78" s="136">
        <v>0</v>
      </c>
      <c r="V78" s="136">
        <v>0</v>
      </c>
      <c r="W78" s="136">
        <v>0</v>
      </c>
      <c r="X78" s="136"/>
      <c r="Y78" s="835">
        <v>1</v>
      </c>
      <c r="Z78" s="139"/>
    </row>
    <row r="79" spans="1:26" hidden="1" x14ac:dyDescent="0.2">
      <c r="A79" s="140" t="s">
        <v>2599</v>
      </c>
      <c r="B79" s="140"/>
      <c r="C79" s="141" t="s">
        <v>1207</v>
      </c>
      <c r="D79" s="142" t="s">
        <v>1208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6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1</v>
      </c>
      <c r="T79" s="136">
        <v>0</v>
      </c>
      <c r="U79" s="136">
        <v>0</v>
      </c>
      <c r="V79" s="136">
        <v>0</v>
      </c>
      <c r="W79" s="136">
        <v>0</v>
      </c>
      <c r="X79" s="136"/>
      <c r="Y79" s="835">
        <v>1</v>
      </c>
      <c r="Z79" s="139"/>
    </row>
    <row r="80" spans="1:26" hidden="1" x14ac:dyDescent="0.2">
      <c r="A80" s="133" t="s">
        <v>2599</v>
      </c>
      <c r="B80" s="133"/>
      <c r="C80" s="151" t="s">
        <v>1209</v>
      </c>
      <c r="D80" s="152" t="s">
        <v>1210</v>
      </c>
      <c r="E80" s="136">
        <v>0</v>
      </c>
      <c r="F80" s="136">
        <v>0</v>
      </c>
      <c r="G80" s="136">
        <v>0</v>
      </c>
      <c r="H80" s="136">
        <v>1</v>
      </c>
      <c r="I80" s="136">
        <v>0</v>
      </c>
      <c r="J80" s="136">
        <v>0</v>
      </c>
      <c r="K80" s="136">
        <v>0</v>
      </c>
      <c r="L80" s="136">
        <v>0</v>
      </c>
      <c r="M80" s="136">
        <v>0</v>
      </c>
      <c r="N80" s="136">
        <v>0</v>
      </c>
      <c r="O80" s="136">
        <v>0</v>
      </c>
      <c r="P80" s="136">
        <v>0</v>
      </c>
      <c r="Q80" s="136">
        <v>0</v>
      </c>
      <c r="R80" s="136">
        <v>0</v>
      </c>
      <c r="S80" s="136">
        <v>0</v>
      </c>
      <c r="T80" s="136">
        <v>0</v>
      </c>
      <c r="U80" s="136">
        <v>0</v>
      </c>
      <c r="V80" s="136">
        <v>0</v>
      </c>
      <c r="W80" s="136">
        <v>0</v>
      </c>
      <c r="X80" s="683"/>
      <c r="Y80" s="838">
        <v>1</v>
      </c>
      <c r="Z80" s="139"/>
    </row>
    <row r="81" spans="1:26" hidden="1" x14ac:dyDescent="0.2">
      <c r="A81" s="133" t="s">
        <v>2599</v>
      </c>
      <c r="B81" s="133"/>
      <c r="C81" s="143" t="s">
        <v>1211</v>
      </c>
      <c r="D81" s="144" t="s">
        <v>1212</v>
      </c>
      <c r="E81" s="136">
        <v>0</v>
      </c>
      <c r="F81" s="136">
        <v>0</v>
      </c>
      <c r="G81" s="136">
        <v>0</v>
      </c>
      <c r="H81" s="136">
        <v>1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/>
      <c r="Y81" s="836">
        <v>1</v>
      </c>
      <c r="Z81" s="139"/>
    </row>
    <row r="82" spans="1:26" hidden="1" x14ac:dyDescent="0.2">
      <c r="A82" s="133" t="s">
        <v>2599</v>
      </c>
      <c r="B82" s="133"/>
      <c r="C82" s="153" t="s">
        <v>1220</v>
      </c>
      <c r="D82" s="154" t="s">
        <v>1221</v>
      </c>
      <c r="E82" s="136">
        <v>0</v>
      </c>
      <c r="F82" s="136">
        <v>0</v>
      </c>
      <c r="G82" s="136">
        <v>0</v>
      </c>
      <c r="H82" s="136">
        <v>1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36">
        <v>0</v>
      </c>
      <c r="O82" s="136">
        <v>0</v>
      </c>
      <c r="P82" s="136">
        <v>0</v>
      </c>
      <c r="Q82" s="136">
        <v>0</v>
      </c>
      <c r="R82" s="136">
        <v>0</v>
      </c>
      <c r="S82" s="136">
        <v>0</v>
      </c>
      <c r="T82" s="136">
        <v>0</v>
      </c>
      <c r="U82" s="136">
        <v>0</v>
      </c>
      <c r="V82" s="136">
        <v>0</v>
      </c>
      <c r="W82" s="136">
        <v>0</v>
      </c>
      <c r="X82" s="136"/>
      <c r="Y82" s="839">
        <v>1</v>
      </c>
      <c r="Z82" s="139"/>
    </row>
    <row r="83" spans="1:26" hidden="1" x14ac:dyDescent="0.2">
      <c r="A83" s="753" t="s">
        <v>2599</v>
      </c>
      <c r="B83" s="753"/>
      <c r="C83" s="754" t="s">
        <v>1222</v>
      </c>
      <c r="D83" s="755" t="s">
        <v>1223</v>
      </c>
      <c r="E83" s="756">
        <v>0</v>
      </c>
      <c r="F83" s="756">
        <v>0</v>
      </c>
      <c r="G83" s="756">
        <v>0</v>
      </c>
      <c r="H83" s="756">
        <v>1</v>
      </c>
      <c r="I83" s="756">
        <v>0</v>
      </c>
      <c r="J83" s="756">
        <v>0</v>
      </c>
      <c r="K83" s="756">
        <v>0</v>
      </c>
      <c r="L83" s="756"/>
      <c r="M83" s="756">
        <v>0</v>
      </c>
      <c r="N83" s="756">
        <v>0</v>
      </c>
      <c r="O83" s="756">
        <v>0</v>
      </c>
      <c r="P83" s="756">
        <v>0</v>
      </c>
      <c r="Q83" s="756">
        <v>0</v>
      </c>
      <c r="R83" s="756">
        <v>0</v>
      </c>
      <c r="S83" s="756">
        <v>0</v>
      </c>
      <c r="T83" s="756">
        <v>0</v>
      </c>
      <c r="U83" s="756">
        <v>0</v>
      </c>
      <c r="V83" s="756">
        <v>0</v>
      </c>
      <c r="W83" s="756">
        <v>0</v>
      </c>
      <c r="X83" s="756"/>
      <c r="Y83" s="842">
        <v>1</v>
      </c>
      <c r="Z83" s="139"/>
    </row>
    <row r="84" spans="1:26" hidden="1" x14ac:dyDescent="0.2">
      <c r="A84" s="140" t="s">
        <v>2599</v>
      </c>
      <c r="B84" s="140"/>
      <c r="C84" s="141" t="s">
        <v>1224</v>
      </c>
      <c r="D84" s="142" t="s">
        <v>1225</v>
      </c>
      <c r="E84" s="136">
        <v>0</v>
      </c>
      <c r="F84" s="136">
        <v>0</v>
      </c>
      <c r="G84" s="136">
        <v>0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36">
        <v>0</v>
      </c>
      <c r="O84" s="136">
        <v>0</v>
      </c>
      <c r="P84" s="136">
        <v>1</v>
      </c>
      <c r="Q84" s="136">
        <v>0</v>
      </c>
      <c r="R84" s="136">
        <v>0</v>
      </c>
      <c r="S84" s="136">
        <v>0</v>
      </c>
      <c r="T84" s="136">
        <v>0</v>
      </c>
      <c r="U84" s="136">
        <v>0</v>
      </c>
      <c r="V84" s="136">
        <v>0</v>
      </c>
      <c r="W84" s="136">
        <v>0</v>
      </c>
      <c r="X84" s="136"/>
      <c r="Y84" s="835">
        <v>1</v>
      </c>
      <c r="Z84" s="139"/>
    </row>
    <row r="85" spans="1:26" hidden="1" x14ac:dyDescent="0.2">
      <c r="A85" s="140" t="s">
        <v>2599</v>
      </c>
      <c r="B85" s="140"/>
      <c r="C85" s="141" t="s">
        <v>1299</v>
      </c>
      <c r="D85" s="142" t="s">
        <v>106</v>
      </c>
      <c r="E85" s="136">
        <v>0</v>
      </c>
      <c r="F85" s="136">
        <v>0</v>
      </c>
      <c r="G85" s="136">
        <v>0</v>
      </c>
      <c r="H85" s="136">
        <v>0.1852000057079686</v>
      </c>
      <c r="I85" s="136">
        <v>0</v>
      </c>
      <c r="J85" s="136">
        <v>0</v>
      </c>
      <c r="K85" s="136">
        <v>0</v>
      </c>
      <c r="L85" s="136">
        <v>0.81479999429203143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6">
        <v>0</v>
      </c>
      <c r="X85" s="136"/>
      <c r="Y85" s="835">
        <v>1</v>
      </c>
      <c r="Z85" s="139"/>
    </row>
    <row r="86" spans="1:26" hidden="1" x14ac:dyDescent="0.2">
      <c r="A86" s="133" t="s">
        <v>2599</v>
      </c>
      <c r="B86" s="133"/>
      <c r="C86" s="168" t="s">
        <v>1307</v>
      </c>
      <c r="D86" s="169" t="s">
        <v>1308</v>
      </c>
      <c r="E86" s="136">
        <v>0</v>
      </c>
      <c r="F86" s="136">
        <v>0</v>
      </c>
      <c r="G86" s="136">
        <v>0</v>
      </c>
      <c r="H86" s="136">
        <v>0</v>
      </c>
      <c r="I86" s="136">
        <v>0</v>
      </c>
      <c r="J86" s="136">
        <v>0</v>
      </c>
      <c r="K86" s="136">
        <v>1</v>
      </c>
      <c r="L86" s="136">
        <v>0</v>
      </c>
      <c r="M86" s="136">
        <v>0</v>
      </c>
      <c r="N86" s="136">
        <v>0</v>
      </c>
      <c r="O86" s="136">
        <v>0</v>
      </c>
      <c r="P86" s="136">
        <v>0</v>
      </c>
      <c r="Q86" s="136">
        <v>0</v>
      </c>
      <c r="R86" s="136">
        <v>0</v>
      </c>
      <c r="S86" s="136">
        <v>0</v>
      </c>
      <c r="T86" s="136">
        <v>0</v>
      </c>
      <c r="U86" s="136">
        <v>0</v>
      </c>
      <c r="V86" s="136">
        <v>0</v>
      </c>
      <c r="W86" s="136">
        <v>0</v>
      </c>
      <c r="X86" s="683"/>
      <c r="Y86" s="837">
        <v>1</v>
      </c>
      <c r="Z86" s="139"/>
    </row>
    <row r="87" spans="1:26" hidden="1" x14ac:dyDescent="0.2">
      <c r="A87" s="140" t="s">
        <v>2599</v>
      </c>
      <c r="B87" s="140"/>
      <c r="C87" s="145" t="s">
        <v>1612</v>
      </c>
      <c r="D87" s="170" t="s">
        <v>1613</v>
      </c>
      <c r="E87" s="136">
        <v>0</v>
      </c>
      <c r="F87" s="136">
        <v>0</v>
      </c>
      <c r="G87" s="136">
        <v>0</v>
      </c>
      <c r="H87" s="136">
        <v>1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/>
      <c r="Y87" s="835">
        <v>1</v>
      </c>
      <c r="Z87" s="139"/>
    </row>
    <row r="88" spans="1:26" hidden="1" x14ac:dyDescent="0.2">
      <c r="A88" s="140" t="s">
        <v>2599</v>
      </c>
      <c r="B88" s="140"/>
      <c r="C88" s="141" t="s">
        <v>1226</v>
      </c>
      <c r="D88" s="142" t="s">
        <v>1227</v>
      </c>
      <c r="E88" s="136">
        <v>0</v>
      </c>
      <c r="F88" s="136">
        <v>0</v>
      </c>
      <c r="G88" s="136">
        <v>0</v>
      </c>
      <c r="H88" s="136">
        <v>1</v>
      </c>
      <c r="I88" s="136">
        <v>0</v>
      </c>
      <c r="J88" s="136">
        <v>0</v>
      </c>
      <c r="K88" s="136">
        <v>0</v>
      </c>
      <c r="L88" s="136">
        <v>0</v>
      </c>
      <c r="M88" s="136">
        <v>0</v>
      </c>
      <c r="N88" s="136">
        <v>0</v>
      </c>
      <c r="O88" s="136">
        <v>0</v>
      </c>
      <c r="P88" s="136">
        <v>0</v>
      </c>
      <c r="Q88" s="136">
        <v>0</v>
      </c>
      <c r="R88" s="136">
        <v>0</v>
      </c>
      <c r="S88" s="136">
        <v>0</v>
      </c>
      <c r="T88" s="136">
        <v>0</v>
      </c>
      <c r="U88" s="136">
        <v>0</v>
      </c>
      <c r="V88" s="136">
        <v>0</v>
      </c>
      <c r="W88" s="136">
        <v>0</v>
      </c>
      <c r="X88" s="136"/>
      <c r="Y88" s="835">
        <v>1</v>
      </c>
      <c r="Z88" s="139"/>
    </row>
    <row r="89" spans="1:26" hidden="1" x14ac:dyDescent="0.2">
      <c r="A89" s="140" t="s">
        <v>2599</v>
      </c>
      <c r="B89" s="140"/>
      <c r="C89" s="141" t="s">
        <v>1228</v>
      </c>
      <c r="D89" s="142" t="s">
        <v>108</v>
      </c>
      <c r="E89" s="136">
        <v>0</v>
      </c>
      <c r="F89" s="136">
        <v>0</v>
      </c>
      <c r="G89" s="136">
        <v>0</v>
      </c>
      <c r="H89" s="136">
        <v>0.34979999952692986</v>
      </c>
      <c r="I89" s="136">
        <v>0</v>
      </c>
      <c r="J89" s="136">
        <v>0</v>
      </c>
      <c r="K89" s="136">
        <v>0</v>
      </c>
      <c r="L89" s="136">
        <v>0.65020000047307014</v>
      </c>
      <c r="M89" s="136">
        <v>0</v>
      </c>
      <c r="N89" s="136">
        <v>0</v>
      </c>
      <c r="O89" s="136">
        <v>0</v>
      </c>
      <c r="P89" s="136">
        <v>0</v>
      </c>
      <c r="Q89" s="136">
        <v>0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6">
        <v>0</v>
      </c>
      <c r="X89" s="136"/>
      <c r="Y89" s="835">
        <v>1</v>
      </c>
      <c r="Z89" s="139"/>
    </row>
    <row r="90" spans="1:26" hidden="1" x14ac:dyDescent="0.2">
      <c r="A90" s="140" t="s">
        <v>2599</v>
      </c>
      <c r="B90" s="140"/>
      <c r="C90" s="141" t="s">
        <v>1229</v>
      </c>
      <c r="D90" s="142" t="s">
        <v>1230</v>
      </c>
      <c r="E90" s="136">
        <v>0</v>
      </c>
      <c r="F90" s="136">
        <v>0</v>
      </c>
      <c r="G90" s="136">
        <v>0</v>
      </c>
      <c r="H90" s="136">
        <v>0</v>
      </c>
      <c r="I90" s="136">
        <v>0</v>
      </c>
      <c r="J90" s="136">
        <v>0</v>
      </c>
      <c r="K90" s="136">
        <v>0</v>
      </c>
      <c r="L90" s="136">
        <v>5.2278226505164317E-2</v>
      </c>
      <c r="M90" s="136">
        <v>0</v>
      </c>
      <c r="N90" s="136">
        <v>0.94772177349483566</v>
      </c>
      <c r="O90" s="136">
        <v>0</v>
      </c>
      <c r="P90" s="136">
        <v>0</v>
      </c>
      <c r="Q90" s="136">
        <v>0</v>
      </c>
      <c r="R90" s="136">
        <v>0</v>
      </c>
      <c r="S90" s="136">
        <v>0</v>
      </c>
      <c r="T90" s="136">
        <v>0</v>
      </c>
      <c r="U90" s="136">
        <v>0</v>
      </c>
      <c r="V90" s="136">
        <v>0</v>
      </c>
      <c r="W90" s="136">
        <v>0</v>
      </c>
      <c r="X90" s="136"/>
      <c r="Y90" s="835">
        <v>1</v>
      </c>
      <c r="Z90" s="139"/>
    </row>
    <row r="91" spans="1:26" hidden="1" x14ac:dyDescent="0.2">
      <c r="A91" s="741" t="s">
        <v>2599</v>
      </c>
      <c r="B91" s="741"/>
      <c r="C91" s="742" t="s">
        <v>1231</v>
      </c>
      <c r="D91" s="743" t="s">
        <v>111</v>
      </c>
      <c r="E91" s="744">
        <v>0</v>
      </c>
      <c r="F91" s="744">
        <v>5.4800011129333456E-2</v>
      </c>
      <c r="G91" s="744">
        <v>9.1599666254084222E-2</v>
      </c>
      <c r="H91" s="744">
        <v>0</v>
      </c>
      <c r="I91" s="744">
        <v>0</v>
      </c>
      <c r="J91" s="744">
        <v>0</v>
      </c>
      <c r="K91" s="744">
        <v>0</v>
      </c>
      <c r="L91" s="744">
        <v>0</v>
      </c>
      <c r="M91" s="744">
        <v>0</v>
      </c>
      <c r="N91" s="744">
        <v>0.10100026560668332</v>
      </c>
      <c r="O91" s="744">
        <v>0</v>
      </c>
      <c r="P91" s="744">
        <v>0.308800006436241</v>
      </c>
      <c r="Q91" s="744">
        <v>0</v>
      </c>
      <c r="R91" s="744">
        <v>0</v>
      </c>
      <c r="S91" s="744">
        <v>0.44380005057365801</v>
      </c>
      <c r="T91" s="744">
        <v>0</v>
      </c>
      <c r="U91" s="744">
        <v>0</v>
      </c>
      <c r="V91" s="744">
        <v>0</v>
      </c>
      <c r="W91" s="744">
        <v>0</v>
      </c>
      <c r="X91" s="744">
        <v>0</v>
      </c>
      <c r="Y91" s="836">
        <v>1</v>
      </c>
      <c r="Z91" s="139"/>
    </row>
    <row r="92" spans="1:26" hidden="1" x14ac:dyDescent="0.2">
      <c r="A92" s="140" t="s">
        <v>2599</v>
      </c>
      <c r="B92" s="140"/>
      <c r="C92" s="141" t="s">
        <v>1232</v>
      </c>
      <c r="D92" s="142" t="s">
        <v>1233</v>
      </c>
      <c r="E92" s="136">
        <v>0</v>
      </c>
      <c r="F92" s="136">
        <v>0</v>
      </c>
      <c r="G92" s="136">
        <v>4.1801526308580764E-2</v>
      </c>
      <c r="H92" s="136">
        <v>0</v>
      </c>
      <c r="I92" s="136">
        <v>0</v>
      </c>
      <c r="J92" s="136">
        <v>0</v>
      </c>
      <c r="K92" s="136">
        <v>0</v>
      </c>
      <c r="L92" s="136">
        <v>0</v>
      </c>
      <c r="M92" s="136">
        <v>0</v>
      </c>
      <c r="N92" s="136">
        <v>7.2578260715476919E-2</v>
      </c>
      <c r="O92" s="136">
        <v>0</v>
      </c>
      <c r="P92" s="136">
        <v>0.34179544592454403</v>
      </c>
      <c r="Q92" s="136">
        <v>0</v>
      </c>
      <c r="R92" s="136">
        <v>0</v>
      </c>
      <c r="S92" s="136">
        <v>0.54382476705139826</v>
      </c>
      <c r="T92" s="136">
        <v>0</v>
      </c>
      <c r="U92" s="136">
        <v>0</v>
      </c>
      <c r="V92" s="136">
        <v>0</v>
      </c>
      <c r="W92" s="136">
        <v>0</v>
      </c>
      <c r="X92" s="136"/>
      <c r="Y92" s="835">
        <v>1</v>
      </c>
      <c r="Z92" s="139"/>
    </row>
    <row r="93" spans="1:26" hidden="1" x14ac:dyDescent="0.2">
      <c r="A93" s="140" t="s">
        <v>2599</v>
      </c>
      <c r="B93" s="140"/>
      <c r="C93" s="141" t="s">
        <v>1234</v>
      </c>
      <c r="D93" s="142" t="s">
        <v>1235</v>
      </c>
      <c r="E93" s="136">
        <v>0</v>
      </c>
      <c r="F93" s="136">
        <v>0</v>
      </c>
      <c r="G93" s="136">
        <v>0.11051553273948254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6">
        <v>0.41956067462815483</v>
      </c>
      <c r="O93" s="136">
        <v>0</v>
      </c>
      <c r="P93" s="136">
        <v>0.27209868204069237</v>
      </c>
      <c r="Q93" s="136">
        <v>0</v>
      </c>
      <c r="R93" s="136">
        <v>0</v>
      </c>
      <c r="S93" s="136">
        <v>0.19782511059167021</v>
      </c>
      <c r="T93" s="136">
        <v>0</v>
      </c>
      <c r="U93" s="136">
        <v>0</v>
      </c>
      <c r="V93" s="136">
        <v>0</v>
      </c>
      <c r="W93" s="136">
        <v>0</v>
      </c>
      <c r="X93" s="136"/>
      <c r="Y93" s="835">
        <v>1</v>
      </c>
      <c r="Z93" s="139"/>
    </row>
    <row r="94" spans="1:26" hidden="1" x14ac:dyDescent="0.2">
      <c r="A94" s="140" t="s">
        <v>2599</v>
      </c>
      <c r="B94" s="140"/>
      <c r="C94" s="141" t="s">
        <v>1236</v>
      </c>
      <c r="D94" s="142" t="s">
        <v>113</v>
      </c>
      <c r="E94" s="136">
        <v>0</v>
      </c>
      <c r="F94" s="136">
        <v>0</v>
      </c>
      <c r="G94" s="136">
        <v>0</v>
      </c>
      <c r="H94" s="136">
        <v>0</v>
      </c>
      <c r="I94" s="136">
        <v>0</v>
      </c>
      <c r="J94" s="136">
        <v>0</v>
      </c>
      <c r="K94" s="136">
        <v>0</v>
      </c>
      <c r="L94" s="136">
        <v>0</v>
      </c>
      <c r="M94" s="136">
        <v>0</v>
      </c>
      <c r="N94" s="136">
        <v>1</v>
      </c>
      <c r="O94" s="136">
        <v>0</v>
      </c>
      <c r="P94" s="136">
        <v>0</v>
      </c>
      <c r="Q94" s="136">
        <v>0</v>
      </c>
      <c r="R94" s="136">
        <v>0</v>
      </c>
      <c r="S94" s="136">
        <v>0</v>
      </c>
      <c r="T94" s="136">
        <v>0</v>
      </c>
      <c r="U94" s="136">
        <v>0</v>
      </c>
      <c r="V94" s="136">
        <v>0</v>
      </c>
      <c r="W94" s="136">
        <v>0</v>
      </c>
      <c r="X94" s="136"/>
      <c r="Y94" s="835">
        <v>1</v>
      </c>
      <c r="Z94" s="139"/>
    </row>
    <row r="95" spans="1:26" hidden="1" x14ac:dyDescent="0.2">
      <c r="A95" s="140" t="s">
        <v>2599</v>
      </c>
      <c r="B95" s="140"/>
      <c r="C95" s="141" t="s">
        <v>1237</v>
      </c>
      <c r="D95" s="142" t="s">
        <v>116</v>
      </c>
      <c r="E95" s="136">
        <v>0</v>
      </c>
      <c r="F95" s="136">
        <v>0.18054317433147304</v>
      </c>
      <c r="G95" s="136">
        <v>0.72706439539095524</v>
      </c>
      <c r="H95" s="136">
        <v>0</v>
      </c>
      <c r="I95" s="136">
        <v>0</v>
      </c>
      <c r="J95" s="136">
        <v>0</v>
      </c>
      <c r="K95" s="136">
        <v>0</v>
      </c>
      <c r="L95" s="136">
        <v>0</v>
      </c>
      <c r="M95" s="136">
        <v>0</v>
      </c>
      <c r="N95" s="136">
        <v>0</v>
      </c>
      <c r="O95" s="136">
        <v>0</v>
      </c>
      <c r="P95" s="136">
        <v>9.0288426599664823E-2</v>
      </c>
      <c r="Q95" s="136">
        <v>0</v>
      </c>
      <c r="R95" s="136">
        <v>0</v>
      </c>
      <c r="S95" s="136">
        <v>2.1040036779068224E-3</v>
      </c>
      <c r="T95" s="136">
        <v>0</v>
      </c>
      <c r="U95" s="136">
        <v>0</v>
      </c>
      <c r="V95" s="136">
        <v>0</v>
      </c>
      <c r="W95" s="136">
        <v>0</v>
      </c>
      <c r="X95" s="136"/>
      <c r="Y95" s="835">
        <v>1</v>
      </c>
      <c r="Z95" s="139"/>
    </row>
    <row r="96" spans="1:26" hidden="1" x14ac:dyDescent="0.2">
      <c r="A96" s="140" t="s">
        <v>2599</v>
      </c>
      <c r="B96" s="140"/>
      <c r="C96" s="141" t="s">
        <v>1238</v>
      </c>
      <c r="D96" s="142" t="s">
        <v>1239</v>
      </c>
      <c r="E96" s="136">
        <v>0</v>
      </c>
      <c r="F96" s="136">
        <v>0</v>
      </c>
      <c r="G96" s="136">
        <v>1</v>
      </c>
      <c r="H96" s="136">
        <v>0</v>
      </c>
      <c r="I96" s="136">
        <v>0</v>
      </c>
      <c r="J96" s="136">
        <v>0</v>
      </c>
      <c r="K96" s="136">
        <v>0</v>
      </c>
      <c r="L96" s="136">
        <v>0</v>
      </c>
      <c r="M96" s="136">
        <v>0</v>
      </c>
      <c r="N96" s="136">
        <v>0</v>
      </c>
      <c r="O96" s="136">
        <v>0</v>
      </c>
      <c r="P96" s="136">
        <v>0</v>
      </c>
      <c r="Q96" s="136">
        <v>0</v>
      </c>
      <c r="R96" s="136">
        <v>0</v>
      </c>
      <c r="S96" s="136">
        <v>0</v>
      </c>
      <c r="T96" s="136">
        <v>0</v>
      </c>
      <c r="U96" s="136">
        <v>0</v>
      </c>
      <c r="V96" s="136">
        <v>0</v>
      </c>
      <c r="W96" s="136">
        <v>0</v>
      </c>
      <c r="X96" s="136"/>
      <c r="Y96" s="835">
        <v>1</v>
      </c>
      <c r="Z96" s="139"/>
    </row>
    <row r="97" spans="1:26" hidden="1" x14ac:dyDescent="0.2">
      <c r="A97" s="133" t="s">
        <v>2599</v>
      </c>
      <c r="B97" s="133"/>
      <c r="C97" s="155" t="s">
        <v>1240</v>
      </c>
      <c r="D97" s="156" t="s">
        <v>1241</v>
      </c>
      <c r="E97" s="136">
        <v>0</v>
      </c>
      <c r="F97" s="136">
        <v>0</v>
      </c>
      <c r="G97" s="136">
        <v>0</v>
      </c>
      <c r="H97" s="136">
        <v>1</v>
      </c>
      <c r="I97" s="136">
        <v>0</v>
      </c>
      <c r="J97" s="136">
        <v>0</v>
      </c>
      <c r="K97" s="136">
        <v>0</v>
      </c>
      <c r="L97" s="136">
        <v>0</v>
      </c>
      <c r="M97" s="136">
        <v>0</v>
      </c>
      <c r="N97" s="136">
        <v>0</v>
      </c>
      <c r="O97" s="136">
        <v>0</v>
      </c>
      <c r="P97" s="136">
        <v>0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6">
        <v>0</v>
      </c>
      <c r="X97" s="683"/>
      <c r="Y97" s="837">
        <v>1</v>
      </c>
      <c r="Z97" s="139"/>
    </row>
    <row r="98" spans="1:26" hidden="1" x14ac:dyDescent="0.2">
      <c r="A98" s="140" t="s">
        <v>2599</v>
      </c>
      <c r="B98" s="140"/>
      <c r="C98" s="141" t="s">
        <v>1242</v>
      </c>
      <c r="D98" s="142" t="s">
        <v>1243</v>
      </c>
      <c r="E98" s="136">
        <v>0.89231090233509669</v>
      </c>
      <c r="F98" s="136">
        <v>0</v>
      </c>
      <c r="G98" s="136">
        <v>0</v>
      </c>
      <c r="H98" s="136">
        <v>0</v>
      </c>
      <c r="I98" s="136">
        <v>0</v>
      </c>
      <c r="J98" s="136">
        <v>0</v>
      </c>
      <c r="K98" s="136">
        <v>0</v>
      </c>
      <c r="L98" s="136">
        <v>0.10768909766490346</v>
      </c>
      <c r="M98" s="136">
        <v>0</v>
      </c>
      <c r="N98" s="136">
        <v>0</v>
      </c>
      <c r="O98" s="136">
        <v>0</v>
      </c>
      <c r="P98" s="136">
        <v>0</v>
      </c>
      <c r="Q98" s="136">
        <v>0</v>
      </c>
      <c r="R98" s="136">
        <v>0</v>
      </c>
      <c r="S98" s="136">
        <v>0</v>
      </c>
      <c r="T98" s="136">
        <v>0</v>
      </c>
      <c r="U98" s="136">
        <v>0</v>
      </c>
      <c r="V98" s="136">
        <v>0</v>
      </c>
      <c r="W98" s="136">
        <v>0</v>
      </c>
      <c r="X98" s="136"/>
      <c r="Y98" s="835">
        <v>1.0000000000000002</v>
      </c>
      <c r="Z98" s="139"/>
    </row>
    <row r="99" spans="1:26" hidden="1" x14ac:dyDescent="0.2">
      <c r="A99" s="140" t="s">
        <v>2599</v>
      </c>
      <c r="B99" s="140"/>
      <c r="C99" s="141" t="s">
        <v>1244</v>
      </c>
      <c r="D99" s="142" t="s">
        <v>1245</v>
      </c>
      <c r="E99" s="136">
        <v>0.96049455204115586</v>
      </c>
      <c r="F99" s="136">
        <v>0</v>
      </c>
      <c r="G99" s="136">
        <v>0</v>
      </c>
      <c r="H99" s="136">
        <v>1.8547156800189316E-2</v>
      </c>
      <c r="I99" s="136">
        <v>0</v>
      </c>
      <c r="J99" s="136">
        <v>0</v>
      </c>
      <c r="K99" s="136">
        <v>0</v>
      </c>
      <c r="L99" s="136">
        <v>2.0958291158654895E-2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6">
        <v>0</v>
      </c>
      <c r="X99" s="136"/>
      <c r="Y99" s="835">
        <v>1.0000000000000002</v>
      </c>
      <c r="Z99" s="139"/>
    </row>
    <row r="100" spans="1:26" hidden="1" x14ac:dyDescent="0.2">
      <c r="A100" s="140" t="s">
        <v>2599</v>
      </c>
      <c r="B100" s="140"/>
      <c r="C100" s="145" t="s">
        <v>1588</v>
      </c>
      <c r="D100" s="146" t="s">
        <v>1589</v>
      </c>
      <c r="E100" s="136">
        <v>0</v>
      </c>
      <c r="F100" s="136">
        <v>0</v>
      </c>
      <c r="G100" s="136">
        <v>0</v>
      </c>
      <c r="H100" s="136">
        <v>1</v>
      </c>
      <c r="I100" s="136">
        <v>0</v>
      </c>
      <c r="J100" s="136">
        <v>0</v>
      </c>
      <c r="K100" s="136">
        <v>0</v>
      </c>
      <c r="L100" s="136">
        <v>0</v>
      </c>
      <c r="M100" s="136">
        <v>0</v>
      </c>
      <c r="N100" s="136">
        <v>0</v>
      </c>
      <c r="O100" s="136">
        <v>0</v>
      </c>
      <c r="P100" s="136">
        <v>0</v>
      </c>
      <c r="Q100" s="136">
        <v>0</v>
      </c>
      <c r="R100" s="136">
        <v>0</v>
      </c>
      <c r="S100" s="136">
        <v>0</v>
      </c>
      <c r="T100" s="136">
        <v>0</v>
      </c>
      <c r="U100" s="136">
        <v>0</v>
      </c>
      <c r="V100" s="136">
        <v>0</v>
      </c>
      <c r="W100" s="136">
        <v>0</v>
      </c>
      <c r="X100" s="136"/>
      <c r="Y100" s="835">
        <v>1</v>
      </c>
      <c r="Z100" s="139"/>
    </row>
    <row r="101" spans="1:26" hidden="1" x14ac:dyDescent="0.2">
      <c r="A101" s="140" t="s">
        <v>2599</v>
      </c>
      <c r="B101" s="140"/>
      <c r="C101" s="141" t="s">
        <v>1246</v>
      </c>
      <c r="D101" s="142" t="s">
        <v>1247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6">
        <v>0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6">
        <v>0</v>
      </c>
      <c r="X101" s="136"/>
      <c r="Y101" s="835">
        <v>1</v>
      </c>
      <c r="Z101" s="139"/>
    </row>
    <row r="102" spans="1:26" hidden="1" x14ac:dyDescent="0.2">
      <c r="A102" s="140" t="s">
        <v>2599</v>
      </c>
      <c r="B102" s="140"/>
      <c r="C102" s="141" t="s">
        <v>1250</v>
      </c>
      <c r="D102" s="142" t="s">
        <v>1251</v>
      </c>
      <c r="E102" s="136">
        <v>0</v>
      </c>
      <c r="F102" s="136">
        <v>0</v>
      </c>
      <c r="G102" s="136">
        <v>0</v>
      </c>
      <c r="H102" s="136">
        <v>0</v>
      </c>
      <c r="I102" s="136">
        <v>0</v>
      </c>
      <c r="J102" s="136">
        <v>0</v>
      </c>
      <c r="K102" s="136">
        <v>0</v>
      </c>
      <c r="L102" s="136">
        <v>0</v>
      </c>
      <c r="M102" s="136">
        <v>0</v>
      </c>
      <c r="N102" s="136">
        <v>0</v>
      </c>
      <c r="O102" s="136">
        <v>0</v>
      </c>
      <c r="P102" s="136">
        <v>0</v>
      </c>
      <c r="Q102" s="136">
        <v>1</v>
      </c>
      <c r="R102" s="136">
        <v>0</v>
      </c>
      <c r="S102" s="136">
        <v>0</v>
      </c>
      <c r="T102" s="136">
        <v>0</v>
      </c>
      <c r="U102" s="136">
        <v>0</v>
      </c>
      <c r="V102" s="136">
        <v>0</v>
      </c>
      <c r="W102" s="136">
        <v>0</v>
      </c>
      <c r="X102" s="136"/>
      <c r="Y102" s="835">
        <v>1</v>
      </c>
      <c r="Z102" s="139"/>
    </row>
    <row r="103" spans="1:26" hidden="1" x14ac:dyDescent="0.2">
      <c r="A103" s="133" t="s">
        <v>2599</v>
      </c>
      <c r="B103" s="133"/>
      <c r="C103" s="155" t="s">
        <v>1253</v>
      </c>
      <c r="D103" s="156" t="s">
        <v>120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6">
        <v>0</v>
      </c>
      <c r="M103" s="136">
        <v>0</v>
      </c>
      <c r="N103" s="136">
        <v>0.13002523192355411</v>
      </c>
      <c r="O103" s="136">
        <v>0</v>
      </c>
      <c r="P103" s="136">
        <v>0.84884849651455951</v>
      </c>
      <c r="Q103" s="136">
        <v>0</v>
      </c>
      <c r="R103" s="136">
        <v>0</v>
      </c>
      <c r="S103" s="136">
        <v>2.1126271561886401E-2</v>
      </c>
      <c r="T103" s="136">
        <v>0</v>
      </c>
      <c r="U103" s="136">
        <v>0</v>
      </c>
      <c r="V103" s="136">
        <v>0</v>
      </c>
      <c r="W103" s="136">
        <v>0</v>
      </c>
      <c r="X103" s="683"/>
      <c r="Y103" s="837">
        <v>1</v>
      </c>
      <c r="Z103" s="139"/>
    </row>
    <row r="104" spans="1:26" hidden="1" x14ac:dyDescent="0.2">
      <c r="A104" s="140" t="s">
        <v>2599</v>
      </c>
      <c r="B104" s="140"/>
      <c r="C104" s="141" t="s">
        <v>1254</v>
      </c>
      <c r="D104" s="142" t="s">
        <v>1255</v>
      </c>
      <c r="E104" s="136">
        <v>0</v>
      </c>
      <c r="F104" s="136">
        <v>0</v>
      </c>
      <c r="G104" s="136">
        <v>0</v>
      </c>
      <c r="H104" s="136">
        <v>0</v>
      </c>
      <c r="I104" s="136">
        <v>0</v>
      </c>
      <c r="J104" s="136">
        <v>0</v>
      </c>
      <c r="K104" s="136">
        <v>0</v>
      </c>
      <c r="L104" s="136">
        <v>0</v>
      </c>
      <c r="M104" s="136">
        <v>0</v>
      </c>
      <c r="N104" s="136">
        <v>0</v>
      </c>
      <c r="O104" s="136">
        <v>0</v>
      </c>
      <c r="P104" s="136">
        <v>0</v>
      </c>
      <c r="Q104" s="136">
        <v>0</v>
      </c>
      <c r="R104" s="136">
        <v>0</v>
      </c>
      <c r="S104" s="136">
        <v>0</v>
      </c>
      <c r="T104" s="136">
        <v>0</v>
      </c>
      <c r="U104" s="136">
        <v>0</v>
      </c>
      <c r="V104" s="136">
        <v>1</v>
      </c>
      <c r="W104" s="136">
        <v>0</v>
      </c>
      <c r="X104" s="136"/>
      <c r="Y104" s="835">
        <v>1</v>
      </c>
      <c r="Z104" s="139"/>
    </row>
    <row r="105" spans="1:26" hidden="1" x14ac:dyDescent="0.2">
      <c r="A105" s="133" t="s">
        <v>2599</v>
      </c>
      <c r="B105" s="133"/>
      <c r="C105" s="155" t="s">
        <v>1256</v>
      </c>
      <c r="D105" s="156" t="s">
        <v>1257</v>
      </c>
      <c r="E105" s="136">
        <v>0</v>
      </c>
      <c r="F105" s="136">
        <v>0</v>
      </c>
      <c r="G105" s="136">
        <v>0</v>
      </c>
      <c r="H105" s="136">
        <v>0</v>
      </c>
      <c r="I105" s="136">
        <v>0</v>
      </c>
      <c r="J105" s="136">
        <v>0</v>
      </c>
      <c r="K105" s="136">
        <v>0</v>
      </c>
      <c r="L105" s="136">
        <v>0</v>
      </c>
      <c r="M105" s="136">
        <v>0</v>
      </c>
      <c r="N105" s="136">
        <v>0</v>
      </c>
      <c r="O105" s="136">
        <v>0</v>
      </c>
      <c r="P105" s="136">
        <v>0</v>
      </c>
      <c r="Q105" s="136">
        <v>0</v>
      </c>
      <c r="R105" s="136">
        <v>0</v>
      </c>
      <c r="S105" s="136">
        <v>0</v>
      </c>
      <c r="T105" s="136">
        <v>0</v>
      </c>
      <c r="U105" s="136">
        <v>0</v>
      </c>
      <c r="V105" s="136">
        <v>1</v>
      </c>
      <c r="W105" s="136">
        <v>0</v>
      </c>
      <c r="X105" s="683"/>
      <c r="Y105" s="837">
        <v>1</v>
      </c>
      <c r="Z105" s="139"/>
    </row>
    <row r="106" spans="1:26" hidden="1" x14ac:dyDescent="0.2">
      <c r="A106" s="140" t="s">
        <v>2599</v>
      </c>
      <c r="B106" s="140"/>
      <c r="C106" s="141" t="s">
        <v>1258</v>
      </c>
      <c r="D106" s="142" t="s">
        <v>121</v>
      </c>
      <c r="E106" s="136">
        <v>0</v>
      </c>
      <c r="F106" s="136">
        <v>0</v>
      </c>
      <c r="G106" s="136">
        <v>0</v>
      </c>
      <c r="H106" s="136">
        <v>0</v>
      </c>
      <c r="I106" s="136">
        <v>0</v>
      </c>
      <c r="J106" s="136">
        <v>0</v>
      </c>
      <c r="K106" s="136">
        <v>0</v>
      </c>
      <c r="L106" s="136">
        <v>0</v>
      </c>
      <c r="M106" s="136">
        <v>0</v>
      </c>
      <c r="N106" s="136">
        <v>0</v>
      </c>
      <c r="O106" s="136">
        <v>0</v>
      </c>
      <c r="P106" s="136">
        <v>0</v>
      </c>
      <c r="Q106" s="136">
        <v>0</v>
      </c>
      <c r="R106" s="136">
        <v>0</v>
      </c>
      <c r="S106" s="136">
        <v>1</v>
      </c>
      <c r="T106" s="136">
        <v>0</v>
      </c>
      <c r="U106" s="136">
        <v>0</v>
      </c>
      <c r="V106" s="136">
        <v>0</v>
      </c>
      <c r="W106" s="136">
        <v>0</v>
      </c>
      <c r="X106" s="136"/>
      <c r="Y106" s="835">
        <v>1</v>
      </c>
      <c r="Z106" s="139"/>
    </row>
    <row r="107" spans="1:26" hidden="1" x14ac:dyDescent="0.2">
      <c r="A107" s="140" t="s">
        <v>2599</v>
      </c>
      <c r="B107" s="140"/>
      <c r="C107" s="141" t="s">
        <v>1259</v>
      </c>
      <c r="D107" s="142" t="s">
        <v>122</v>
      </c>
      <c r="E107" s="136">
        <v>0</v>
      </c>
      <c r="F107" s="136">
        <v>0</v>
      </c>
      <c r="G107" s="136">
        <v>0</v>
      </c>
      <c r="H107" s="136">
        <v>0</v>
      </c>
      <c r="I107" s="136">
        <v>0</v>
      </c>
      <c r="J107" s="136">
        <v>0</v>
      </c>
      <c r="K107" s="136">
        <v>0</v>
      </c>
      <c r="L107" s="136">
        <v>0</v>
      </c>
      <c r="M107" s="136">
        <v>0</v>
      </c>
      <c r="N107" s="136">
        <v>1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6">
        <v>0</v>
      </c>
      <c r="X107" s="136"/>
      <c r="Y107" s="835">
        <v>1</v>
      </c>
      <c r="Z107" s="139"/>
    </row>
    <row r="108" spans="1:26" hidden="1" x14ac:dyDescent="0.2">
      <c r="A108" s="140" t="s">
        <v>2599</v>
      </c>
      <c r="B108" s="140"/>
      <c r="C108" s="141" t="s">
        <v>1260</v>
      </c>
      <c r="D108" s="142" t="s">
        <v>123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136">
        <v>0</v>
      </c>
      <c r="K108" s="136">
        <v>0</v>
      </c>
      <c r="L108" s="136">
        <v>0</v>
      </c>
      <c r="M108" s="136">
        <v>0</v>
      </c>
      <c r="N108" s="136">
        <v>0.94470857791865281</v>
      </c>
      <c r="O108" s="136">
        <v>0</v>
      </c>
      <c r="P108" s="136">
        <v>0</v>
      </c>
      <c r="Q108" s="136">
        <v>0</v>
      </c>
      <c r="R108" s="136">
        <v>0</v>
      </c>
      <c r="S108" s="136">
        <v>5.5291422081347165E-2</v>
      </c>
      <c r="T108" s="136">
        <v>0</v>
      </c>
      <c r="U108" s="136">
        <v>0</v>
      </c>
      <c r="V108" s="136">
        <v>0</v>
      </c>
      <c r="W108" s="136">
        <v>0</v>
      </c>
      <c r="X108" s="136"/>
      <c r="Y108" s="835">
        <v>1</v>
      </c>
      <c r="Z108" s="139"/>
    </row>
    <row r="109" spans="1:26" hidden="1" x14ac:dyDescent="0.2">
      <c r="A109" s="133" t="s">
        <v>2599</v>
      </c>
      <c r="B109" s="133"/>
      <c r="C109" s="155" t="s">
        <v>1261</v>
      </c>
      <c r="D109" s="156" t="s">
        <v>1262</v>
      </c>
      <c r="E109" s="136">
        <v>0.58216214118175835</v>
      </c>
      <c r="F109" s="136">
        <v>0</v>
      </c>
      <c r="G109" s="136">
        <v>0</v>
      </c>
      <c r="H109" s="136">
        <v>0</v>
      </c>
      <c r="I109" s="136">
        <v>0</v>
      </c>
      <c r="J109" s="136">
        <v>0</v>
      </c>
      <c r="K109" s="136">
        <v>0</v>
      </c>
      <c r="L109" s="136">
        <v>0.41783785881824159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0</v>
      </c>
      <c r="S109" s="136">
        <v>0</v>
      </c>
      <c r="T109" s="136">
        <v>0</v>
      </c>
      <c r="U109" s="136">
        <v>0</v>
      </c>
      <c r="V109" s="136">
        <v>0</v>
      </c>
      <c r="W109" s="136">
        <v>0</v>
      </c>
      <c r="X109" s="683"/>
      <c r="Y109" s="837">
        <v>1</v>
      </c>
      <c r="Z109" s="139"/>
    </row>
    <row r="110" spans="1:26" hidden="1" x14ac:dyDescent="0.2">
      <c r="A110" s="140" t="s">
        <v>2599</v>
      </c>
      <c r="B110" s="140"/>
      <c r="C110" s="141" t="s">
        <v>1264</v>
      </c>
      <c r="D110" s="142" t="s">
        <v>1265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136">
        <v>0</v>
      </c>
      <c r="K110" s="136">
        <v>0</v>
      </c>
      <c r="L110" s="136">
        <v>1</v>
      </c>
      <c r="M110" s="136">
        <v>0</v>
      </c>
      <c r="N110" s="136">
        <v>0</v>
      </c>
      <c r="O110" s="136">
        <v>0</v>
      </c>
      <c r="P110" s="136">
        <v>0</v>
      </c>
      <c r="Q110" s="136">
        <v>0</v>
      </c>
      <c r="R110" s="136">
        <v>0</v>
      </c>
      <c r="S110" s="136">
        <v>0</v>
      </c>
      <c r="T110" s="136">
        <v>0</v>
      </c>
      <c r="U110" s="136">
        <v>0</v>
      </c>
      <c r="V110" s="136">
        <v>0</v>
      </c>
      <c r="W110" s="136">
        <v>0</v>
      </c>
      <c r="X110" s="136"/>
      <c r="Y110" s="835">
        <v>1</v>
      </c>
      <c r="Z110" s="139"/>
    </row>
    <row r="111" spans="1:26" hidden="1" x14ac:dyDescent="0.2">
      <c r="A111" s="140" t="s">
        <v>2599</v>
      </c>
      <c r="B111" s="140"/>
      <c r="C111" s="164" t="s">
        <v>1720</v>
      </c>
      <c r="D111" s="165" t="s">
        <v>1721</v>
      </c>
      <c r="E111" s="136">
        <v>0</v>
      </c>
      <c r="F111" s="136">
        <v>0</v>
      </c>
      <c r="G111" s="136">
        <v>0</v>
      </c>
      <c r="H111" s="136">
        <v>1</v>
      </c>
      <c r="I111" s="136">
        <v>0</v>
      </c>
      <c r="J111" s="136">
        <v>0</v>
      </c>
      <c r="K111" s="136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6">
        <v>0</v>
      </c>
      <c r="X111" s="136"/>
      <c r="Y111" s="835">
        <v>1</v>
      </c>
      <c r="Z111" s="139"/>
    </row>
    <row r="112" spans="1:26" hidden="1" x14ac:dyDescent="0.2">
      <c r="A112" s="140" t="s">
        <v>2599</v>
      </c>
      <c r="B112" s="171">
        <v>42247</v>
      </c>
      <c r="C112" s="143" t="s">
        <v>1267</v>
      </c>
      <c r="D112" s="144" t="s">
        <v>127</v>
      </c>
      <c r="E112" s="136">
        <v>0</v>
      </c>
      <c r="F112" s="136">
        <v>0</v>
      </c>
      <c r="G112" s="136">
        <v>5.5000062818232809E-3</v>
      </c>
      <c r="H112" s="136">
        <v>0</v>
      </c>
      <c r="I112" s="136">
        <v>0</v>
      </c>
      <c r="J112" s="136">
        <v>0</v>
      </c>
      <c r="K112" s="136">
        <v>0</v>
      </c>
      <c r="L112" s="136">
        <v>0</v>
      </c>
      <c r="M112" s="136">
        <v>0</v>
      </c>
      <c r="N112" s="136">
        <v>0.48860002652237311</v>
      </c>
      <c r="O112" s="136">
        <v>0</v>
      </c>
      <c r="P112" s="136">
        <v>0.42799997586353072</v>
      </c>
      <c r="Q112" s="136">
        <v>0</v>
      </c>
      <c r="R112" s="136">
        <v>0</v>
      </c>
      <c r="S112" s="136">
        <v>6.7599985918411293E-2</v>
      </c>
      <c r="T112" s="136">
        <v>1.0300005413861578E-2</v>
      </c>
      <c r="U112" s="136">
        <v>0</v>
      </c>
      <c r="V112" s="136">
        <v>0</v>
      </c>
      <c r="W112" s="136">
        <v>0</v>
      </c>
      <c r="X112" s="136"/>
      <c r="Y112" s="836">
        <v>1</v>
      </c>
      <c r="Z112" s="139"/>
    </row>
    <row r="113" spans="1:26" hidden="1" x14ac:dyDescent="0.2">
      <c r="A113" s="140" t="s">
        <v>2599</v>
      </c>
      <c r="B113" s="140"/>
      <c r="C113" s="141" t="s">
        <v>1268</v>
      </c>
      <c r="D113" s="142" t="s">
        <v>1269</v>
      </c>
      <c r="E113" s="136">
        <v>0</v>
      </c>
      <c r="F113" s="136">
        <v>0</v>
      </c>
      <c r="G113" s="136">
        <v>0</v>
      </c>
      <c r="H113" s="136">
        <v>1</v>
      </c>
      <c r="I113" s="136">
        <v>0</v>
      </c>
      <c r="J113" s="136">
        <v>0</v>
      </c>
      <c r="K113" s="136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6">
        <v>0</v>
      </c>
      <c r="X113" s="136"/>
      <c r="Y113" s="835">
        <v>1</v>
      </c>
      <c r="Z113" s="139"/>
    </row>
    <row r="114" spans="1:26" hidden="1" x14ac:dyDescent="0.2">
      <c r="A114" s="133" t="s">
        <v>2599</v>
      </c>
      <c r="B114" s="133"/>
      <c r="C114" s="148" t="s">
        <v>1270</v>
      </c>
      <c r="D114" s="166" t="s">
        <v>133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136">
        <v>0</v>
      </c>
      <c r="K114" s="136">
        <v>0</v>
      </c>
      <c r="L114" s="136">
        <v>1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136">
        <v>0</v>
      </c>
      <c r="S114" s="136">
        <v>0</v>
      </c>
      <c r="T114" s="136">
        <v>0</v>
      </c>
      <c r="U114" s="136">
        <v>0</v>
      </c>
      <c r="V114" s="136">
        <v>0</v>
      </c>
      <c r="W114" s="136">
        <v>0</v>
      </c>
      <c r="X114" s="683"/>
      <c r="Y114" s="841">
        <v>1</v>
      </c>
      <c r="Z114" s="139"/>
    </row>
    <row r="115" spans="1:26" hidden="1" x14ac:dyDescent="0.2">
      <c r="A115" s="140" t="s">
        <v>2599</v>
      </c>
      <c r="B115" s="140"/>
      <c r="C115" s="141" t="s">
        <v>1271</v>
      </c>
      <c r="D115" s="142" t="s">
        <v>1272</v>
      </c>
      <c r="E115" s="136">
        <v>0</v>
      </c>
      <c r="F115" s="136">
        <v>0</v>
      </c>
      <c r="G115" s="136">
        <v>0</v>
      </c>
      <c r="H115" s="136">
        <v>1</v>
      </c>
      <c r="I115" s="136">
        <v>0</v>
      </c>
      <c r="J115" s="136">
        <v>0</v>
      </c>
      <c r="K115" s="136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136">
        <v>0</v>
      </c>
      <c r="S115" s="136">
        <v>0</v>
      </c>
      <c r="T115" s="136">
        <v>0</v>
      </c>
      <c r="U115" s="136">
        <v>0</v>
      </c>
      <c r="V115" s="136">
        <v>0</v>
      </c>
      <c r="W115" s="136">
        <v>0</v>
      </c>
      <c r="X115" s="136"/>
      <c r="Y115" s="835">
        <v>1</v>
      </c>
      <c r="Z115" s="139"/>
    </row>
    <row r="116" spans="1:26" hidden="1" x14ac:dyDescent="0.2">
      <c r="A116" s="140" t="s">
        <v>2599</v>
      </c>
      <c r="B116" s="140"/>
      <c r="C116" s="141" t="s">
        <v>1273</v>
      </c>
      <c r="D116" s="142" t="s">
        <v>1274</v>
      </c>
      <c r="E116" s="136">
        <v>0</v>
      </c>
      <c r="F116" s="136">
        <v>0</v>
      </c>
      <c r="G116" s="136">
        <v>0</v>
      </c>
      <c r="H116" s="136">
        <v>1</v>
      </c>
      <c r="I116" s="136">
        <v>0</v>
      </c>
      <c r="J116" s="136">
        <v>0</v>
      </c>
      <c r="K116" s="136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136">
        <v>0</v>
      </c>
      <c r="S116" s="136">
        <v>0</v>
      </c>
      <c r="T116" s="136">
        <v>0</v>
      </c>
      <c r="U116" s="136">
        <v>0</v>
      </c>
      <c r="V116" s="136">
        <v>0</v>
      </c>
      <c r="W116" s="136">
        <v>0</v>
      </c>
      <c r="X116" s="136"/>
      <c r="Y116" s="835">
        <v>1</v>
      </c>
      <c r="Z116" s="139"/>
    </row>
    <row r="117" spans="1:26" hidden="1" x14ac:dyDescent="0.2">
      <c r="A117" s="140" t="s">
        <v>2599</v>
      </c>
      <c r="B117" s="140"/>
      <c r="C117" s="164" t="s">
        <v>1726</v>
      </c>
      <c r="D117" s="165" t="s">
        <v>1727</v>
      </c>
      <c r="E117" s="136">
        <v>1</v>
      </c>
      <c r="F117" s="136">
        <v>0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0</v>
      </c>
      <c r="T117" s="136">
        <v>0</v>
      </c>
      <c r="U117" s="136">
        <v>0</v>
      </c>
      <c r="V117" s="136">
        <v>0</v>
      </c>
      <c r="W117" s="136">
        <v>0</v>
      </c>
      <c r="X117" s="136"/>
      <c r="Y117" s="835">
        <v>1</v>
      </c>
      <c r="Z117" s="139"/>
    </row>
    <row r="118" spans="1:26" hidden="1" x14ac:dyDescent="0.2">
      <c r="A118" s="140" t="s">
        <v>2599</v>
      </c>
      <c r="B118" s="140"/>
      <c r="C118" s="164" t="s">
        <v>1728</v>
      </c>
      <c r="D118" s="165" t="s">
        <v>1729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136">
        <v>0</v>
      </c>
      <c r="K118" s="136">
        <v>0</v>
      </c>
      <c r="L118" s="136">
        <v>1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136">
        <v>0</v>
      </c>
      <c r="S118" s="136">
        <v>0</v>
      </c>
      <c r="T118" s="136">
        <v>0</v>
      </c>
      <c r="U118" s="136">
        <v>0</v>
      </c>
      <c r="V118" s="136">
        <v>0</v>
      </c>
      <c r="W118" s="136">
        <v>0</v>
      </c>
      <c r="X118" s="136"/>
      <c r="Y118" s="835">
        <v>1</v>
      </c>
      <c r="Z118" s="139"/>
    </row>
    <row r="119" spans="1:26" hidden="1" x14ac:dyDescent="0.2">
      <c r="A119" s="133" t="s">
        <v>2599</v>
      </c>
      <c r="B119" s="133"/>
      <c r="C119" s="162" t="s">
        <v>1730</v>
      </c>
      <c r="D119" s="163" t="s">
        <v>1731</v>
      </c>
      <c r="E119" s="136">
        <v>0</v>
      </c>
      <c r="F119" s="136">
        <v>0</v>
      </c>
      <c r="G119" s="136">
        <v>0</v>
      </c>
      <c r="H119" s="136">
        <v>0</v>
      </c>
      <c r="I119" s="136">
        <v>0</v>
      </c>
      <c r="J119" s="136">
        <v>0</v>
      </c>
      <c r="K119" s="136">
        <v>0</v>
      </c>
      <c r="L119" s="136">
        <v>1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136">
        <v>0</v>
      </c>
      <c r="S119" s="136">
        <v>0</v>
      </c>
      <c r="T119" s="136">
        <v>0</v>
      </c>
      <c r="U119" s="136">
        <v>0</v>
      </c>
      <c r="V119" s="136">
        <v>0</v>
      </c>
      <c r="W119" s="136">
        <v>0</v>
      </c>
      <c r="X119" s="683"/>
      <c r="Y119" s="837">
        <v>1</v>
      </c>
      <c r="Z119" s="139"/>
    </row>
    <row r="120" spans="1:26" hidden="1" x14ac:dyDescent="0.2">
      <c r="A120" s="140" t="s">
        <v>2599</v>
      </c>
      <c r="B120" s="140"/>
      <c r="C120" s="143" t="s">
        <v>1732</v>
      </c>
      <c r="D120" s="144" t="s">
        <v>1733</v>
      </c>
      <c r="E120" s="136">
        <v>0</v>
      </c>
      <c r="F120" s="136">
        <v>0</v>
      </c>
      <c r="G120" s="136">
        <v>0</v>
      </c>
      <c r="H120" s="136">
        <v>0</v>
      </c>
      <c r="I120" s="136">
        <v>0</v>
      </c>
      <c r="J120" s="136">
        <v>0</v>
      </c>
      <c r="K120" s="136">
        <v>0</v>
      </c>
      <c r="L120" s="136">
        <v>1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136">
        <v>0</v>
      </c>
      <c r="S120" s="136">
        <v>0</v>
      </c>
      <c r="T120" s="136">
        <v>0</v>
      </c>
      <c r="U120" s="136">
        <v>0</v>
      </c>
      <c r="V120" s="136">
        <v>0</v>
      </c>
      <c r="W120" s="136">
        <v>0</v>
      </c>
      <c r="X120" s="136"/>
      <c r="Y120" s="836">
        <v>1</v>
      </c>
      <c r="Z120" s="139"/>
    </row>
    <row r="121" spans="1:26" hidden="1" x14ac:dyDescent="0.2">
      <c r="A121" s="140" t="s">
        <v>2599</v>
      </c>
      <c r="B121" s="140"/>
      <c r="C121" s="172" t="s">
        <v>1311</v>
      </c>
      <c r="D121" s="173" t="s">
        <v>1312</v>
      </c>
      <c r="E121" s="136">
        <v>0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6">
        <v>0</v>
      </c>
      <c r="M121" s="136">
        <v>0</v>
      </c>
      <c r="N121" s="136">
        <v>0</v>
      </c>
      <c r="O121" s="136">
        <v>0</v>
      </c>
      <c r="P121" s="136">
        <v>1</v>
      </c>
      <c r="Q121" s="136">
        <v>0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6">
        <v>0</v>
      </c>
      <c r="X121" s="136"/>
      <c r="Y121" s="835">
        <v>1</v>
      </c>
      <c r="Z121" s="139"/>
    </row>
    <row r="122" spans="1:26" hidden="1" x14ac:dyDescent="0.2">
      <c r="A122" s="741" t="s">
        <v>2599</v>
      </c>
      <c r="B122" s="741"/>
      <c r="C122" s="742" t="s">
        <v>1313</v>
      </c>
      <c r="D122" s="743" t="s">
        <v>138</v>
      </c>
      <c r="E122" s="744">
        <v>0</v>
      </c>
      <c r="F122" s="744">
        <v>0</v>
      </c>
      <c r="G122" s="744">
        <v>0</v>
      </c>
      <c r="H122" s="744">
        <v>1</v>
      </c>
      <c r="I122" s="744">
        <v>0</v>
      </c>
      <c r="J122" s="744">
        <v>0</v>
      </c>
      <c r="K122" s="744">
        <v>0</v>
      </c>
      <c r="L122" s="744">
        <v>0</v>
      </c>
      <c r="M122" s="744">
        <v>0</v>
      </c>
      <c r="N122" s="744">
        <v>0</v>
      </c>
      <c r="O122" s="744">
        <v>0</v>
      </c>
      <c r="P122" s="744">
        <v>0</v>
      </c>
      <c r="Q122" s="744">
        <v>0</v>
      </c>
      <c r="R122" s="744">
        <v>0</v>
      </c>
      <c r="S122" s="744">
        <v>0</v>
      </c>
      <c r="T122" s="744">
        <v>0</v>
      </c>
      <c r="U122" s="744">
        <v>0</v>
      </c>
      <c r="V122" s="744">
        <v>0</v>
      </c>
      <c r="W122" s="744">
        <v>0</v>
      </c>
      <c r="X122" s="744">
        <v>0</v>
      </c>
      <c r="Y122" s="836">
        <v>1</v>
      </c>
      <c r="Z122" s="139"/>
    </row>
    <row r="123" spans="1:26" hidden="1" x14ac:dyDescent="0.2">
      <c r="A123" s="741" t="s">
        <v>2599</v>
      </c>
      <c r="B123" s="757">
        <v>42247</v>
      </c>
      <c r="C123" s="742" t="s">
        <v>1314</v>
      </c>
      <c r="D123" s="743" t="s">
        <v>1315</v>
      </c>
      <c r="E123" s="744">
        <v>0</v>
      </c>
      <c r="F123" s="744">
        <v>0</v>
      </c>
      <c r="G123" s="744">
        <v>0</v>
      </c>
      <c r="H123" s="744">
        <v>1</v>
      </c>
      <c r="I123" s="744">
        <v>0</v>
      </c>
      <c r="J123" s="744">
        <v>0</v>
      </c>
      <c r="K123" s="744">
        <v>0</v>
      </c>
      <c r="L123" s="744">
        <v>0</v>
      </c>
      <c r="M123" s="744">
        <v>0</v>
      </c>
      <c r="N123" s="744">
        <v>0</v>
      </c>
      <c r="O123" s="744">
        <v>0</v>
      </c>
      <c r="P123" s="744">
        <v>0</v>
      </c>
      <c r="Q123" s="744">
        <v>0</v>
      </c>
      <c r="R123" s="744">
        <v>0</v>
      </c>
      <c r="S123" s="744">
        <v>0</v>
      </c>
      <c r="T123" s="744">
        <v>0</v>
      </c>
      <c r="U123" s="744">
        <v>0</v>
      </c>
      <c r="V123" s="744">
        <v>0</v>
      </c>
      <c r="W123" s="744">
        <v>0</v>
      </c>
      <c r="X123" s="744">
        <v>0</v>
      </c>
      <c r="Y123" s="836">
        <v>1</v>
      </c>
      <c r="Z123" s="139"/>
    </row>
    <row r="124" spans="1:26" hidden="1" x14ac:dyDescent="0.2">
      <c r="A124" s="140" t="s">
        <v>2599</v>
      </c>
      <c r="B124" s="174"/>
      <c r="C124" s="175" t="s">
        <v>1636</v>
      </c>
      <c r="D124" s="176" t="s">
        <v>141</v>
      </c>
      <c r="E124" s="136">
        <v>0</v>
      </c>
      <c r="F124" s="136">
        <v>0</v>
      </c>
      <c r="G124" s="136">
        <v>0</v>
      </c>
      <c r="H124" s="136">
        <v>0</v>
      </c>
      <c r="I124" s="136">
        <v>0</v>
      </c>
      <c r="J124" s="136">
        <v>0</v>
      </c>
      <c r="K124" s="136">
        <v>0</v>
      </c>
      <c r="L124" s="136">
        <v>0</v>
      </c>
      <c r="M124" s="136">
        <v>0</v>
      </c>
      <c r="N124" s="136">
        <v>0.8020557290016026</v>
      </c>
      <c r="O124" s="136">
        <v>0</v>
      </c>
      <c r="P124" s="136">
        <v>0</v>
      </c>
      <c r="Q124" s="136">
        <v>0</v>
      </c>
      <c r="R124" s="136">
        <v>0</v>
      </c>
      <c r="S124" s="136">
        <v>0.1979442709983974</v>
      </c>
      <c r="T124" s="136">
        <v>0</v>
      </c>
      <c r="U124" s="136">
        <v>0</v>
      </c>
      <c r="V124" s="136">
        <v>0</v>
      </c>
      <c r="W124" s="136">
        <v>0</v>
      </c>
      <c r="X124" s="136"/>
      <c r="Y124" s="835">
        <v>1</v>
      </c>
      <c r="Z124" s="139"/>
    </row>
    <row r="125" spans="1:26" hidden="1" x14ac:dyDescent="0.2">
      <c r="A125" s="140" t="s">
        <v>2599</v>
      </c>
      <c r="B125" s="174"/>
      <c r="C125" s="141" t="s">
        <v>1278</v>
      </c>
      <c r="D125" s="142" t="s">
        <v>1279</v>
      </c>
      <c r="E125" s="136">
        <v>0</v>
      </c>
      <c r="F125" s="136">
        <v>9.9418060806943969E-5</v>
      </c>
      <c r="G125" s="136">
        <v>1.4601975852319871E-2</v>
      </c>
      <c r="H125" s="136">
        <v>0</v>
      </c>
      <c r="I125" s="136">
        <v>0</v>
      </c>
      <c r="J125" s="136">
        <v>0</v>
      </c>
      <c r="K125" s="136">
        <v>0</v>
      </c>
      <c r="L125" s="136">
        <v>0</v>
      </c>
      <c r="M125" s="136">
        <v>0</v>
      </c>
      <c r="N125" s="136">
        <v>0.71226933453563879</v>
      </c>
      <c r="O125" s="136">
        <v>0</v>
      </c>
      <c r="P125" s="136">
        <v>0.25892388962176127</v>
      </c>
      <c r="Q125" s="136">
        <v>0</v>
      </c>
      <c r="R125" s="136">
        <v>0</v>
      </c>
      <c r="S125" s="136">
        <v>1.41053819294732E-2</v>
      </c>
      <c r="T125" s="136">
        <v>0</v>
      </c>
      <c r="U125" s="136">
        <v>0</v>
      </c>
      <c r="V125" s="136">
        <v>0</v>
      </c>
      <c r="W125" s="136">
        <v>0</v>
      </c>
      <c r="X125" s="136"/>
      <c r="Y125" s="835">
        <v>1.0000000000000002</v>
      </c>
      <c r="Z125" s="139"/>
    </row>
    <row r="126" spans="1:26" hidden="1" x14ac:dyDescent="0.2">
      <c r="A126" s="140" t="s">
        <v>2599</v>
      </c>
      <c r="B126" s="171">
        <v>42247</v>
      </c>
      <c r="C126" s="164" t="s">
        <v>1738</v>
      </c>
      <c r="D126" s="165" t="s">
        <v>1739</v>
      </c>
      <c r="E126" s="136">
        <v>0</v>
      </c>
      <c r="F126" s="136">
        <v>0</v>
      </c>
      <c r="G126" s="136">
        <v>0</v>
      </c>
      <c r="H126" s="136">
        <v>1</v>
      </c>
      <c r="I126" s="136">
        <v>0</v>
      </c>
      <c r="J126" s="136">
        <v>0</v>
      </c>
      <c r="K126" s="136">
        <v>0</v>
      </c>
      <c r="L126" s="136">
        <v>0</v>
      </c>
      <c r="M126" s="136">
        <v>0</v>
      </c>
      <c r="N126" s="136">
        <v>0</v>
      </c>
      <c r="O126" s="136">
        <v>0</v>
      </c>
      <c r="P126" s="136">
        <v>0</v>
      </c>
      <c r="Q126" s="136">
        <v>0</v>
      </c>
      <c r="R126" s="136">
        <v>0</v>
      </c>
      <c r="S126" s="136">
        <v>0</v>
      </c>
      <c r="T126" s="136">
        <v>0</v>
      </c>
      <c r="U126" s="136">
        <v>0</v>
      </c>
      <c r="V126" s="136">
        <v>0</v>
      </c>
      <c r="W126" s="136">
        <v>0</v>
      </c>
      <c r="X126" s="136"/>
      <c r="Y126" s="835">
        <v>1</v>
      </c>
      <c r="Z126" s="139"/>
    </row>
    <row r="127" spans="1:26" hidden="1" x14ac:dyDescent="0.2">
      <c r="A127" s="140" t="s">
        <v>2599</v>
      </c>
      <c r="B127" s="174"/>
      <c r="C127" s="141" t="s">
        <v>1280</v>
      </c>
      <c r="D127" s="142" t="s">
        <v>142</v>
      </c>
      <c r="E127" s="136">
        <v>0</v>
      </c>
      <c r="F127" s="136">
        <v>0</v>
      </c>
      <c r="G127" s="136">
        <v>1</v>
      </c>
      <c r="H127" s="136">
        <v>0</v>
      </c>
      <c r="I127" s="136">
        <v>0</v>
      </c>
      <c r="J127" s="136">
        <v>0</v>
      </c>
      <c r="K127" s="136">
        <v>0</v>
      </c>
      <c r="L127" s="136">
        <v>0</v>
      </c>
      <c r="M127" s="136">
        <v>0</v>
      </c>
      <c r="N127" s="136">
        <v>0</v>
      </c>
      <c r="O127" s="136">
        <v>0</v>
      </c>
      <c r="P127" s="136">
        <v>0</v>
      </c>
      <c r="Q127" s="136">
        <v>0</v>
      </c>
      <c r="R127" s="136">
        <v>0</v>
      </c>
      <c r="S127" s="136">
        <v>0</v>
      </c>
      <c r="T127" s="136">
        <v>0</v>
      </c>
      <c r="U127" s="136">
        <v>0</v>
      </c>
      <c r="V127" s="136">
        <v>0</v>
      </c>
      <c r="W127" s="136">
        <v>0</v>
      </c>
      <c r="X127" s="136"/>
      <c r="Y127" s="835">
        <v>1</v>
      </c>
      <c r="Z127" s="139"/>
    </row>
    <row r="128" spans="1:26" hidden="1" x14ac:dyDescent="0.2">
      <c r="A128" s="140" t="s">
        <v>2599</v>
      </c>
      <c r="B128" s="174"/>
      <c r="C128" s="164" t="s">
        <v>1744</v>
      </c>
      <c r="D128" s="165" t="s">
        <v>1745</v>
      </c>
      <c r="E128" s="136">
        <v>0</v>
      </c>
      <c r="F128" s="136">
        <v>0</v>
      </c>
      <c r="G128" s="136">
        <v>1.3699323461394214E-2</v>
      </c>
      <c r="H128" s="136">
        <v>0</v>
      </c>
      <c r="I128" s="136">
        <v>0</v>
      </c>
      <c r="J128" s="136">
        <v>0</v>
      </c>
      <c r="K128" s="136">
        <v>0</v>
      </c>
      <c r="L128" s="136">
        <v>0</v>
      </c>
      <c r="M128" s="136">
        <v>0</v>
      </c>
      <c r="N128" s="136">
        <v>0</v>
      </c>
      <c r="O128" s="136">
        <v>0</v>
      </c>
      <c r="P128" s="136">
        <v>0</v>
      </c>
      <c r="Q128" s="136">
        <v>0</v>
      </c>
      <c r="R128" s="136">
        <v>0</v>
      </c>
      <c r="S128" s="136">
        <v>0.98630067653860576</v>
      </c>
      <c r="T128" s="136">
        <v>0</v>
      </c>
      <c r="U128" s="136">
        <v>0</v>
      </c>
      <c r="V128" s="136">
        <v>0</v>
      </c>
      <c r="W128" s="136">
        <v>0</v>
      </c>
      <c r="X128" s="136"/>
      <c r="Y128" s="835">
        <v>1</v>
      </c>
      <c r="Z128" s="139"/>
    </row>
    <row r="129" spans="1:26" hidden="1" x14ac:dyDescent="0.2">
      <c r="A129" s="140" t="s">
        <v>2599</v>
      </c>
      <c r="B129" s="174"/>
      <c r="C129" s="143" t="s">
        <v>1748</v>
      </c>
      <c r="D129" s="144" t="s">
        <v>1749</v>
      </c>
      <c r="E129" s="136">
        <v>0.12370393316152721</v>
      </c>
      <c r="F129" s="136">
        <v>0</v>
      </c>
      <c r="G129" s="136">
        <v>0</v>
      </c>
      <c r="H129" s="136">
        <v>0.45457180412344006</v>
      </c>
      <c r="I129" s="136">
        <v>0</v>
      </c>
      <c r="J129" s="136">
        <v>0</v>
      </c>
      <c r="K129" s="136">
        <v>0</v>
      </c>
      <c r="L129" s="136">
        <v>0.42172426271503272</v>
      </c>
      <c r="M129" s="136">
        <v>0</v>
      </c>
      <c r="N129" s="136">
        <v>0</v>
      </c>
      <c r="O129" s="136">
        <v>0</v>
      </c>
      <c r="P129" s="136">
        <v>0</v>
      </c>
      <c r="Q129" s="136">
        <v>0</v>
      </c>
      <c r="R129" s="136">
        <v>0</v>
      </c>
      <c r="S129" s="136">
        <v>0</v>
      </c>
      <c r="T129" s="136">
        <v>0</v>
      </c>
      <c r="U129" s="136">
        <v>0</v>
      </c>
      <c r="V129" s="136">
        <v>0</v>
      </c>
      <c r="W129" s="136">
        <v>0</v>
      </c>
      <c r="X129" s="136"/>
      <c r="Y129" s="836">
        <v>1</v>
      </c>
      <c r="Z129" s="139"/>
    </row>
    <row r="130" spans="1:26" hidden="1" x14ac:dyDescent="0.2">
      <c r="A130" s="140" t="s">
        <v>2599</v>
      </c>
      <c r="B130" s="174"/>
      <c r="C130" s="143" t="s">
        <v>1750</v>
      </c>
      <c r="D130" s="144" t="s">
        <v>1751</v>
      </c>
      <c r="E130" s="136">
        <v>0.39453661023008407</v>
      </c>
      <c r="F130" s="136">
        <v>0</v>
      </c>
      <c r="G130" s="136">
        <v>0</v>
      </c>
      <c r="H130" s="136">
        <v>0</v>
      </c>
      <c r="I130" s="136">
        <v>0</v>
      </c>
      <c r="J130" s="136">
        <v>0</v>
      </c>
      <c r="K130" s="136">
        <v>0</v>
      </c>
      <c r="L130" s="136">
        <v>0.60546338976991598</v>
      </c>
      <c r="M130" s="136">
        <v>0</v>
      </c>
      <c r="N130" s="136">
        <v>0</v>
      </c>
      <c r="O130" s="136">
        <v>0</v>
      </c>
      <c r="P130" s="136">
        <v>0</v>
      </c>
      <c r="Q130" s="136">
        <v>0</v>
      </c>
      <c r="R130" s="136">
        <v>0</v>
      </c>
      <c r="S130" s="136">
        <v>0</v>
      </c>
      <c r="T130" s="136">
        <v>0</v>
      </c>
      <c r="U130" s="136">
        <v>0</v>
      </c>
      <c r="V130" s="136">
        <v>0</v>
      </c>
      <c r="W130" s="136">
        <v>0</v>
      </c>
      <c r="X130" s="136"/>
      <c r="Y130" s="836">
        <v>1</v>
      </c>
      <c r="Z130" s="139"/>
    </row>
    <row r="131" spans="1:26" hidden="1" x14ac:dyDescent="0.2">
      <c r="A131" s="140" t="s">
        <v>2599</v>
      </c>
      <c r="B131" s="174"/>
      <c r="C131" s="143" t="s">
        <v>1752</v>
      </c>
      <c r="D131" s="144" t="s">
        <v>1753</v>
      </c>
      <c r="E131" s="136">
        <v>0</v>
      </c>
      <c r="F131" s="136">
        <v>0</v>
      </c>
      <c r="G131" s="136">
        <v>0</v>
      </c>
      <c r="H131" s="136">
        <v>0</v>
      </c>
      <c r="I131" s="136">
        <v>0</v>
      </c>
      <c r="J131" s="136">
        <v>0</v>
      </c>
      <c r="K131" s="136">
        <v>0</v>
      </c>
      <c r="L131" s="379">
        <v>0</v>
      </c>
      <c r="M131" s="136">
        <v>0</v>
      </c>
      <c r="N131" s="136">
        <v>0</v>
      </c>
      <c r="O131" s="136">
        <v>0</v>
      </c>
      <c r="P131" s="136">
        <v>0</v>
      </c>
      <c r="Q131" s="136">
        <v>0</v>
      </c>
      <c r="R131" s="136">
        <v>0</v>
      </c>
      <c r="S131" s="136">
        <v>0</v>
      </c>
      <c r="T131" s="136">
        <v>0</v>
      </c>
      <c r="U131" s="136">
        <v>0</v>
      </c>
      <c r="V131" s="136">
        <v>0</v>
      </c>
      <c r="W131" s="379">
        <v>1</v>
      </c>
      <c r="X131" s="379"/>
      <c r="Y131" s="836">
        <v>1</v>
      </c>
      <c r="Z131" s="139"/>
    </row>
    <row r="132" spans="1:26" hidden="1" x14ac:dyDescent="0.2">
      <c r="A132" s="140" t="s">
        <v>2599</v>
      </c>
      <c r="B132" s="174"/>
      <c r="C132" s="143" t="s">
        <v>1754</v>
      </c>
      <c r="D132" s="144" t="s">
        <v>1755</v>
      </c>
      <c r="E132" s="136">
        <v>0</v>
      </c>
      <c r="F132" s="136">
        <v>0</v>
      </c>
      <c r="G132" s="136">
        <v>0</v>
      </c>
      <c r="H132" s="136">
        <v>0</v>
      </c>
      <c r="I132" s="136">
        <v>0</v>
      </c>
      <c r="J132" s="136">
        <v>0</v>
      </c>
      <c r="K132" s="136">
        <v>0</v>
      </c>
      <c r="L132" s="136">
        <v>1</v>
      </c>
      <c r="M132" s="136">
        <v>0</v>
      </c>
      <c r="N132" s="136">
        <v>0</v>
      </c>
      <c r="O132" s="136">
        <v>0</v>
      </c>
      <c r="P132" s="136">
        <v>0</v>
      </c>
      <c r="Q132" s="136">
        <v>0</v>
      </c>
      <c r="R132" s="136">
        <v>0</v>
      </c>
      <c r="S132" s="136">
        <v>0</v>
      </c>
      <c r="T132" s="136">
        <v>0</v>
      </c>
      <c r="U132" s="136">
        <v>0</v>
      </c>
      <c r="V132" s="136">
        <v>0</v>
      </c>
      <c r="W132" s="136">
        <v>0</v>
      </c>
      <c r="X132" s="136"/>
      <c r="Y132" s="836">
        <v>1</v>
      </c>
      <c r="Z132" s="139"/>
    </row>
    <row r="133" spans="1:26" hidden="1" x14ac:dyDescent="0.2">
      <c r="A133" s="746" t="s">
        <v>2599</v>
      </c>
      <c r="B133" s="758"/>
      <c r="C133" s="751" t="s">
        <v>1762</v>
      </c>
      <c r="D133" s="752" t="s">
        <v>1763</v>
      </c>
      <c r="E133" s="744">
        <v>0</v>
      </c>
      <c r="F133" s="744">
        <v>0</v>
      </c>
      <c r="G133" s="744">
        <v>0</v>
      </c>
      <c r="H133" s="744">
        <v>0</v>
      </c>
      <c r="I133" s="744">
        <v>0</v>
      </c>
      <c r="J133" s="744">
        <v>0</v>
      </c>
      <c r="K133" s="744">
        <v>0</v>
      </c>
      <c r="L133" s="744">
        <v>0</v>
      </c>
      <c r="M133" s="744">
        <v>0</v>
      </c>
      <c r="N133" s="744">
        <v>0</v>
      </c>
      <c r="O133" s="744">
        <v>0</v>
      </c>
      <c r="P133" s="744">
        <v>0</v>
      </c>
      <c r="Q133" s="744">
        <v>0</v>
      </c>
      <c r="R133" s="744">
        <v>0</v>
      </c>
      <c r="S133" s="744">
        <v>0</v>
      </c>
      <c r="T133" s="744">
        <v>0</v>
      </c>
      <c r="U133" s="744">
        <v>0</v>
      </c>
      <c r="V133" s="744">
        <v>0</v>
      </c>
      <c r="W133" s="744">
        <v>1</v>
      </c>
      <c r="X133" s="744">
        <v>0</v>
      </c>
      <c r="Y133" s="841">
        <v>1</v>
      </c>
      <c r="Z133" s="139"/>
    </row>
    <row r="134" spans="1:26" hidden="1" x14ac:dyDescent="0.2">
      <c r="A134" s="140" t="s">
        <v>2599</v>
      </c>
      <c r="B134" s="174"/>
      <c r="C134" s="143" t="s">
        <v>1637</v>
      </c>
      <c r="D134" s="144" t="s">
        <v>1638</v>
      </c>
      <c r="E134" s="136">
        <v>0</v>
      </c>
      <c r="F134" s="136">
        <v>0</v>
      </c>
      <c r="G134" s="136">
        <v>0</v>
      </c>
      <c r="H134" s="136">
        <v>0</v>
      </c>
      <c r="I134" s="136">
        <v>0</v>
      </c>
      <c r="J134" s="136">
        <v>0</v>
      </c>
      <c r="K134" s="136">
        <v>0</v>
      </c>
      <c r="L134" s="136">
        <v>1</v>
      </c>
      <c r="M134" s="136">
        <v>0</v>
      </c>
      <c r="N134" s="136">
        <v>0</v>
      </c>
      <c r="O134" s="136">
        <v>0</v>
      </c>
      <c r="P134" s="136">
        <v>0</v>
      </c>
      <c r="Q134" s="136">
        <v>0</v>
      </c>
      <c r="R134" s="136">
        <v>0</v>
      </c>
      <c r="S134" s="136">
        <v>0</v>
      </c>
      <c r="T134" s="136">
        <v>0</v>
      </c>
      <c r="U134" s="136">
        <v>0</v>
      </c>
      <c r="V134" s="136">
        <v>0</v>
      </c>
      <c r="W134" s="136">
        <v>0</v>
      </c>
      <c r="X134" s="136"/>
      <c r="Y134" s="836">
        <v>1</v>
      </c>
      <c r="Z134" s="139"/>
    </row>
    <row r="135" spans="1:26" hidden="1" x14ac:dyDescent="0.2">
      <c r="A135" s="140" t="s">
        <v>2599</v>
      </c>
      <c r="B135" s="174"/>
      <c r="C135" s="143" t="s">
        <v>1639</v>
      </c>
      <c r="D135" s="144" t="s">
        <v>167</v>
      </c>
      <c r="E135" s="136">
        <v>0.92678801219736062</v>
      </c>
      <c r="F135" s="136">
        <v>0</v>
      </c>
      <c r="G135" s="136">
        <v>0</v>
      </c>
      <c r="H135" s="136">
        <v>3.9026623756304384E-2</v>
      </c>
      <c r="I135" s="136">
        <v>0</v>
      </c>
      <c r="J135" s="136">
        <v>0</v>
      </c>
      <c r="K135" s="136">
        <v>0</v>
      </c>
      <c r="L135" s="136">
        <v>3.4185364046334966E-2</v>
      </c>
      <c r="M135" s="136">
        <v>0</v>
      </c>
      <c r="N135" s="136">
        <v>0</v>
      </c>
      <c r="O135" s="136">
        <v>0</v>
      </c>
      <c r="P135" s="136">
        <v>0</v>
      </c>
      <c r="Q135" s="136">
        <v>0</v>
      </c>
      <c r="R135" s="136">
        <v>0</v>
      </c>
      <c r="S135" s="136">
        <v>0</v>
      </c>
      <c r="T135" s="136">
        <v>0</v>
      </c>
      <c r="U135" s="136">
        <v>0</v>
      </c>
      <c r="V135" s="136">
        <v>0</v>
      </c>
      <c r="W135" s="136">
        <v>0</v>
      </c>
      <c r="X135" s="136"/>
      <c r="Y135" s="836">
        <v>1</v>
      </c>
      <c r="Z135" s="139"/>
    </row>
    <row r="136" spans="1:26" hidden="1" x14ac:dyDescent="0.2">
      <c r="A136" s="140" t="s">
        <v>2599</v>
      </c>
      <c r="B136" s="174"/>
      <c r="C136" s="175" t="s">
        <v>1640</v>
      </c>
      <c r="D136" s="176" t="s">
        <v>170</v>
      </c>
      <c r="E136" s="136">
        <v>0</v>
      </c>
      <c r="F136" s="136">
        <v>0</v>
      </c>
      <c r="G136" s="136">
        <v>0</v>
      </c>
      <c r="H136" s="136">
        <v>0</v>
      </c>
      <c r="I136" s="136">
        <v>0</v>
      </c>
      <c r="J136" s="136">
        <v>0</v>
      </c>
      <c r="K136" s="136">
        <v>0</v>
      </c>
      <c r="L136" s="136">
        <v>0</v>
      </c>
      <c r="M136" s="136">
        <v>0</v>
      </c>
      <c r="N136" s="136">
        <v>0.88919999348330359</v>
      </c>
      <c r="O136" s="136">
        <v>0</v>
      </c>
      <c r="P136" s="136">
        <v>0</v>
      </c>
      <c r="Q136" s="136">
        <v>0</v>
      </c>
      <c r="R136" s="136">
        <v>0</v>
      </c>
      <c r="S136" s="136">
        <v>0.11080000651669647</v>
      </c>
      <c r="T136" s="136">
        <v>0</v>
      </c>
      <c r="U136" s="136">
        <v>0</v>
      </c>
      <c r="V136" s="136">
        <v>0</v>
      </c>
      <c r="W136" s="136">
        <v>0</v>
      </c>
      <c r="X136" s="136"/>
      <c r="Y136" s="835">
        <v>1</v>
      </c>
      <c r="Z136" s="139"/>
    </row>
    <row r="137" spans="1:26" hidden="1" x14ac:dyDescent="0.2">
      <c r="A137" s="140" t="s">
        <v>2599</v>
      </c>
      <c r="B137" s="174"/>
      <c r="C137" s="175" t="s">
        <v>1641</v>
      </c>
      <c r="D137" s="176" t="s">
        <v>173</v>
      </c>
      <c r="E137" s="136">
        <v>0</v>
      </c>
      <c r="F137" s="136">
        <v>0</v>
      </c>
      <c r="G137" s="136">
        <v>0</v>
      </c>
      <c r="H137" s="136">
        <v>1</v>
      </c>
      <c r="I137" s="136">
        <v>0</v>
      </c>
      <c r="J137" s="136">
        <v>0</v>
      </c>
      <c r="K137" s="136">
        <v>0</v>
      </c>
      <c r="L137" s="136">
        <v>0</v>
      </c>
      <c r="M137" s="136">
        <v>0</v>
      </c>
      <c r="N137" s="136">
        <v>0</v>
      </c>
      <c r="O137" s="136">
        <v>0</v>
      </c>
      <c r="P137" s="136">
        <v>0</v>
      </c>
      <c r="Q137" s="136">
        <v>0</v>
      </c>
      <c r="R137" s="136">
        <v>0</v>
      </c>
      <c r="S137" s="136">
        <v>0</v>
      </c>
      <c r="T137" s="136">
        <v>0</v>
      </c>
      <c r="U137" s="136">
        <v>0</v>
      </c>
      <c r="V137" s="136">
        <v>0</v>
      </c>
      <c r="W137" s="136">
        <v>0</v>
      </c>
      <c r="X137" s="136"/>
      <c r="Y137" s="835">
        <v>1</v>
      </c>
      <c r="Z137" s="139"/>
    </row>
    <row r="138" spans="1:26" hidden="1" x14ac:dyDescent="0.2">
      <c r="A138" s="140" t="s">
        <v>2599</v>
      </c>
      <c r="B138" s="174"/>
      <c r="C138" s="175" t="s">
        <v>1642</v>
      </c>
      <c r="D138" s="176" t="s">
        <v>174</v>
      </c>
      <c r="E138" s="136">
        <v>0</v>
      </c>
      <c r="F138" s="136">
        <v>0</v>
      </c>
      <c r="G138" s="136">
        <v>0</v>
      </c>
      <c r="H138" s="136">
        <v>1</v>
      </c>
      <c r="I138" s="136">
        <v>0</v>
      </c>
      <c r="J138" s="136">
        <v>0</v>
      </c>
      <c r="K138" s="136">
        <v>0</v>
      </c>
      <c r="L138" s="136">
        <v>0</v>
      </c>
      <c r="M138" s="136">
        <v>0</v>
      </c>
      <c r="N138" s="136">
        <v>0</v>
      </c>
      <c r="O138" s="136">
        <v>0</v>
      </c>
      <c r="P138" s="136">
        <v>0</v>
      </c>
      <c r="Q138" s="136">
        <v>0</v>
      </c>
      <c r="R138" s="136">
        <v>0</v>
      </c>
      <c r="S138" s="136">
        <v>0</v>
      </c>
      <c r="T138" s="136">
        <v>0</v>
      </c>
      <c r="U138" s="136">
        <v>0</v>
      </c>
      <c r="V138" s="136">
        <v>0</v>
      </c>
      <c r="W138" s="136">
        <v>0</v>
      </c>
      <c r="X138" s="136"/>
      <c r="Y138" s="835">
        <v>1</v>
      </c>
      <c r="Z138" s="139"/>
    </row>
    <row r="139" spans="1:26" hidden="1" x14ac:dyDescent="0.2">
      <c r="A139" s="133" t="s">
        <v>2599</v>
      </c>
      <c r="B139" s="177"/>
      <c r="C139" s="159" t="s">
        <v>1618</v>
      </c>
      <c r="D139" s="160" t="s">
        <v>1619</v>
      </c>
      <c r="E139" s="136">
        <v>0</v>
      </c>
      <c r="F139" s="136">
        <v>0</v>
      </c>
      <c r="G139" s="136">
        <v>0</v>
      </c>
      <c r="H139" s="136">
        <v>0</v>
      </c>
      <c r="I139" s="136">
        <v>0</v>
      </c>
      <c r="J139" s="136">
        <v>0</v>
      </c>
      <c r="K139" s="136">
        <v>0</v>
      </c>
      <c r="L139" s="136">
        <v>0</v>
      </c>
      <c r="M139" s="136">
        <v>0</v>
      </c>
      <c r="N139" s="136">
        <v>1</v>
      </c>
      <c r="O139" s="136">
        <v>0</v>
      </c>
      <c r="P139" s="136">
        <v>0</v>
      </c>
      <c r="Q139" s="136">
        <v>0</v>
      </c>
      <c r="R139" s="136">
        <v>0</v>
      </c>
      <c r="S139" s="136">
        <v>0</v>
      </c>
      <c r="T139" s="136">
        <v>0</v>
      </c>
      <c r="U139" s="136">
        <v>0</v>
      </c>
      <c r="V139" s="136">
        <v>0</v>
      </c>
      <c r="W139" s="136">
        <v>0</v>
      </c>
      <c r="X139" s="683"/>
      <c r="Y139" s="840">
        <v>1</v>
      </c>
      <c r="Z139" s="139"/>
    </row>
    <row r="140" spans="1:26" hidden="1" x14ac:dyDescent="0.2">
      <c r="A140" s="133" t="s">
        <v>2599</v>
      </c>
      <c r="B140" s="177"/>
      <c r="C140" s="178" t="s">
        <v>1620</v>
      </c>
      <c r="D140" s="179" t="s">
        <v>1621</v>
      </c>
      <c r="E140" s="136">
        <v>0</v>
      </c>
      <c r="F140" s="136">
        <v>0</v>
      </c>
      <c r="G140" s="136">
        <v>0</v>
      </c>
      <c r="H140" s="136">
        <v>0</v>
      </c>
      <c r="I140" s="136">
        <v>0</v>
      </c>
      <c r="J140" s="136">
        <v>0</v>
      </c>
      <c r="K140" s="136">
        <v>0</v>
      </c>
      <c r="L140" s="136">
        <v>0</v>
      </c>
      <c r="M140" s="136">
        <v>0</v>
      </c>
      <c r="N140" s="136">
        <v>1</v>
      </c>
      <c r="O140" s="136">
        <v>0</v>
      </c>
      <c r="P140" s="136">
        <v>0</v>
      </c>
      <c r="Q140" s="136">
        <v>0</v>
      </c>
      <c r="R140" s="136">
        <v>0</v>
      </c>
      <c r="S140" s="136">
        <v>0</v>
      </c>
      <c r="T140" s="136">
        <v>0</v>
      </c>
      <c r="U140" s="136">
        <v>0</v>
      </c>
      <c r="V140" s="136">
        <v>0</v>
      </c>
      <c r="W140" s="136">
        <v>0</v>
      </c>
      <c r="X140" s="136"/>
      <c r="Y140" s="839">
        <v>1</v>
      </c>
      <c r="Z140" s="139"/>
    </row>
    <row r="141" spans="1:26" hidden="1" x14ac:dyDescent="0.2">
      <c r="A141" s="140" t="s">
        <v>2599</v>
      </c>
      <c r="B141" s="174"/>
      <c r="C141" s="143" t="s">
        <v>1616</v>
      </c>
      <c r="D141" s="144" t="s">
        <v>1617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6">
        <v>0</v>
      </c>
      <c r="M141" s="136">
        <v>0</v>
      </c>
      <c r="N141" s="136">
        <v>1</v>
      </c>
      <c r="O141" s="136">
        <v>0</v>
      </c>
      <c r="P141" s="136">
        <v>0</v>
      </c>
      <c r="Q141" s="136">
        <v>0</v>
      </c>
      <c r="R141" s="136">
        <v>0</v>
      </c>
      <c r="S141" s="136">
        <v>0</v>
      </c>
      <c r="T141" s="136">
        <v>0</v>
      </c>
      <c r="U141" s="136">
        <v>0</v>
      </c>
      <c r="V141" s="136">
        <v>0</v>
      </c>
      <c r="W141" s="136">
        <v>0</v>
      </c>
      <c r="X141" s="136"/>
      <c r="Y141" s="836">
        <v>1</v>
      </c>
      <c r="Z141" s="139"/>
    </row>
    <row r="142" spans="1:26" hidden="1" x14ac:dyDescent="0.2">
      <c r="A142" s="140" t="s">
        <v>2599</v>
      </c>
      <c r="B142" s="174"/>
      <c r="C142" s="145" t="s">
        <v>1614</v>
      </c>
      <c r="D142" s="176" t="s">
        <v>1615</v>
      </c>
      <c r="E142" s="136">
        <v>0</v>
      </c>
      <c r="F142" s="136">
        <v>0</v>
      </c>
      <c r="G142" s="136">
        <v>0</v>
      </c>
      <c r="H142" s="136">
        <v>1</v>
      </c>
      <c r="I142" s="136">
        <v>0</v>
      </c>
      <c r="J142" s="136">
        <v>0</v>
      </c>
      <c r="K142" s="136">
        <v>0</v>
      </c>
      <c r="L142" s="136">
        <v>0</v>
      </c>
      <c r="M142" s="136">
        <v>0</v>
      </c>
      <c r="N142" s="136">
        <v>0</v>
      </c>
      <c r="O142" s="136">
        <v>0</v>
      </c>
      <c r="P142" s="136">
        <v>0</v>
      </c>
      <c r="Q142" s="136">
        <v>0</v>
      </c>
      <c r="R142" s="136">
        <v>0</v>
      </c>
      <c r="S142" s="136">
        <v>0</v>
      </c>
      <c r="T142" s="136">
        <v>0</v>
      </c>
      <c r="U142" s="136">
        <v>0</v>
      </c>
      <c r="V142" s="136">
        <v>0</v>
      </c>
      <c r="W142" s="136">
        <v>0</v>
      </c>
      <c r="X142" s="136"/>
      <c r="Y142" s="835">
        <v>1</v>
      </c>
      <c r="Z142" s="139"/>
    </row>
    <row r="143" spans="1:26" hidden="1" x14ac:dyDescent="0.2">
      <c r="A143" s="140" t="s">
        <v>2599</v>
      </c>
      <c r="B143" s="174"/>
      <c r="C143" s="145" t="s">
        <v>1622</v>
      </c>
      <c r="D143" s="176" t="s">
        <v>1623</v>
      </c>
      <c r="E143" s="136">
        <v>0</v>
      </c>
      <c r="F143" s="136">
        <v>0</v>
      </c>
      <c r="G143" s="136">
        <v>0</v>
      </c>
      <c r="H143" s="136">
        <v>0</v>
      </c>
      <c r="I143" s="136">
        <v>0</v>
      </c>
      <c r="J143" s="136">
        <v>0</v>
      </c>
      <c r="K143" s="136">
        <v>0</v>
      </c>
      <c r="L143" s="136">
        <v>1</v>
      </c>
      <c r="M143" s="136">
        <v>0</v>
      </c>
      <c r="N143" s="136">
        <v>0</v>
      </c>
      <c r="O143" s="136">
        <v>0</v>
      </c>
      <c r="P143" s="136">
        <v>0</v>
      </c>
      <c r="Q143" s="136">
        <v>0</v>
      </c>
      <c r="R143" s="136">
        <v>0</v>
      </c>
      <c r="S143" s="136">
        <v>0</v>
      </c>
      <c r="T143" s="136">
        <v>0</v>
      </c>
      <c r="U143" s="136">
        <v>0</v>
      </c>
      <c r="V143" s="136">
        <v>0</v>
      </c>
      <c r="W143" s="136">
        <v>0</v>
      </c>
      <c r="X143" s="136"/>
      <c r="Y143" s="835">
        <v>1</v>
      </c>
      <c r="Z143" s="139"/>
    </row>
    <row r="144" spans="1:26" hidden="1" x14ac:dyDescent="0.2">
      <c r="A144" s="140" t="s">
        <v>2599</v>
      </c>
      <c r="B144" s="174"/>
      <c r="C144" s="180" t="s">
        <v>1624</v>
      </c>
      <c r="D144" s="181" t="s">
        <v>1625</v>
      </c>
      <c r="E144" s="136">
        <v>0</v>
      </c>
      <c r="F144" s="136">
        <v>0</v>
      </c>
      <c r="G144" s="136">
        <v>0</v>
      </c>
      <c r="H144" s="136">
        <v>0</v>
      </c>
      <c r="I144" s="136">
        <v>0</v>
      </c>
      <c r="J144" s="136">
        <v>0</v>
      </c>
      <c r="K144" s="136">
        <v>0</v>
      </c>
      <c r="L144" s="136">
        <v>0</v>
      </c>
      <c r="M144" s="136">
        <v>0</v>
      </c>
      <c r="N144" s="136">
        <v>0.93416923832074183</v>
      </c>
      <c r="O144" s="136">
        <v>0</v>
      </c>
      <c r="P144" s="136">
        <v>3.9926470866991783E-2</v>
      </c>
      <c r="Q144" s="136">
        <v>0</v>
      </c>
      <c r="R144" s="136">
        <v>0</v>
      </c>
      <c r="S144" s="136">
        <v>0</v>
      </c>
      <c r="T144" s="136">
        <v>2.5904290812266445E-2</v>
      </c>
      <c r="U144" s="136">
        <v>0</v>
      </c>
      <c r="V144" s="136">
        <v>0</v>
      </c>
      <c r="W144" s="136">
        <v>0</v>
      </c>
      <c r="X144" s="136"/>
      <c r="Y144" s="835">
        <v>1</v>
      </c>
      <c r="Z144" s="139"/>
    </row>
    <row r="145" spans="1:26" hidden="1" x14ac:dyDescent="0.2">
      <c r="A145" s="140" t="s">
        <v>2599</v>
      </c>
      <c r="B145" s="174"/>
      <c r="C145" s="143" t="s">
        <v>1766</v>
      </c>
      <c r="D145" s="144" t="s">
        <v>1767</v>
      </c>
      <c r="E145" s="136">
        <v>0</v>
      </c>
      <c r="F145" s="136">
        <v>0</v>
      </c>
      <c r="G145" s="136">
        <v>0</v>
      </c>
      <c r="H145" s="136">
        <v>1</v>
      </c>
      <c r="I145" s="136">
        <v>0</v>
      </c>
      <c r="J145" s="136">
        <v>0</v>
      </c>
      <c r="K145" s="136">
        <v>0</v>
      </c>
      <c r="L145" s="136">
        <v>0</v>
      </c>
      <c r="M145" s="136">
        <v>0</v>
      </c>
      <c r="N145" s="136">
        <v>0</v>
      </c>
      <c r="O145" s="136">
        <v>0</v>
      </c>
      <c r="P145" s="136">
        <v>0</v>
      </c>
      <c r="Q145" s="136">
        <v>0</v>
      </c>
      <c r="R145" s="136">
        <v>0</v>
      </c>
      <c r="S145" s="136">
        <v>0</v>
      </c>
      <c r="T145" s="136">
        <v>0</v>
      </c>
      <c r="U145" s="136">
        <v>0</v>
      </c>
      <c r="V145" s="136">
        <v>0</v>
      </c>
      <c r="W145" s="136">
        <v>0</v>
      </c>
      <c r="X145" s="136"/>
      <c r="Y145" s="836">
        <v>1</v>
      </c>
      <c r="Z145" s="139"/>
    </row>
    <row r="146" spans="1:26" hidden="1" x14ac:dyDescent="0.2">
      <c r="A146" s="140" t="s">
        <v>2599</v>
      </c>
      <c r="B146" s="174"/>
      <c r="C146" s="143" t="s">
        <v>1768</v>
      </c>
      <c r="D146" s="144" t="s">
        <v>1769</v>
      </c>
      <c r="E146" s="136">
        <v>0</v>
      </c>
      <c r="F146" s="136">
        <v>0</v>
      </c>
      <c r="G146" s="136">
        <v>0</v>
      </c>
      <c r="H146" s="136">
        <v>1</v>
      </c>
      <c r="I146" s="136">
        <v>0</v>
      </c>
      <c r="J146" s="136">
        <v>0</v>
      </c>
      <c r="K146" s="136">
        <v>0</v>
      </c>
      <c r="L146" s="136">
        <v>0</v>
      </c>
      <c r="M146" s="136">
        <v>0</v>
      </c>
      <c r="N146" s="136">
        <v>0</v>
      </c>
      <c r="O146" s="136">
        <v>0</v>
      </c>
      <c r="P146" s="136">
        <v>0</v>
      </c>
      <c r="Q146" s="136">
        <v>0</v>
      </c>
      <c r="R146" s="136">
        <v>0</v>
      </c>
      <c r="S146" s="136">
        <v>0</v>
      </c>
      <c r="T146" s="136">
        <v>0</v>
      </c>
      <c r="U146" s="136">
        <v>0</v>
      </c>
      <c r="V146" s="136">
        <v>0</v>
      </c>
      <c r="W146" s="136">
        <v>0</v>
      </c>
      <c r="X146" s="136"/>
      <c r="Y146" s="836">
        <v>1</v>
      </c>
      <c r="Z146" s="139"/>
    </row>
    <row r="147" spans="1:26" hidden="1" x14ac:dyDescent="0.2">
      <c r="A147" s="140" t="s">
        <v>2599</v>
      </c>
      <c r="B147" s="174"/>
      <c r="C147" s="164" t="s">
        <v>1770</v>
      </c>
      <c r="D147" s="165" t="s">
        <v>1771</v>
      </c>
      <c r="E147" s="136">
        <v>0</v>
      </c>
      <c r="F147" s="136">
        <v>0</v>
      </c>
      <c r="G147" s="136">
        <v>0</v>
      </c>
      <c r="H147" s="136">
        <v>1</v>
      </c>
      <c r="I147" s="136">
        <v>0</v>
      </c>
      <c r="J147" s="136">
        <v>0</v>
      </c>
      <c r="K147" s="136">
        <v>0</v>
      </c>
      <c r="L147" s="136">
        <v>0</v>
      </c>
      <c r="M147" s="136">
        <v>0</v>
      </c>
      <c r="N147" s="136">
        <v>0</v>
      </c>
      <c r="O147" s="136">
        <v>0</v>
      </c>
      <c r="P147" s="136">
        <v>0</v>
      </c>
      <c r="Q147" s="136">
        <v>0</v>
      </c>
      <c r="R147" s="136">
        <v>0</v>
      </c>
      <c r="S147" s="136">
        <v>0</v>
      </c>
      <c r="T147" s="136">
        <v>0</v>
      </c>
      <c r="U147" s="136">
        <v>0</v>
      </c>
      <c r="V147" s="136">
        <v>0</v>
      </c>
      <c r="W147" s="136">
        <v>0</v>
      </c>
      <c r="X147" s="136"/>
      <c r="Y147" s="835">
        <v>1</v>
      </c>
      <c r="Z147" s="139"/>
    </row>
    <row r="148" spans="1:26" hidden="1" x14ac:dyDescent="0.2">
      <c r="A148" s="133" t="s">
        <v>2599</v>
      </c>
      <c r="B148" s="177"/>
      <c r="C148" s="162" t="s">
        <v>1772</v>
      </c>
      <c r="D148" s="163" t="s">
        <v>1773</v>
      </c>
      <c r="E148" s="136">
        <v>0</v>
      </c>
      <c r="F148" s="136">
        <v>0</v>
      </c>
      <c r="G148" s="136">
        <v>0</v>
      </c>
      <c r="H148" s="136">
        <v>1</v>
      </c>
      <c r="I148" s="136">
        <v>0</v>
      </c>
      <c r="J148" s="136">
        <v>0</v>
      </c>
      <c r="K148" s="136">
        <v>0</v>
      </c>
      <c r="L148" s="136">
        <v>0</v>
      </c>
      <c r="M148" s="136">
        <v>0</v>
      </c>
      <c r="N148" s="136">
        <v>0</v>
      </c>
      <c r="O148" s="136">
        <v>0</v>
      </c>
      <c r="P148" s="136">
        <v>0</v>
      </c>
      <c r="Q148" s="136">
        <v>0</v>
      </c>
      <c r="R148" s="136">
        <v>0</v>
      </c>
      <c r="S148" s="136">
        <v>0</v>
      </c>
      <c r="T148" s="136">
        <v>0</v>
      </c>
      <c r="U148" s="136">
        <v>0</v>
      </c>
      <c r="V148" s="136">
        <v>0</v>
      </c>
      <c r="W148" s="136">
        <v>0</v>
      </c>
      <c r="X148" s="683"/>
      <c r="Y148" s="837">
        <v>1</v>
      </c>
      <c r="Z148" s="139"/>
    </row>
    <row r="149" spans="1:26" hidden="1" x14ac:dyDescent="0.2">
      <c r="A149" s="140" t="s">
        <v>2599</v>
      </c>
      <c r="B149" s="174"/>
      <c r="C149" s="164" t="s">
        <v>1774</v>
      </c>
      <c r="D149" s="165" t="s">
        <v>1775</v>
      </c>
      <c r="E149" s="136">
        <v>0.36384866567052809</v>
      </c>
      <c r="F149" s="136">
        <v>0</v>
      </c>
      <c r="G149" s="136">
        <v>0</v>
      </c>
      <c r="H149" s="136">
        <v>0</v>
      </c>
      <c r="I149" s="136">
        <v>0</v>
      </c>
      <c r="J149" s="136">
        <v>0</v>
      </c>
      <c r="K149" s="136">
        <v>0</v>
      </c>
      <c r="L149" s="136">
        <v>0.63615133432947202</v>
      </c>
      <c r="M149" s="136">
        <v>0</v>
      </c>
      <c r="N149" s="136">
        <v>0</v>
      </c>
      <c r="O149" s="136">
        <v>0</v>
      </c>
      <c r="P149" s="136">
        <v>0</v>
      </c>
      <c r="Q149" s="136">
        <v>0</v>
      </c>
      <c r="R149" s="136">
        <v>0</v>
      </c>
      <c r="S149" s="136">
        <v>0</v>
      </c>
      <c r="T149" s="136">
        <v>0</v>
      </c>
      <c r="U149" s="136">
        <v>0</v>
      </c>
      <c r="V149" s="136">
        <v>0</v>
      </c>
      <c r="W149" s="136">
        <v>0</v>
      </c>
      <c r="X149" s="136"/>
      <c r="Y149" s="835">
        <v>1</v>
      </c>
      <c r="Z149" s="139"/>
    </row>
    <row r="150" spans="1:26" hidden="1" x14ac:dyDescent="0.2">
      <c r="A150" s="140" t="s">
        <v>2599</v>
      </c>
      <c r="B150" s="174"/>
      <c r="C150" s="164" t="s">
        <v>1776</v>
      </c>
      <c r="D150" s="165" t="s">
        <v>1777</v>
      </c>
      <c r="E150" s="136">
        <v>0.85655274362064349</v>
      </c>
      <c r="F150" s="136">
        <v>0</v>
      </c>
      <c r="G150" s="136">
        <v>0</v>
      </c>
      <c r="H150" s="136">
        <v>3.1681537379930486E-2</v>
      </c>
      <c r="I150" s="136">
        <v>0</v>
      </c>
      <c r="J150" s="136">
        <v>0</v>
      </c>
      <c r="K150" s="136">
        <v>0</v>
      </c>
      <c r="L150" s="136">
        <v>0.11176571899942594</v>
      </c>
      <c r="M150" s="136">
        <v>0</v>
      </c>
      <c r="N150" s="136">
        <v>0</v>
      </c>
      <c r="O150" s="136">
        <v>0</v>
      </c>
      <c r="P150" s="136">
        <v>0</v>
      </c>
      <c r="Q150" s="136">
        <v>0</v>
      </c>
      <c r="R150" s="136">
        <v>0</v>
      </c>
      <c r="S150" s="136">
        <v>0</v>
      </c>
      <c r="T150" s="136">
        <v>0</v>
      </c>
      <c r="U150" s="136">
        <v>0</v>
      </c>
      <c r="V150" s="136">
        <v>0</v>
      </c>
      <c r="W150" s="136">
        <v>0</v>
      </c>
      <c r="X150" s="136"/>
      <c r="Y150" s="835">
        <v>1</v>
      </c>
      <c r="Z150" s="139"/>
    </row>
    <row r="151" spans="1:26" hidden="1" x14ac:dyDescent="0.2">
      <c r="A151" s="140" t="s">
        <v>2599</v>
      </c>
      <c r="B151" s="174"/>
      <c r="C151" s="164" t="s">
        <v>1778</v>
      </c>
      <c r="D151" s="165" t="s">
        <v>1779</v>
      </c>
      <c r="E151" s="136">
        <v>0</v>
      </c>
      <c r="F151" s="136">
        <v>0</v>
      </c>
      <c r="G151" s="136">
        <v>0</v>
      </c>
      <c r="H151" s="136">
        <v>0</v>
      </c>
      <c r="I151" s="136">
        <v>0</v>
      </c>
      <c r="J151" s="136">
        <v>0</v>
      </c>
      <c r="K151" s="136">
        <v>0</v>
      </c>
      <c r="L151" s="136">
        <v>0</v>
      </c>
      <c r="M151" s="136">
        <v>0</v>
      </c>
      <c r="N151" s="136">
        <v>1</v>
      </c>
      <c r="O151" s="136">
        <v>0</v>
      </c>
      <c r="P151" s="136">
        <v>0</v>
      </c>
      <c r="Q151" s="136">
        <v>0</v>
      </c>
      <c r="R151" s="136">
        <v>0</v>
      </c>
      <c r="S151" s="136">
        <v>0</v>
      </c>
      <c r="T151" s="136">
        <v>0</v>
      </c>
      <c r="U151" s="136">
        <v>0</v>
      </c>
      <c r="V151" s="136">
        <v>0</v>
      </c>
      <c r="W151" s="136">
        <v>0</v>
      </c>
      <c r="X151" s="136"/>
      <c r="Y151" s="835">
        <v>1</v>
      </c>
      <c r="Z151" s="139"/>
    </row>
    <row r="152" spans="1:26" hidden="1" x14ac:dyDescent="0.2">
      <c r="A152" s="746" t="s">
        <v>2599</v>
      </c>
      <c r="B152" s="758"/>
      <c r="C152" s="751" t="s">
        <v>1780</v>
      </c>
      <c r="D152" s="752" t="s">
        <v>1781</v>
      </c>
      <c r="E152" s="744">
        <v>0</v>
      </c>
      <c r="F152" s="744">
        <v>0.1100869627713095</v>
      </c>
      <c r="G152" s="744">
        <v>8.7986919649274117E-2</v>
      </c>
      <c r="H152" s="744">
        <v>0</v>
      </c>
      <c r="I152" s="744">
        <v>0</v>
      </c>
      <c r="J152" s="744">
        <v>0</v>
      </c>
      <c r="K152" s="744">
        <v>0</v>
      </c>
      <c r="L152" s="744">
        <v>0</v>
      </c>
      <c r="M152" s="744">
        <v>0</v>
      </c>
      <c r="N152" s="744">
        <v>0.27765200517464428</v>
      </c>
      <c r="O152" s="744">
        <v>0</v>
      </c>
      <c r="P152" s="744">
        <v>0.35649345982463709</v>
      </c>
      <c r="Q152" s="744">
        <v>0</v>
      </c>
      <c r="R152" s="744">
        <v>0</v>
      </c>
      <c r="S152" s="744">
        <v>0.15047793589190744</v>
      </c>
      <c r="T152" s="744">
        <v>1.7302716688227686E-2</v>
      </c>
      <c r="U152" s="744">
        <v>0</v>
      </c>
      <c r="V152" s="744">
        <v>0</v>
      </c>
      <c r="W152" s="744">
        <v>0</v>
      </c>
      <c r="X152" s="744">
        <v>0</v>
      </c>
      <c r="Y152" s="841">
        <v>0.99999999999999978</v>
      </c>
      <c r="Z152" s="139"/>
    </row>
    <row r="153" spans="1:26" hidden="1" x14ac:dyDescent="0.2">
      <c r="A153" s="741" t="s">
        <v>2599</v>
      </c>
      <c r="B153" s="759"/>
      <c r="C153" s="742" t="s">
        <v>1782</v>
      </c>
      <c r="D153" s="743" t="s">
        <v>1783</v>
      </c>
      <c r="E153" s="744">
        <v>0</v>
      </c>
      <c r="F153" s="744">
        <v>0</v>
      </c>
      <c r="G153" s="744">
        <v>0.10776253580827726</v>
      </c>
      <c r="H153" s="744">
        <v>0</v>
      </c>
      <c r="I153" s="744">
        <v>0</v>
      </c>
      <c r="J153" s="744">
        <v>0</v>
      </c>
      <c r="K153" s="744">
        <v>0</v>
      </c>
      <c r="L153" s="744">
        <v>0</v>
      </c>
      <c r="M153" s="744">
        <v>0</v>
      </c>
      <c r="N153" s="744">
        <v>0.39145725132170395</v>
      </c>
      <c r="O153" s="744">
        <v>0</v>
      </c>
      <c r="P153" s="744">
        <v>0.30943009525584003</v>
      </c>
      <c r="Q153" s="744">
        <v>0</v>
      </c>
      <c r="R153" s="744">
        <v>0</v>
      </c>
      <c r="S153" s="744">
        <v>0.19135011761417889</v>
      </c>
      <c r="T153" s="744">
        <v>0</v>
      </c>
      <c r="U153" s="744">
        <v>0</v>
      </c>
      <c r="V153" s="744">
        <v>0</v>
      </c>
      <c r="W153" s="744">
        <v>0</v>
      </c>
      <c r="X153" s="744">
        <v>0</v>
      </c>
      <c r="Y153" s="836">
        <v>1.0000000000000002</v>
      </c>
      <c r="Z153" s="139"/>
    </row>
    <row r="154" spans="1:26" hidden="1" x14ac:dyDescent="0.2">
      <c r="A154" s="133" t="s">
        <v>2599</v>
      </c>
      <c r="B154" s="182">
        <v>42247</v>
      </c>
      <c r="C154" s="151" t="s">
        <v>1282</v>
      </c>
      <c r="D154" s="152" t="s">
        <v>1283</v>
      </c>
      <c r="E154" s="136">
        <v>0</v>
      </c>
      <c r="F154" s="136">
        <v>0</v>
      </c>
      <c r="G154" s="136">
        <v>0</v>
      </c>
      <c r="H154" s="136">
        <v>0</v>
      </c>
      <c r="I154" s="136">
        <v>0</v>
      </c>
      <c r="J154" s="136">
        <v>0</v>
      </c>
      <c r="K154" s="136">
        <v>0</v>
      </c>
      <c r="L154" s="136">
        <v>0</v>
      </c>
      <c r="M154" s="136">
        <v>0</v>
      </c>
      <c r="N154" s="136">
        <v>1</v>
      </c>
      <c r="O154" s="136">
        <v>0</v>
      </c>
      <c r="P154" s="136">
        <v>0</v>
      </c>
      <c r="Q154" s="136">
        <v>0</v>
      </c>
      <c r="R154" s="136">
        <v>0</v>
      </c>
      <c r="S154" s="136">
        <v>0</v>
      </c>
      <c r="T154" s="136">
        <v>0</v>
      </c>
      <c r="U154" s="136">
        <v>0</v>
      </c>
      <c r="V154" s="136">
        <v>0</v>
      </c>
      <c r="W154" s="136">
        <v>0</v>
      </c>
      <c r="X154" s="683"/>
      <c r="Y154" s="838">
        <v>1</v>
      </c>
      <c r="Z154" s="139"/>
    </row>
    <row r="155" spans="1:26" hidden="1" x14ac:dyDescent="0.2">
      <c r="A155" s="746" t="s">
        <v>2599</v>
      </c>
      <c r="B155" s="760">
        <v>42247</v>
      </c>
      <c r="C155" s="742" t="s">
        <v>1788</v>
      </c>
      <c r="D155" s="743" t="s">
        <v>1789</v>
      </c>
      <c r="E155" s="744">
        <v>0</v>
      </c>
      <c r="F155" s="744">
        <v>0</v>
      </c>
      <c r="G155" s="744">
        <v>0</v>
      </c>
      <c r="H155" s="744">
        <v>1</v>
      </c>
      <c r="I155" s="744">
        <v>0</v>
      </c>
      <c r="J155" s="744">
        <v>0</v>
      </c>
      <c r="K155" s="744">
        <v>0</v>
      </c>
      <c r="L155" s="744">
        <v>0</v>
      </c>
      <c r="M155" s="744">
        <v>0</v>
      </c>
      <c r="N155" s="744">
        <v>0</v>
      </c>
      <c r="O155" s="744">
        <v>0</v>
      </c>
      <c r="P155" s="744">
        <v>0</v>
      </c>
      <c r="Q155" s="744">
        <v>0</v>
      </c>
      <c r="R155" s="744">
        <v>0</v>
      </c>
      <c r="S155" s="744">
        <v>0</v>
      </c>
      <c r="T155" s="744">
        <v>0</v>
      </c>
      <c r="U155" s="744">
        <v>0</v>
      </c>
      <c r="V155" s="744">
        <v>0</v>
      </c>
      <c r="W155" s="744">
        <v>0</v>
      </c>
      <c r="X155" s="744">
        <v>0</v>
      </c>
      <c r="Y155" s="836">
        <v>1</v>
      </c>
      <c r="Z155" s="139"/>
    </row>
    <row r="156" spans="1:26" hidden="1" x14ac:dyDescent="0.2">
      <c r="A156" s="133" t="s">
        <v>2599</v>
      </c>
      <c r="B156" s="177"/>
      <c r="C156" s="183" t="s">
        <v>1794</v>
      </c>
      <c r="D156" s="184" t="s">
        <v>1795</v>
      </c>
      <c r="E156" s="136">
        <v>0</v>
      </c>
      <c r="F156" s="136">
        <v>0</v>
      </c>
      <c r="G156" s="136">
        <v>0</v>
      </c>
      <c r="H156" s="136">
        <v>1</v>
      </c>
      <c r="I156" s="136">
        <v>0</v>
      </c>
      <c r="J156" s="136">
        <v>0</v>
      </c>
      <c r="K156" s="136">
        <v>0</v>
      </c>
      <c r="L156" s="136">
        <v>0</v>
      </c>
      <c r="M156" s="136">
        <v>0</v>
      </c>
      <c r="N156" s="136">
        <v>0</v>
      </c>
      <c r="O156" s="136">
        <v>0</v>
      </c>
      <c r="P156" s="136">
        <v>0</v>
      </c>
      <c r="Q156" s="136">
        <v>0</v>
      </c>
      <c r="R156" s="136">
        <v>0</v>
      </c>
      <c r="S156" s="136">
        <v>0</v>
      </c>
      <c r="T156" s="136">
        <v>0</v>
      </c>
      <c r="U156" s="136">
        <v>0</v>
      </c>
      <c r="V156" s="136">
        <v>0</v>
      </c>
      <c r="W156" s="136">
        <v>0</v>
      </c>
      <c r="X156" s="136"/>
      <c r="Y156" s="839">
        <v>1</v>
      </c>
      <c r="Z156" s="139"/>
    </row>
    <row r="157" spans="1:26" hidden="1" x14ac:dyDescent="0.2">
      <c r="A157" s="140" t="s">
        <v>2599</v>
      </c>
      <c r="B157" s="174"/>
      <c r="C157" s="164" t="s">
        <v>1798</v>
      </c>
      <c r="D157" s="165" t="s">
        <v>1799</v>
      </c>
      <c r="E157" s="136">
        <v>0</v>
      </c>
      <c r="F157" s="136">
        <v>0</v>
      </c>
      <c r="G157" s="136">
        <v>0</v>
      </c>
      <c r="H157" s="136">
        <v>0.98118523784288869</v>
      </c>
      <c r="I157" s="136">
        <v>0</v>
      </c>
      <c r="J157" s="136">
        <v>0</v>
      </c>
      <c r="K157" s="136">
        <v>0</v>
      </c>
      <c r="L157" s="136">
        <v>1.8814762157111229E-2</v>
      </c>
      <c r="M157" s="136">
        <v>0</v>
      </c>
      <c r="N157" s="136">
        <v>0</v>
      </c>
      <c r="O157" s="136">
        <v>0</v>
      </c>
      <c r="P157" s="136">
        <v>0</v>
      </c>
      <c r="Q157" s="136">
        <v>0</v>
      </c>
      <c r="R157" s="136">
        <v>0</v>
      </c>
      <c r="S157" s="136">
        <v>0</v>
      </c>
      <c r="T157" s="136">
        <v>0</v>
      </c>
      <c r="U157" s="136">
        <v>0</v>
      </c>
      <c r="V157" s="136">
        <v>0</v>
      </c>
      <c r="W157" s="136">
        <v>0</v>
      </c>
      <c r="X157" s="136"/>
      <c r="Y157" s="835">
        <v>0.99999999999999989</v>
      </c>
      <c r="Z157" s="139"/>
    </row>
    <row r="158" spans="1:26" hidden="1" x14ac:dyDescent="0.2">
      <c r="A158" s="133" t="s">
        <v>2599</v>
      </c>
      <c r="B158" s="177"/>
      <c r="C158" s="148" t="s">
        <v>1286</v>
      </c>
      <c r="D158" s="166" t="s">
        <v>199</v>
      </c>
      <c r="E158" s="136">
        <v>0</v>
      </c>
      <c r="F158" s="136">
        <v>0</v>
      </c>
      <c r="G158" s="136">
        <v>0.28832653381698931</v>
      </c>
      <c r="H158" s="136">
        <v>0</v>
      </c>
      <c r="I158" s="136">
        <v>0</v>
      </c>
      <c r="J158" s="136">
        <v>0</v>
      </c>
      <c r="K158" s="136">
        <v>0</v>
      </c>
      <c r="L158" s="136">
        <v>0</v>
      </c>
      <c r="M158" s="136">
        <v>0</v>
      </c>
      <c r="N158" s="136">
        <v>0</v>
      </c>
      <c r="O158" s="136">
        <v>0</v>
      </c>
      <c r="P158" s="136">
        <v>4.1544842630808661E-2</v>
      </c>
      <c r="Q158" s="136">
        <v>0</v>
      </c>
      <c r="R158" s="136">
        <v>0</v>
      </c>
      <c r="S158" s="136">
        <v>0</v>
      </c>
      <c r="T158" s="136">
        <v>0.67012862355220204</v>
      </c>
      <c r="U158" s="136">
        <v>0</v>
      </c>
      <c r="V158" s="136">
        <v>0</v>
      </c>
      <c r="W158" s="136">
        <v>0</v>
      </c>
      <c r="X158" s="683"/>
      <c r="Y158" s="841">
        <v>1</v>
      </c>
      <c r="Z158" s="139"/>
    </row>
    <row r="159" spans="1:26" hidden="1" x14ac:dyDescent="0.2">
      <c r="A159" s="140" t="s">
        <v>2599</v>
      </c>
      <c r="B159" s="174"/>
      <c r="C159" s="164" t="s">
        <v>1808</v>
      </c>
      <c r="D159" s="165" t="s">
        <v>1809</v>
      </c>
      <c r="E159" s="136">
        <v>0</v>
      </c>
      <c r="F159" s="136">
        <v>0</v>
      </c>
      <c r="G159" s="136">
        <v>0</v>
      </c>
      <c r="H159" s="136">
        <v>1</v>
      </c>
      <c r="I159" s="136">
        <v>0</v>
      </c>
      <c r="J159" s="136">
        <v>0</v>
      </c>
      <c r="K159" s="136">
        <v>0</v>
      </c>
      <c r="L159" s="136">
        <v>0</v>
      </c>
      <c r="M159" s="136">
        <v>0</v>
      </c>
      <c r="N159" s="136">
        <v>0</v>
      </c>
      <c r="O159" s="136">
        <v>0</v>
      </c>
      <c r="P159" s="136">
        <v>0</v>
      </c>
      <c r="Q159" s="136">
        <v>0</v>
      </c>
      <c r="R159" s="136">
        <v>0</v>
      </c>
      <c r="S159" s="136">
        <v>0</v>
      </c>
      <c r="T159" s="136">
        <v>0</v>
      </c>
      <c r="U159" s="136">
        <v>0</v>
      </c>
      <c r="V159" s="136">
        <v>0</v>
      </c>
      <c r="W159" s="136">
        <v>0</v>
      </c>
      <c r="X159" s="136"/>
      <c r="Y159" s="835">
        <v>1</v>
      </c>
      <c r="Z159" s="139"/>
    </row>
    <row r="160" spans="1:26" hidden="1" x14ac:dyDescent="0.2">
      <c r="A160" s="140" t="s">
        <v>2599</v>
      </c>
      <c r="B160" s="174"/>
      <c r="C160" s="141" t="s">
        <v>1287</v>
      </c>
      <c r="D160" s="142" t="s">
        <v>1288</v>
      </c>
      <c r="E160" s="136">
        <v>0</v>
      </c>
      <c r="F160" s="136">
        <v>0</v>
      </c>
      <c r="G160" s="136">
        <v>0</v>
      </c>
      <c r="H160" s="136">
        <v>1</v>
      </c>
      <c r="I160" s="136">
        <v>0</v>
      </c>
      <c r="J160" s="136">
        <v>0</v>
      </c>
      <c r="K160" s="136">
        <v>0</v>
      </c>
      <c r="L160" s="136">
        <v>0</v>
      </c>
      <c r="M160" s="136">
        <v>0</v>
      </c>
      <c r="N160" s="136">
        <v>0</v>
      </c>
      <c r="O160" s="136">
        <v>0</v>
      </c>
      <c r="P160" s="136">
        <v>0</v>
      </c>
      <c r="Q160" s="136">
        <v>0</v>
      </c>
      <c r="R160" s="136">
        <v>0</v>
      </c>
      <c r="S160" s="136">
        <v>0</v>
      </c>
      <c r="T160" s="136">
        <v>0</v>
      </c>
      <c r="U160" s="136">
        <v>0</v>
      </c>
      <c r="V160" s="136">
        <v>0</v>
      </c>
      <c r="W160" s="136">
        <v>0</v>
      </c>
      <c r="X160" s="136"/>
      <c r="Y160" s="835">
        <v>1</v>
      </c>
      <c r="Z160" s="139"/>
    </row>
    <row r="161" spans="1:26" hidden="1" x14ac:dyDescent="0.2">
      <c r="A161" s="746" t="s">
        <v>2599</v>
      </c>
      <c r="B161" s="758"/>
      <c r="C161" s="747" t="s">
        <v>1318</v>
      </c>
      <c r="D161" s="748" t="s">
        <v>1319</v>
      </c>
      <c r="E161" s="745">
        <v>0</v>
      </c>
      <c r="F161" s="745">
        <v>5.4113247421954639E-4</v>
      </c>
      <c r="G161" s="745">
        <v>0.24782136750391559</v>
      </c>
      <c r="H161" s="745">
        <v>0</v>
      </c>
      <c r="I161" s="745">
        <v>0</v>
      </c>
      <c r="J161" s="745">
        <v>0</v>
      </c>
      <c r="K161" s="745">
        <v>0</v>
      </c>
      <c r="L161" s="745">
        <v>0</v>
      </c>
      <c r="M161" s="745">
        <v>0</v>
      </c>
      <c r="N161" s="745">
        <v>0</v>
      </c>
      <c r="O161" s="745">
        <v>0</v>
      </c>
      <c r="P161" s="745">
        <v>8.7997881025152803E-3</v>
      </c>
      <c r="Q161" s="745">
        <v>0</v>
      </c>
      <c r="R161" s="745">
        <v>0</v>
      </c>
      <c r="S161" s="745">
        <v>0</v>
      </c>
      <c r="T161" s="745">
        <v>0.74283771191934955</v>
      </c>
      <c r="U161" s="745">
        <v>0</v>
      </c>
      <c r="V161" s="745">
        <v>0</v>
      </c>
      <c r="W161" s="745">
        <v>0</v>
      </c>
      <c r="X161" s="744">
        <v>0</v>
      </c>
      <c r="Y161" s="840">
        <v>1</v>
      </c>
      <c r="Z161" s="139"/>
    </row>
    <row r="162" spans="1:26" hidden="1" x14ac:dyDescent="0.2">
      <c r="A162" s="133" t="s">
        <v>2599</v>
      </c>
      <c r="B162" s="177"/>
      <c r="C162" s="164" t="s">
        <v>1822</v>
      </c>
      <c r="D162" s="165" t="s">
        <v>1823</v>
      </c>
      <c r="E162" s="136">
        <v>8.0520431426803693E-2</v>
      </c>
      <c r="F162" s="136">
        <v>0</v>
      </c>
      <c r="G162" s="136">
        <v>0</v>
      </c>
      <c r="H162" s="136">
        <v>9.4801680681072774E-3</v>
      </c>
      <c r="I162" s="136">
        <v>0</v>
      </c>
      <c r="J162" s="136">
        <v>0</v>
      </c>
      <c r="K162" s="136">
        <v>0</v>
      </c>
      <c r="L162" s="136">
        <v>0.9099994005050891</v>
      </c>
      <c r="M162" s="136">
        <v>0</v>
      </c>
      <c r="N162" s="136">
        <v>0</v>
      </c>
      <c r="O162" s="136">
        <v>0</v>
      </c>
      <c r="P162" s="136">
        <v>0</v>
      </c>
      <c r="Q162" s="136">
        <v>0</v>
      </c>
      <c r="R162" s="136">
        <v>0</v>
      </c>
      <c r="S162" s="136">
        <v>0</v>
      </c>
      <c r="T162" s="136">
        <v>0</v>
      </c>
      <c r="U162" s="136">
        <v>0</v>
      </c>
      <c r="V162" s="136">
        <v>0</v>
      </c>
      <c r="W162" s="136">
        <v>0</v>
      </c>
      <c r="X162" s="136"/>
      <c r="Y162" s="835">
        <v>1</v>
      </c>
      <c r="Z162" s="139"/>
    </row>
    <row r="163" spans="1:26" hidden="1" x14ac:dyDescent="0.2">
      <c r="A163" s="133" t="s">
        <v>2599</v>
      </c>
      <c r="B163" s="177"/>
      <c r="C163" s="143" t="s">
        <v>1824</v>
      </c>
      <c r="D163" s="144" t="s">
        <v>1825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136">
        <v>0</v>
      </c>
      <c r="K163" s="136">
        <v>0</v>
      </c>
      <c r="L163" s="136">
        <v>1</v>
      </c>
      <c r="M163" s="136">
        <v>0</v>
      </c>
      <c r="N163" s="136">
        <v>0</v>
      </c>
      <c r="O163" s="136">
        <v>0</v>
      </c>
      <c r="P163" s="136">
        <v>0</v>
      </c>
      <c r="Q163" s="136">
        <v>0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6">
        <v>0</v>
      </c>
      <c r="X163" s="136"/>
      <c r="Y163" s="836">
        <v>1</v>
      </c>
      <c r="Z163" s="139"/>
    </row>
    <row r="164" spans="1:26" hidden="1" x14ac:dyDescent="0.2">
      <c r="A164" s="133" t="s">
        <v>2599</v>
      </c>
      <c r="B164" s="177"/>
      <c r="C164" s="134" t="s">
        <v>1826</v>
      </c>
      <c r="D164" s="161" t="s">
        <v>1827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136">
        <v>0</v>
      </c>
      <c r="K164" s="136">
        <v>0</v>
      </c>
      <c r="L164" s="136">
        <v>1</v>
      </c>
      <c r="M164" s="136">
        <v>0</v>
      </c>
      <c r="N164" s="136">
        <v>0</v>
      </c>
      <c r="O164" s="136">
        <v>0</v>
      </c>
      <c r="P164" s="136">
        <v>0</v>
      </c>
      <c r="Q164" s="136">
        <v>0</v>
      </c>
      <c r="R164" s="136">
        <v>0</v>
      </c>
      <c r="S164" s="136">
        <v>0</v>
      </c>
      <c r="T164" s="136">
        <v>0</v>
      </c>
      <c r="U164" s="136">
        <v>0</v>
      </c>
      <c r="V164" s="136">
        <v>0</v>
      </c>
      <c r="W164" s="136">
        <v>0</v>
      </c>
      <c r="X164" s="136"/>
      <c r="Y164" s="137">
        <v>1</v>
      </c>
      <c r="Z164" s="139"/>
    </row>
    <row r="165" spans="1:26" hidden="1" x14ac:dyDescent="0.2">
      <c r="A165" s="140" t="s">
        <v>2599</v>
      </c>
      <c r="B165" s="174"/>
      <c r="C165" s="175" t="s">
        <v>1643</v>
      </c>
      <c r="D165" s="176" t="s">
        <v>1644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136">
        <v>0</v>
      </c>
      <c r="K165" s="136">
        <v>0</v>
      </c>
      <c r="L165" s="136">
        <v>0</v>
      </c>
      <c r="M165" s="136">
        <v>0</v>
      </c>
      <c r="N165" s="136">
        <v>0</v>
      </c>
      <c r="O165" s="136">
        <v>0</v>
      </c>
      <c r="P165" s="136">
        <v>0</v>
      </c>
      <c r="Q165" s="136">
        <v>0</v>
      </c>
      <c r="R165" s="136">
        <v>0</v>
      </c>
      <c r="S165" s="136">
        <v>1</v>
      </c>
      <c r="T165" s="136">
        <v>0</v>
      </c>
      <c r="U165" s="136">
        <v>0</v>
      </c>
      <c r="V165" s="136">
        <v>0</v>
      </c>
      <c r="W165" s="136">
        <v>0</v>
      </c>
      <c r="X165" s="136"/>
      <c r="Y165" s="835">
        <v>1</v>
      </c>
      <c r="Z165" s="139"/>
    </row>
    <row r="166" spans="1:26" hidden="1" x14ac:dyDescent="0.2">
      <c r="A166" s="741" t="s">
        <v>2599</v>
      </c>
      <c r="B166" s="759"/>
      <c r="C166" s="742" t="s">
        <v>2190</v>
      </c>
      <c r="D166" s="743" t="s">
        <v>222</v>
      </c>
      <c r="E166" s="744">
        <v>0</v>
      </c>
      <c r="F166" s="744">
        <v>0</v>
      </c>
      <c r="G166" s="744">
        <v>0</v>
      </c>
      <c r="H166" s="744">
        <v>1</v>
      </c>
      <c r="I166" s="744">
        <v>0</v>
      </c>
      <c r="J166" s="744">
        <v>0</v>
      </c>
      <c r="K166" s="744">
        <v>0</v>
      </c>
      <c r="L166" s="744">
        <v>0</v>
      </c>
      <c r="M166" s="744">
        <v>0</v>
      </c>
      <c r="N166" s="744">
        <v>0</v>
      </c>
      <c r="O166" s="744">
        <v>0</v>
      </c>
      <c r="P166" s="744">
        <v>0</v>
      </c>
      <c r="Q166" s="744">
        <v>0</v>
      </c>
      <c r="R166" s="744">
        <v>0</v>
      </c>
      <c r="S166" s="744">
        <v>0</v>
      </c>
      <c r="T166" s="744">
        <v>0</v>
      </c>
      <c r="U166" s="744">
        <v>0</v>
      </c>
      <c r="V166" s="744">
        <v>0</v>
      </c>
      <c r="W166" s="744">
        <v>0</v>
      </c>
      <c r="X166" s="744">
        <v>0</v>
      </c>
      <c r="Y166" s="836">
        <v>1</v>
      </c>
      <c r="Z166" s="139"/>
    </row>
    <row r="167" spans="1:26" hidden="1" x14ac:dyDescent="0.2">
      <c r="A167" s="133" t="s">
        <v>2599</v>
      </c>
      <c r="B167" s="177"/>
      <c r="C167" s="159" t="s">
        <v>2199</v>
      </c>
      <c r="D167" s="160" t="s">
        <v>226</v>
      </c>
      <c r="E167" s="136">
        <v>0</v>
      </c>
      <c r="F167" s="136">
        <v>0</v>
      </c>
      <c r="G167" s="136">
        <v>0</v>
      </c>
      <c r="H167" s="136">
        <v>1</v>
      </c>
      <c r="I167" s="136">
        <v>0</v>
      </c>
      <c r="J167" s="136">
        <v>0</v>
      </c>
      <c r="K167" s="136">
        <v>0</v>
      </c>
      <c r="L167" s="136">
        <v>0</v>
      </c>
      <c r="M167" s="136">
        <v>0</v>
      </c>
      <c r="N167" s="136">
        <v>0</v>
      </c>
      <c r="O167" s="136">
        <v>0</v>
      </c>
      <c r="P167" s="136">
        <v>0</v>
      </c>
      <c r="Q167" s="136">
        <v>0</v>
      </c>
      <c r="R167" s="136">
        <v>0</v>
      </c>
      <c r="S167" s="136">
        <v>0</v>
      </c>
      <c r="T167" s="136">
        <v>0</v>
      </c>
      <c r="U167" s="136">
        <v>0</v>
      </c>
      <c r="V167" s="136">
        <v>0</v>
      </c>
      <c r="W167" s="136">
        <v>0</v>
      </c>
      <c r="X167" s="683"/>
      <c r="Y167" s="840">
        <v>1</v>
      </c>
      <c r="Z167" s="139"/>
    </row>
    <row r="168" spans="1:26" hidden="1" x14ac:dyDescent="0.2">
      <c r="A168" s="133" t="s">
        <v>2599</v>
      </c>
      <c r="B168" s="177"/>
      <c r="C168" s="134" t="s">
        <v>1838</v>
      </c>
      <c r="D168" s="161" t="s">
        <v>1839</v>
      </c>
      <c r="E168" s="136">
        <v>0.96237415295750062</v>
      </c>
      <c r="F168" s="136">
        <v>0</v>
      </c>
      <c r="G168" s="136">
        <v>0</v>
      </c>
      <c r="H168" s="136">
        <v>3.7625847042499286E-2</v>
      </c>
      <c r="I168" s="136">
        <v>0</v>
      </c>
      <c r="J168" s="136">
        <v>0</v>
      </c>
      <c r="K168" s="136">
        <v>0</v>
      </c>
      <c r="L168" s="136">
        <v>0</v>
      </c>
      <c r="M168" s="136">
        <v>0</v>
      </c>
      <c r="N168" s="136">
        <v>0</v>
      </c>
      <c r="O168" s="136">
        <v>0</v>
      </c>
      <c r="P168" s="136">
        <v>0</v>
      </c>
      <c r="Q168" s="136">
        <v>0</v>
      </c>
      <c r="R168" s="136">
        <v>0</v>
      </c>
      <c r="S168" s="136">
        <v>0</v>
      </c>
      <c r="T168" s="136">
        <v>0</v>
      </c>
      <c r="U168" s="136">
        <v>0</v>
      </c>
      <c r="V168" s="136">
        <v>0</v>
      </c>
      <c r="W168" s="136">
        <v>0</v>
      </c>
      <c r="X168" s="136"/>
      <c r="Y168" s="137">
        <v>0.99999999999999989</v>
      </c>
      <c r="Z168" s="139"/>
    </row>
    <row r="169" spans="1:26" hidden="1" x14ac:dyDescent="0.2">
      <c r="A169" s="140" t="s">
        <v>2599</v>
      </c>
      <c r="B169" s="174"/>
      <c r="C169" s="164" t="s">
        <v>1840</v>
      </c>
      <c r="D169" s="165" t="s">
        <v>1841</v>
      </c>
      <c r="E169" s="745">
        <v>5.6758834849468906E-2</v>
      </c>
      <c r="F169" s="745">
        <v>0</v>
      </c>
      <c r="G169" s="745">
        <v>0</v>
      </c>
      <c r="H169" s="745">
        <v>0</v>
      </c>
      <c r="I169" s="745">
        <v>0</v>
      </c>
      <c r="J169" s="745">
        <v>0</v>
      </c>
      <c r="K169" s="745">
        <v>0</v>
      </c>
      <c r="L169" s="745">
        <v>2.9826225559087406E-2</v>
      </c>
      <c r="M169" s="745">
        <v>0</v>
      </c>
      <c r="N169" s="745">
        <v>0.67325157065497532</v>
      </c>
      <c r="O169" s="745">
        <v>0</v>
      </c>
      <c r="P169" s="745">
        <v>0</v>
      </c>
      <c r="Q169" s="745">
        <v>0</v>
      </c>
      <c r="R169" s="745">
        <v>0</v>
      </c>
      <c r="S169" s="745">
        <v>0.17196731700767504</v>
      </c>
      <c r="T169" s="745">
        <v>6.8196051928793355E-2</v>
      </c>
      <c r="U169" s="745">
        <v>0</v>
      </c>
      <c r="V169" s="745">
        <v>0</v>
      </c>
      <c r="W169" s="745">
        <v>0</v>
      </c>
      <c r="X169" s="136"/>
      <c r="Y169" s="835">
        <v>1</v>
      </c>
      <c r="Z169" s="139"/>
    </row>
    <row r="170" spans="1:26" hidden="1" x14ac:dyDescent="0.2">
      <c r="A170" s="741" t="s">
        <v>2599</v>
      </c>
      <c r="B170" s="757">
        <v>42247</v>
      </c>
      <c r="C170" s="742" t="s">
        <v>1856</v>
      </c>
      <c r="D170" s="743" t="s">
        <v>1857</v>
      </c>
      <c r="E170" s="745">
        <v>0.46721923856033698</v>
      </c>
      <c r="F170" s="745">
        <v>0</v>
      </c>
      <c r="G170" s="745">
        <v>0</v>
      </c>
      <c r="H170" s="745">
        <v>0.20941617456069511</v>
      </c>
      <c r="I170" s="745">
        <v>0</v>
      </c>
      <c r="J170" s="745">
        <v>0</v>
      </c>
      <c r="K170" s="745">
        <v>0</v>
      </c>
      <c r="L170" s="745">
        <v>0.32336458687896802</v>
      </c>
      <c r="M170" s="745">
        <v>0</v>
      </c>
      <c r="N170" s="745">
        <v>0</v>
      </c>
      <c r="O170" s="745">
        <v>0</v>
      </c>
      <c r="P170" s="745">
        <v>0</v>
      </c>
      <c r="Q170" s="745">
        <v>0</v>
      </c>
      <c r="R170" s="745">
        <v>0</v>
      </c>
      <c r="S170" s="745">
        <v>0</v>
      </c>
      <c r="T170" s="745">
        <v>0</v>
      </c>
      <c r="U170" s="745">
        <v>0</v>
      </c>
      <c r="V170" s="745">
        <v>0</v>
      </c>
      <c r="W170" s="745">
        <v>0</v>
      </c>
      <c r="X170" s="744">
        <v>0</v>
      </c>
      <c r="Y170" s="836">
        <v>1.0000000000000002</v>
      </c>
      <c r="Z170" s="139"/>
    </row>
    <row r="171" spans="1:26" hidden="1" x14ac:dyDescent="0.2">
      <c r="A171" s="741" t="s">
        <v>2599</v>
      </c>
      <c r="B171" s="759"/>
      <c r="C171" s="742" t="s">
        <v>1890</v>
      </c>
      <c r="D171" s="743" t="s">
        <v>1891</v>
      </c>
      <c r="E171" s="744">
        <v>0</v>
      </c>
      <c r="F171" s="744">
        <v>0</v>
      </c>
      <c r="G171" s="744">
        <v>0</v>
      </c>
      <c r="H171" s="744">
        <v>0</v>
      </c>
      <c r="I171" s="744">
        <v>0</v>
      </c>
      <c r="J171" s="744">
        <v>0</v>
      </c>
      <c r="K171" s="744">
        <v>0</v>
      </c>
      <c r="L171" s="744">
        <v>1</v>
      </c>
      <c r="M171" s="744">
        <v>0</v>
      </c>
      <c r="N171" s="744">
        <v>0</v>
      </c>
      <c r="O171" s="744">
        <v>0</v>
      </c>
      <c r="P171" s="744">
        <v>0</v>
      </c>
      <c r="Q171" s="744">
        <v>0</v>
      </c>
      <c r="R171" s="744">
        <v>0</v>
      </c>
      <c r="S171" s="744">
        <v>0</v>
      </c>
      <c r="T171" s="744">
        <v>0</v>
      </c>
      <c r="U171" s="744">
        <v>0</v>
      </c>
      <c r="V171" s="744">
        <v>0</v>
      </c>
      <c r="W171" s="744">
        <v>0</v>
      </c>
      <c r="X171" s="744">
        <v>0</v>
      </c>
      <c r="Y171" s="836">
        <v>1</v>
      </c>
      <c r="Z171" s="139"/>
    </row>
    <row r="172" spans="1:26" hidden="1" x14ac:dyDescent="0.2">
      <c r="A172" s="746" t="s">
        <v>2599</v>
      </c>
      <c r="B172" s="758"/>
      <c r="C172" s="747" t="s">
        <v>1892</v>
      </c>
      <c r="D172" s="748" t="s">
        <v>1893</v>
      </c>
      <c r="E172" s="744">
        <v>1</v>
      </c>
      <c r="F172" s="744">
        <v>0</v>
      </c>
      <c r="G172" s="744">
        <v>0</v>
      </c>
      <c r="H172" s="744">
        <v>0</v>
      </c>
      <c r="I172" s="744">
        <v>0</v>
      </c>
      <c r="J172" s="744">
        <v>0</v>
      </c>
      <c r="K172" s="744">
        <v>0</v>
      </c>
      <c r="L172" s="744">
        <v>0</v>
      </c>
      <c r="M172" s="744">
        <v>0</v>
      </c>
      <c r="N172" s="744">
        <v>0</v>
      </c>
      <c r="O172" s="744">
        <v>0</v>
      </c>
      <c r="P172" s="744">
        <v>0</v>
      </c>
      <c r="Q172" s="744">
        <v>0</v>
      </c>
      <c r="R172" s="744">
        <v>0</v>
      </c>
      <c r="S172" s="744">
        <v>0</v>
      </c>
      <c r="T172" s="744">
        <v>0</v>
      </c>
      <c r="U172" s="744">
        <v>0</v>
      </c>
      <c r="V172" s="744">
        <v>0</v>
      </c>
      <c r="W172" s="744">
        <v>0</v>
      </c>
      <c r="X172" s="744">
        <v>0</v>
      </c>
      <c r="Y172" s="840">
        <v>1</v>
      </c>
      <c r="Z172" s="139"/>
    </row>
    <row r="173" spans="1:26" hidden="1" x14ac:dyDescent="0.2">
      <c r="A173" s="746" t="s">
        <v>2599</v>
      </c>
      <c r="B173" s="758"/>
      <c r="C173" s="761" t="s">
        <v>1898</v>
      </c>
      <c r="D173" s="762" t="s">
        <v>1899</v>
      </c>
      <c r="E173" s="744">
        <v>0</v>
      </c>
      <c r="F173" s="744">
        <v>0</v>
      </c>
      <c r="G173" s="744">
        <v>0</v>
      </c>
      <c r="H173" s="744">
        <v>0</v>
      </c>
      <c r="I173" s="744">
        <v>0</v>
      </c>
      <c r="J173" s="744">
        <v>0</v>
      </c>
      <c r="K173" s="744">
        <v>0</v>
      </c>
      <c r="L173" s="744">
        <v>1</v>
      </c>
      <c r="M173" s="744">
        <v>0</v>
      </c>
      <c r="N173" s="744">
        <v>0</v>
      </c>
      <c r="O173" s="744">
        <v>0</v>
      </c>
      <c r="P173" s="744">
        <v>0</v>
      </c>
      <c r="Q173" s="744">
        <v>0</v>
      </c>
      <c r="R173" s="744">
        <v>0</v>
      </c>
      <c r="S173" s="744">
        <v>0</v>
      </c>
      <c r="T173" s="744">
        <v>0</v>
      </c>
      <c r="U173" s="744">
        <v>0</v>
      </c>
      <c r="V173" s="744">
        <v>0</v>
      </c>
      <c r="W173" s="744">
        <v>0</v>
      </c>
      <c r="X173" s="744">
        <v>0</v>
      </c>
      <c r="Y173" s="137">
        <v>1</v>
      </c>
      <c r="Z173" s="139"/>
    </row>
    <row r="174" spans="1:26" hidden="1" x14ac:dyDescent="0.2">
      <c r="A174" s="140" t="s">
        <v>2599</v>
      </c>
      <c r="B174" s="174"/>
      <c r="C174" s="164" t="s">
        <v>2194</v>
      </c>
      <c r="D174" s="165" t="s">
        <v>2195</v>
      </c>
      <c r="E174" s="136">
        <v>0</v>
      </c>
      <c r="F174" s="136">
        <v>0</v>
      </c>
      <c r="G174" s="136">
        <v>0</v>
      </c>
      <c r="H174" s="136">
        <v>0</v>
      </c>
      <c r="I174" s="136">
        <v>0</v>
      </c>
      <c r="J174" s="136">
        <v>0</v>
      </c>
      <c r="K174" s="136">
        <v>0</v>
      </c>
      <c r="L174" s="136">
        <v>0</v>
      </c>
      <c r="M174" s="136">
        <v>0</v>
      </c>
      <c r="N174" s="136">
        <v>0</v>
      </c>
      <c r="O174" s="136">
        <v>0</v>
      </c>
      <c r="P174" s="136">
        <v>1</v>
      </c>
      <c r="Q174" s="136">
        <v>0</v>
      </c>
      <c r="R174" s="136">
        <v>0</v>
      </c>
      <c r="S174" s="136">
        <v>0</v>
      </c>
      <c r="T174" s="136">
        <v>0</v>
      </c>
      <c r="U174" s="136">
        <v>0</v>
      </c>
      <c r="V174" s="136">
        <v>0</v>
      </c>
      <c r="W174" s="136">
        <v>0</v>
      </c>
      <c r="X174" s="136"/>
      <c r="Y174" s="835">
        <v>1</v>
      </c>
      <c r="Z174" s="139"/>
    </row>
    <row r="175" spans="1:26" hidden="1" x14ac:dyDescent="0.2">
      <c r="A175" s="741" t="s">
        <v>2599</v>
      </c>
      <c r="B175" s="759"/>
      <c r="C175" s="742" t="s">
        <v>1906</v>
      </c>
      <c r="D175" s="743" t="s">
        <v>1907</v>
      </c>
      <c r="E175" s="745">
        <v>3.9035305763873365E-4</v>
      </c>
      <c r="F175" s="745">
        <v>0</v>
      </c>
      <c r="G175" s="745">
        <v>0</v>
      </c>
      <c r="H175" s="745">
        <v>0.99960964694236121</v>
      </c>
      <c r="I175" s="745">
        <v>0</v>
      </c>
      <c r="J175" s="745">
        <v>0</v>
      </c>
      <c r="K175" s="745">
        <v>0</v>
      </c>
      <c r="L175" s="745">
        <v>0</v>
      </c>
      <c r="M175" s="745">
        <v>0</v>
      </c>
      <c r="N175" s="745">
        <v>0</v>
      </c>
      <c r="O175" s="745">
        <v>0</v>
      </c>
      <c r="P175" s="745">
        <v>0</v>
      </c>
      <c r="Q175" s="745">
        <v>0</v>
      </c>
      <c r="R175" s="745">
        <v>0</v>
      </c>
      <c r="S175" s="745">
        <v>0</v>
      </c>
      <c r="T175" s="745">
        <v>0</v>
      </c>
      <c r="U175" s="745">
        <v>0</v>
      </c>
      <c r="V175" s="745">
        <v>0</v>
      </c>
      <c r="W175" s="745">
        <v>0</v>
      </c>
      <c r="X175" s="744">
        <v>0</v>
      </c>
      <c r="Y175" s="836">
        <v>0.99999999999999989</v>
      </c>
      <c r="Z175" s="139"/>
    </row>
    <row r="176" spans="1:26" hidden="1" x14ac:dyDescent="0.2">
      <c r="A176" s="746" t="s">
        <v>2599</v>
      </c>
      <c r="B176" s="758"/>
      <c r="C176" s="751" t="s">
        <v>1908</v>
      </c>
      <c r="D176" s="752" t="s">
        <v>1909</v>
      </c>
      <c r="E176" s="744">
        <v>0</v>
      </c>
      <c r="F176" s="744">
        <v>0</v>
      </c>
      <c r="G176" s="744">
        <v>0</v>
      </c>
      <c r="H176" s="744">
        <v>1</v>
      </c>
      <c r="I176" s="744">
        <v>0</v>
      </c>
      <c r="J176" s="744">
        <v>0</v>
      </c>
      <c r="K176" s="744">
        <v>0</v>
      </c>
      <c r="L176" s="744">
        <v>0</v>
      </c>
      <c r="M176" s="744">
        <v>0</v>
      </c>
      <c r="N176" s="744">
        <v>0</v>
      </c>
      <c r="O176" s="744">
        <v>0</v>
      </c>
      <c r="P176" s="744">
        <v>0</v>
      </c>
      <c r="Q176" s="744">
        <v>0</v>
      </c>
      <c r="R176" s="744">
        <v>0</v>
      </c>
      <c r="S176" s="744">
        <v>0</v>
      </c>
      <c r="T176" s="744">
        <v>0</v>
      </c>
      <c r="U176" s="744">
        <v>0</v>
      </c>
      <c r="V176" s="744">
        <v>0</v>
      </c>
      <c r="W176" s="744">
        <v>0</v>
      </c>
      <c r="X176" s="744">
        <v>0</v>
      </c>
      <c r="Y176" s="841">
        <v>1</v>
      </c>
      <c r="Z176" s="139"/>
    </row>
    <row r="177" spans="1:26" hidden="1" x14ac:dyDescent="0.2">
      <c r="A177" s="140" t="s">
        <v>2599</v>
      </c>
      <c r="B177" s="174"/>
      <c r="C177" s="143" t="s">
        <v>1921</v>
      </c>
      <c r="D177" s="144" t="s">
        <v>1922</v>
      </c>
      <c r="E177" s="136">
        <v>0</v>
      </c>
      <c r="F177" s="136">
        <v>0</v>
      </c>
      <c r="G177" s="136">
        <v>0</v>
      </c>
      <c r="H177" s="136">
        <v>1</v>
      </c>
      <c r="I177" s="136">
        <v>0</v>
      </c>
      <c r="J177" s="136">
        <v>0</v>
      </c>
      <c r="K177" s="136">
        <v>0</v>
      </c>
      <c r="L177" s="136">
        <v>0</v>
      </c>
      <c r="M177" s="136">
        <v>0</v>
      </c>
      <c r="N177" s="136">
        <v>0</v>
      </c>
      <c r="O177" s="136">
        <v>0</v>
      </c>
      <c r="P177" s="136">
        <v>0</v>
      </c>
      <c r="Q177" s="136">
        <v>0</v>
      </c>
      <c r="R177" s="136">
        <v>0</v>
      </c>
      <c r="S177" s="136">
        <v>0</v>
      </c>
      <c r="T177" s="136">
        <v>0</v>
      </c>
      <c r="U177" s="136">
        <v>0</v>
      </c>
      <c r="V177" s="136">
        <v>0</v>
      </c>
      <c r="W177" s="136">
        <v>0</v>
      </c>
      <c r="X177" s="136"/>
      <c r="Y177" s="836">
        <v>1</v>
      </c>
      <c r="Z177" s="139"/>
    </row>
    <row r="178" spans="1:26" hidden="1" x14ac:dyDescent="0.2">
      <c r="A178" s="133" t="s">
        <v>2599</v>
      </c>
      <c r="B178" s="177"/>
      <c r="C178" s="148" t="s">
        <v>1923</v>
      </c>
      <c r="D178" s="166" t="s">
        <v>1924</v>
      </c>
      <c r="E178" s="136">
        <v>0</v>
      </c>
      <c r="F178" s="136">
        <v>0.37490231322519019</v>
      </c>
      <c r="G178" s="136">
        <v>0.22520260314686905</v>
      </c>
      <c r="H178" s="136">
        <v>0</v>
      </c>
      <c r="I178" s="136">
        <v>0</v>
      </c>
      <c r="J178" s="136">
        <v>0</v>
      </c>
      <c r="K178" s="136">
        <v>0</v>
      </c>
      <c r="L178" s="136">
        <v>0</v>
      </c>
      <c r="M178" s="136">
        <v>0</v>
      </c>
      <c r="N178" s="136">
        <v>0</v>
      </c>
      <c r="O178" s="136">
        <v>0</v>
      </c>
      <c r="P178" s="136">
        <v>0.39989508362794079</v>
      </c>
      <c r="Q178" s="136">
        <v>0</v>
      </c>
      <c r="R178" s="136">
        <v>0</v>
      </c>
      <c r="S178" s="136">
        <v>0</v>
      </c>
      <c r="T178" s="136">
        <v>0</v>
      </c>
      <c r="U178" s="136">
        <v>0</v>
      </c>
      <c r="V178" s="136">
        <v>0</v>
      </c>
      <c r="W178" s="136">
        <v>0</v>
      </c>
      <c r="X178" s="683"/>
      <c r="Y178" s="841">
        <v>1</v>
      </c>
      <c r="Z178" s="139"/>
    </row>
    <row r="179" spans="1:26" hidden="1" x14ac:dyDescent="0.2">
      <c r="A179" s="741" t="s">
        <v>2599</v>
      </c>
      <c r="B179" s="759"/>
      <c r="C179" s="742" t="s">
        <v>1965</v>
      </c>
      <c r="D179" s="743" t="s">
        <v>1966</v>
      </c>
      <c r="E179" s="744">
        <v>0</v>
      </c>
      <c r="F179" s="744">
        <v>0</v>
      </c>
      <c r="G179" s="744">
        <v>0</v>
      </c>
      <c r="H179" s="744">
        <v>0</v>
      </c>
      <c r="I179" s="744">
        <v>0.89185895442031593</v>
      </c>
      <c r="J179" s="744">
        <v>0.10814104557968407</v>
      </c>
      <c r="K179" s="744">
        <v>0</v>
      </c>
      <c r="L179" s="744">
        <v>0</v>
      </c>
      <c r="M179" s="744">
        <v>0</v>
      </c>
      <c r="N179" s="744">
        <v>0</v>
      </c>
      <c r="O179" s="744">
        <v>0</v>
      </c>
      <c r="P179" s="744">
        <v>0</v>
      </c>
      <c r="Q179" s="744">
        <v>0</v>
      </c>
      <c r="R179" s="744">
        <v>0</v>
      </c>
      <c r="S179" s="744">
        <v>0</v>
      </c>
      <c r="T179" s="744">
        <v>0</v>
      </c>
      <c r="U179" s="744">
        <v>0</v>
      </c>
      <c r="V179" s="744">
        <v>0</v>
      </c>
      <c r="W179" s="744">
        <v>0</v>
      </c>
      <c r="X179" s="744">
        <v>0</v>
      </c>
      <c r="Y179" s="836">
        <v>1</v>
      </c>
      <c r="Z179" s="139"/>
    </row>
    <row r="180" spans="1:26" hidden="1" x14ac:dyDescent="0.2">
      <c r="A180" s="133" t="s">
        <v>2599</v>
      </c>
      <c r="B180" s="177"/>
      <c r="C180" s="185" t="s">
        <v>1648</v>
      </c>
      <c r="D180" s="186" t="s">
        <v>303</v>
      </c>
      <c r="E180" s="136">
        <v>0</v>
      </c>
      <c r="F180" s="136">
        <v>0</v>
      </c>
      <c r="G180" s="136">
        <v>0</v>
      </c>
      <c r="H180" s="136">
        <v>0</v>
      </c>
      <c r="I180" s="136">
        <v>0</v>
      </c>
      <c r="J180" s="136">
        <v>0</v>
      </c>
      <c r="K180" s="136">
        <v>0</v>
      </c>
      <c r="L180" s="136">
        <v>0</v>
      </c>
      <c r="M180" s="136">
        <v>0</v>
      </c>
      <c r="N180" s="136">
        <v>1</v>
      </c>
      <c r="O180" s="136">
        <v>0</v>
      </c>
      <c r="P180" s="136">
        <v>0</v>
      </c>
      <c r="Q180" s="136">
        <v>0</v>
      </c>
      <c r="R180" s="136">
        <v>0</v>
      </c>
      <c r="S180" s="136">
        <v>0</v>
      </c>
      <c r="T180" s="136">
        <v>0</v>
      </c>
      <c r="U180" s="136">
        <v>0</v>
      </c>
      <c r="V180" s="136">
        <v>0</v>
      </c>
      <c r="W180" s="136">
        <v>0</v>
      </c>
      <c r="X180" s="683"/>
      <c r="Y180" s="838">
        <v>1</v>
      </c>
      <c r="Z180" s="139"/>
    </row>
    <row r="181" spans="1:26" hidden="1" x14ac:dyDescent="0.2">
      <c r="A181" s="746" t="s">
        <v>2599</v>
      </c>
      <c r="B181" s="758"/>
      <c r="C181" s="742" t="s">
        <v>1649</v>
      </c>
      <c r="D181" s="743" t="s">
        <v>305</v>
      </c>
      <c r="E181" s="744">
        <v>0</v>
      </c>
      <c r="F181" s="744">
        <v>0</v>
      </c>
      <c r="G181" s="744">
        <v>0</v>
      </c>
      <c r="H181" s="744">
        <v>0</v>
      </c>
      <c r="I181" s="744">
        <v>0</v>
      </c>
      <c r="J181" s="744">
        <v>0</v>
      </c>
      <c r="K181" s="744">
        <v>0</v>
      </c>
      <c r="L181" s="744">
        <v>0</v>
      </c>
      <c r="M181" s="744">
        <v>0</v>
      </c>
      <c r="N181" s="744">
        <v>7.648687145583058E-2</v>
      </c>
      <c r="O181" s="744">
        <v>0</v>
      </c>
      <c r="P181" s="744">
        <v>0</v>
      </c>
      <c r="Q181" s="744">
        <v>0</v>
      </c>
      <c r="R181" s="744">
        <v>0</v>
      </c>
      <c r="S181" s="744">
        <v>3.7813432234136905E-2</v>
      </c>
      <c r="T181" s="744">
        <v>0.88569969631003254</v>
      </c>
      <c r="U181" s="744">
        <v>0</v>
      </c>
      <c r="V181" s="744">
        <v>0</v>
      </c>
      <c r="W181" s="744">
        <v>0</v>
      </c>
      <c r="X181" s="744">
        <v>0</v>
      </c>
      <c r="Y181" s="836">
        <v>0.99999999999999989</v>
      </c>
      <c r="Z181" s="139"/>
    </row>
    <row r="182" spans="1:26" hidden="1" x14ac:dyDescent="0.2">
      <c r="A182" s="133" t="s">
        <v>2599</v>
      </c>
      <c r="B182" s="177"/>
      <c r="C182" s="183" t="s">
        <v>1995</v>
      </c>
      <c r="D182" s="184" t="s">
        <v>1996</v>
      </c>
      <c r="E182" s="136">
        <v>0</v>
      </c>
      <c r="F182" s="136">
        <v>0</v>
      </c>
      <c r="G182" s="136">
        <v>0</v>
      </c>
      <c r="H182" s="136">
        <v>0</v>
      </c>
      <c r="I182" s="136">
        <v>0</v>
      </c>
      <c r="J182" s="136">
        <v>0</v>
      </c>
      <c r="K182" s="136">
        <v>0</v>
      </c>
      <c r="L182" s="136">
        <v>1</v>
      </c>
      <c r="M182" s="136">
        <v>0</v>
      </c>
      <c r="N182" s="136">
        <v>0</v>
      </c>
      <c r="O182" s="136">
        <v>0</v>
      </c>
      <c r="P182" s="136">
        <v>0</v>
      </c>
      <c r="Q182" s="136">
        <v>0</v>
      </c>
      <c r="R182" s="136">
        <v>0</v>
      </c>
      <c r="S182" s="136">
        <v>0</v>
      </c>
      <c r="T182" s="136">
        <v>0</v>
      </c>
      <c r="U182" s="136">
        <v>0</v>
      </c>
      <c r="V182" s="136">
        <v>0</v>
      </c>
      <c r="W182" s="136">
        <v>0</v>
      </c>
      <c r="X182" s="136"/>
      <c r="Y182" s="839">
        <v>1</v>
      </c>
      <c r="Z182" s="139"/>
    </row>
    <row r="183" spans="1:26" hidden="1" x14ac:dyDescent="0.2">
      <c r="A183" s="741" t="s">
        <v>2599</v>
      </c>
      <c r="B183" s="759"/>
      <c r="C183" s="742" t="s">
        <v>1999</v>
      </c>
      <c r="D183" s="743" t="s">
        <v>2000</v>
      </c>
      <c r="E183" s="744">
        <v>0</v>
      </c>
      <c r="F183" s="744">
        <v>0.2373999308492247</v>
      </c>
      <c r="G183" s="744">
        <v>0.36070321019176044</v>
      </c>
      <c r="H183" s="744">
        <v>0</v>
      </c>
      <c r="I183" s="744">
        <v>0</v>
      </c>
      <c r="J183" s="744">
        <v>0</v>
      </c>
      <c r="K183" s="744">
        <v>0</v>
      </c>
      <c r="L183" s="744">
        <v>0</v>
      </c>
      <c r="M183" s="744">
        <v>0</v>
      </c>
      <c r="N183" s="744">
        <v>0</v>
      </c>
      <c r="O183" s="744">
        <v>0</v>
      </c>
      <c r="P183" s="744">
        <v>0.32249474720072341</v>
      </c>
      <c r="Q183" s="744">
        <v>0</v>
      </c>
      <c r="R183" s="744">
        <v>0</v>
      </c>
      <c r="S183" s="744">
        <v>7.9402111758291427E-2</v>
      </c>
      <c r="T183" s="744">
        <v>0</v>
      </c>
      <c r="U183" s="744">
        <v>0</v>
      </c>
      <c r="V183" s="744">
        <v>0</v>
      </c>
      <c r="W183" s="744">
        <v>0</v>
      </c>
      <c r="X183" s="744">
        <v>0</v>
      </c>
      <c r="Y183" s="836">
        <v>1</v>
      </c>
      <c r="Z183" s="139"/>
    </row>
    <row r="184" spans="1:26" hidden="1" x14ac:dyDescent="0.2">
      <c r="A184" s="133" t="s">
        <v>2599</v>
      </c>
      <c r="B184" s="177"/>
      <c r="C184" s="159" t="s">
        <v>1630</v>
      </c>
      <c r="D184" s="160" t="s">
        <v>1631</v>
      </c>
      <c r="E184" s="136">
        <v>0</v>
      </c>
      <c r="F184" s="136">
        <v>0</v>
      </c>
      <c r="G184" s="136">
        <v>0</v>
      </c>
      <c r="H184" s="136">
        <v>0</v>
      </c>
      <c r="I184" s="136">
        <v>0</v>
      </c>
      <c r="J184" s="136">
        <v>0</v>
      </c>
      <c r="K184" s="136">
        <v>0</v>
      </c>
      <c r="L184" s="136">
        <v>0</v>
      </c>
      <c r="M184" s="136">
        <v>0</v>
      </c>
      <c r="N184" s="136">
        <v>0</v>
      </c>
      <c r="O184" s="136">
        <v>0</v>
      </c>
      <c r="P184" s="136">
        <v>0</v>
      </c>
      <c r="Q184" s="136">
        <v>0</v>
      </c>
      <c r="R184" s="136">
        <v>0</v>
      </c>
      <c r="S184" s="136">
        <v>1</v>
      </c>
      <c r="T184" s="136">
        <v>0</v>
      </c>
      <c r="U184" s="136">
        <v>0</v>
      </c>
      <c r="V184" s="136">
        <v>0</v>
      </c>
      <c r="W184" s="136">
        <v>0</v>
      </c>
      <c r="X184" s="683"/>
      <c r="Y184" s="840">
        <v>1</v>
      </c>
      <c r="Z184" s="139"/>
    </row>
    <row r="185" spans="1:26" hidden="1" x14ac:dyDescent="0.2">
      <c r="A185" s="133" t="s">
        <v>2599</v>
      </c>
      <c r="B185" s="177"/>
      <c r="C185" s="141" t="s">
        <v>1303</v>
      </c>
      <c r="D185" s="142" t="s">
        <v>1304</v>
      </c>
      <c r="E185" s="136">
        <v>0</v>
      </c>
      <c r="F185" s="136">
        <v>0.17820349169537178</v>
      </c>
      <c r="G185" s="136">
        <v>0.46979740997177505</v>
      </c>
      <c r="H185" s="136">
        <v>0</v>
      </c>
      <c r="I185" s="136">
        <v>0</v>
      </c>
      <c r="J185" s="136">
        <v>0</v>
      </c>
      <c r="K185" s="136">
        <v>0</v>
      </c>
      <c r="L185" s="136">
        <v>0</v>
      </c>
      <c r="M185" s="136">
        <v>0</v>
      </c>
      <c r="N185" s="136">
        <v>0.15579986062557954</v>
      </c>
      <c r="O185" s="136">
        <v>0</v>
      </c>
      <c r="P185" s="136">
        <v>0</v>
      </c>
      <c r="Q185" s="136">
        <v>0</v>
      </c>
      <c r="R185" s="136">
        <v>0</v>
      </c>
      <c r="S185" s="136">
        <v>0.19619923770727371</v>
      </c>
      <c r="T185" s="136">
        <v>0</v>
      </c>
      <c r="U185" s="136">
        <v>0</v>
      </c>
      <c r="V185" s="136">
        <v>0</v>
      </c>
      <c r="W185" s="136">
        <v>0</v>
      </c>
      <c r="X185" s="136"/>
      <c r="Y185" s="835">
        <v>1</v>
      </c>
      <c r="Z185" s="139"/>
    </row>
    <row r="186" spans="1:26" hidden="1" x14ac:dyDescent="0.2">
      <c r="A186" s="746" t="s">
        <v>2599</v>
      </c>
      <c r="B186" s="758"/>
      <c r="C186" s="742" t="s">
        <v>1646</v>
      </c>
      <c r="D186" s="743" t="s">
        <v>1647</v>
      </c>
      <c r="E186" s="744">
        <v>0</v>
      </c>
      <c r="F186" s="744">
        <v>0</v>
      </c>
      <c r="G186" s="744">
        <v>0</v>
      </c>
      <c r="H186" s="744">
        <v>0</v>
      </c>
      <c r="I186" s="744">
        <v>0</v>
      </c>
      <c r="J186" s="744">
        <v>0</v>
      </c>
      <c r="K186" s="744">
        <v>0</v>
      </c>
      <c r="L186" s="744">
        <v>0</v>
      </c>
      <c r="M186" s="744">
        <v>0</v>
      </c>
      <c r="N186" s="744">
        <v>0</v>
      </c>
      <c r="O186" s="744">
        <v>0</v>
      </c>
      <c r="P186" s="744">
        <v>0</v>
      </c>
      <c r="Q186" s="744">
        <v>0</v>
      </c>
      <c r="R186" s="744">
        <v>0</v>
      </c>
      <c r="S186" s="744">
        <v>1</v>
      </c>
      <c r="T186" s="744">
        <v>0</v>
      </c>
      <c r="U186" s="744">
        <v>0</v>
      </c>
      <c r="V186" s="744">
        <v>0</v>
      </c>
      <c r="W186" s="744">
        <v>0</v>
      </c>
      <c r="X186" s="744">
        <v>0</v>
      </c>
      <c r="Y186" s="836">
        <v>1</v>
      </c>
      <c r="Z186" s="139"/>
    </row>
    <row r="187" spans="1:26" hidden="1" x14ac:dyDescent="0.2">
      <c r="A187" s="133" t="s">
        <v>2599</v>
      </c>
      <c r="B187" s="177"/>
      <c r="C187" s="143" t="s">
        <v>2218</v>
      </c>
      <c r="D187" s="144" t="s">
        <v>476</v>
      </c>
      <c r="E187" s="136">
        <v>0</v>
      </c>
      <c r="F187" s="136">
        <v>0</v>
      </c>
      <c r="G187" s="136">
        <v>0</v>
      </c>
      <c r="H187" s="136">
        <v>1</v>
      </c>
      <c r="I187" s="136">
        <v>0</v>
      </c>
      <c r="J187" s="136">
        <v>0</v>
      </c>
      <c r="K187" s="136">
        <v>0</v>
      </c>
      <c r="L187" s="136">
        <v>0</v>
      </c>
      <c r="M187" s="136">
        <v>0</v>
      </c>
      <c r="N187" s="136">
        <v>0</v>
      </c>
      <c r="O187" s="136">
        <v>0</v>
      </c>
      <c r="P187" s="136">
        <v>0</v>
      </c>
      <c r="Q187" s="136">
        <v>0</v>
      </c>
      <c r="R187" s="136">
        <v>0</v>
      </c>
      <c r="S187" s="136">
        <v>0</v>
      </c>
      <c r="T187" s="136">
        <v>0</v>
      </c>
      <c r="U187" s="136">
        <v>0</v>
      </c>
      <c r="V187" s="136">
        <v>0</v>
      </c>
      <c r="W187" s="136">
        <v>0</v>
      </c>
      <c r="X187" s="136"/>
      <c r="Y187" s="836">
        <v>1</v>
      </c>
      <c r="Z187" s="139"/>
    </row>
    <row r="188" spans="1:26" hidden="1" x14ac:dyDescent="0.2">
      <c r="A188" s="746" t="s">
        <v>2599</v>
      </c>
      <c r="B188" s="758"/>
      <c r="C188" s="742" t="s">
        <v>2209</v>
      </c>
      <c r="D188" s="743" t="s">
        <v>589</v>
      </c>
      <c r="E188" s="745">
        <v>0.31017773461918163</v>
      </c>
      <c r="F188" s="745">
        <v>0</v>
      </c>
      <c r="G188" s="745">
        <v>0</v>
      </c>
      <c r="H188" s="745">
        <v>0.13864189454261708</v>
      </c>
      <c r="I188" s="745">
        <v>0</v>
      </c>
      <c r="J188" s="745">
        <v>0</v>
      </c>
      <c r="K188" s="745">
        <v>0</v>
      </c>
      <c r="L188" s="745">
        <v>0.55118037083820126</v>
      </c>
      <c r="M188" s="745">
        <v>0</v>
      </c>
      <c r="N188" s="745">
        <v>0</v>
      </c>
      <c r="O188" s="745">
        <v>0</v>
      </c>
      <c r="P188" s="745">
        <v>0</v>
      </c>
      <c r="Q188" s="745">
        <v>0</v>
      </c>
      <c r="R188" s="745">
        <v>0</v>
      </c>
      <c r="S188" s="745">
        <v>0</v>
      </c>
      <c r="T188" s="745">
        <v>0</v>
      </c>
      <c r="U188" s="745">
        <v>0</v>
      </c>
      <c r="V188" s="745">
        <v>0</v>
      </c>
      <c r="W188" s="745">
        <v>0</v>
      </c>
      <c r="X188" s="744">
        <v>0</v>
      </c>
      <c r="Y188" s="836">
        <v>1</v>
      </c>
      <c r="Z188" s="139"/>
    </row>
    <row r="189" spans="1:26" hidden="1" x14ac:dyDescent="0.2">
      <c r="A189" s="133" t="s">
        <v>2599</v>
      </c>
      <c r="B189" s="177"/>
      <c r="C189" s="134" t="s">
        <v>2223</v>
      </c>
      <c r="D189" s="161" t="s">
        <v>616</v>
      </c>
      <c r="E189" s="136">
        <v>0</v>
      </c>
      <c r="F189" s="136">
        <v>0</v>
      </c>
      <c r="G189" s="136">
        <v>0</v>
      </c>
      <c r="H189" s="136">
        <v>0</v>
      </c>
      <c r="I189" s="136">
        <v>0</v>
      </c>
      <c r="J189" s="136">
        <v>0</v>
      </c>
      <c r="K189" s="136">
        <v>0</v>
      </c>
      <c r="L189" s="136">
        <v>1</v>
      </c>
      <c r="M189" s="136">
        <v>0</v>
      </c>
      <c r="N189" s="136">
        <v>0</v>
      </c>
      <c r="O189" s="136">
        <v>0</v>
      </c>
      <c r="P189" s="136">
        <v>0</v>
      </c>
      <c r="Q189" s="136">
        <v>0</v>
      </c>
      <c r="R189" s="136">
        <v>0</v>
      </c>
      <c r="S189" s="136">
        <v>0</v>
      </c>
      <c r="T189" s="136">
        <v>0</v>
      </c>
      <c r="U189" s="136">
        <v>0</v>
      </c>
      <c r="V189" s="136">
        <v>0</v>
      </c>
      <c r="W189" s="136">
        <v>0</v>
      </c>
      <c r="X189" s="136"/>
      <c r="Y189" s="137">
        <v>1</v>
      </c>
      <c r="Z189" s="139"/>
    </row>
    <row r="190" spans="1:26" hidden="1" x14ac:dyDescent="0.2">
      <c r="A190" s="140" t="s">
        <v>2599</v>
      </c>
      <c r="B190" s="174"/>
      <c r="C190" s="141" t="s">
        <v>1305</v>
      </c>
      <c r="D190" s="142" t="s">
        <v>1306</v>
      </c>
      <c r="E190" s="136">
        <v>0</v>
      </c>
      <c r="F190" s="136">
        <v>3.804035756549127E-3</v>
      </c>
      <c r="G190" s="136">
        <v>8.3860925460696359E-2</v>
      </c>
      <c r="H190" s="136">
        <v>0</v>
      </c>
      <c r="I190" s="136">
        <v>0</v>
      </c>
      <c r="J190" s="136">
        <v>0</v>
      </c>
      <c r="K190" s="136">
        <v>0</v>
      </c>
      <c r="L190" s="136">
        <v>0</v>
      </c>
      <c r="M190" s="136">
        <v>0</v>
      </c>
      <c r="N190" s="136">
        <v>0.37512780309902088</v>
      </c>
      <c r="O190" s="136">
        <v>0</v>
      </c>
      <c r="P190" s="136">
        <v>9.1012330851985263E-2</v>
      </c>
      <c r="Q190" s="136">
        <v>1.1426465888670844E-2</v>
      </c>
      <c r="R190" s="136">
        <v>0</v>
      </c>
      <c r="S190" s="136">
        <v>0.18109707109101236</v>
      </c>
      <c r="T190" s="136">
        <v>0.25367136785206518</v>
      </c>
      <c r="U190" s="136">
        <v>0</v>
      </c>
      <c r="V190" s="136">
        <v>0</v>
      </c>
      <c r="W190" s="136">
        <v>0</v>
      </c>
      <c r="X190" s="136"/>
      <c r="Y190" s="835">
        <v>1</v>
      </c>
      <c r="Z190" s="139"/>
    </row>
    <row r="191" spans="1:26" hidden="1" x14ac:dyDescent="0.2">
      <c r="A191" s="150" t="s">
        <v>2599</v>
      </c>
      <c r="B191" s="177"/>
      <c r="C191" s="187" t="s">
        <v>1602</v>
      </c>
      <c r="D191" s="188" t="s">
        <v>1603</v>
      </c>
      <c r="E191" s="136">
        <v>0</v>
      </c>
      <c r="F191" s="136">
        <v>0</v>
      </c>
      <c r="G191" s="136">
        <v>0</v>
      </c>
      <c r="H191" s="136">
        <v>0</v>
      </c>
      <c r="I191" s="136">
        <v>0</v>
      </c>
      <c r="J191" s="136">
        <v>0</v>
      </c>
      <c r="K191" s="136">
        <v>0</v>
      </c>
      <c r="L191" s="136">
        <v>0</v>
      </c>
      <c r="M191" s="136">
        <v>0</v>
      </c>
      <c r="N191" s="136">
        <v>0</v>
      </c>
      <c r="O191" s="136">
        <v>0</v>
      </c>
      <c r="P191" s="136">
        <v>0</v>
      </c>
      <c r="Q191" s="136">
        <v>0</v>
      </c>
      <c r="R191" s="136">
        <v>0</v>
      </c>
      <c r="S191" s="136">
        <v>1</v>
      </c>
      <c r="T191" s="136">
        <v>0</v>
      </c>
      <c r="U191" s="136">
        <v>0</v>
      </c>
      <c r="V191" s="136">
        <v>0</v>
      </c>
      <c r="W191" s="136">
        <v>0</v>
      </c>
      <c r="X191" s="683"/>
      <c r="Y191" s="838">
        <v>1</v>
      </c>
      <c r="Z191" s="139"/>
    </row>
    <row r="192" spans="1:26" hidden="1" x14ac:dyDescent="0.2">
      <c r="A192" s="133" t="s">
        <v>2599</v>
      </c>
      <c r="B192" s="177"/>
      <c r="C192" s="143" t="s">
        <v>2210</v>
      </c>
      <c r="D192" s="144" t="s">
        <v>2211</v>
      </c>
      <c r="E192" s="136">
        <v>0</v>
      </c>
      <c r="F192" s="136">
        <v>0</v>
      </c>
      <c r="G192" s="136">
        <v>0</v>
      </c>
      <c r="H192" s="136">
        <v>0</v>
      </c>
      <c r="I192" s="136">
        <v>0</v>
      </c>
      <c r="J192" s="136">
        <v>0</v>
      </c>
      <c r="K192" s="136">
        <v>0</v>
      </c>
      <c r="L192" s="136">
        <v>1.5541373080605728E-2</v>
      </c>
      <c r="M192" s="136">
        <v>0</v>
      </c>
      <c r="N192" s="136">
        <v>0.98445862691939423</v>
      </c>
      <c r="O192" s="136">
        <v>0</v>
      </c>
      <c r="P192" s="136">
        <v>0</v>
      </c>
      <c r="Q192" s="136">
        <v>0</v>
      </c>
      <c r="R192" s="136">
        <v>0</v>
      </c>
      <c r="S192" s="136">
        <v>0</v>
      </c>
      <c r="T192" s="136">
        <v>0</v>
      </c>
      <c r="U192" s="136">
        <v>0</v>
      </c>
      <c r="V192" s="136">
        <v>0</v>
      </c>
      <c r="W192" s="136">
        <v>0</v>
      </c>
      <c r="X192" s="136"/>
      <c r="Y192" s="836">
        <v>1</v>
      </c>
      <c r="Z192" s="139"/>
    </row>
    <row r="193" spans="1:26" ht="22.5" hidden="1" x14ac:dyDescent="0.2">
      <c r="A193" s="189"/>
      <c r="B193" s="190"/>
      <c r="C193" s="191" t="s">
        <v>1321</v>
      </c>
      <c r="D193" s="192" t="s">
        <v>1322</v>
      </c>
      <c r="E193" s="193">
        <v>1</v>
      </c>
      <c r="F193" s="193">
        <v>0</v>
      </c>
      <c r="G193" s="193">
        <v>0</v>
      </c>
      <c r="H193" s="193">
        <v>0</v>
      </c>
      <c r="I193" s="193">
        <v>0</v>
      </c>
      <c r="J193" s="193">
        <v>0</v>
      </c>
      <c r="K193" s="193">
        <v>0</v>
      </c>
      <c r="L193" s="193">
        <v>0</v>
      </c>
      <c r="M193" s="193"/>
      <c r="N193" s="193">
        <v>0</v>
      </c>
      <c r="O193" s="193">
        <v>0</v>
      </c>
      <c r="P193" s="193">
        <v>0</v>
      </c>
      <c r="Q193" s="193">
        <v>0</v>
      </c>
      <c r="R193" s="193">
        <v>0</v>
      </c>
      <c r="S193" s="193">
        <v>0</v>
      </c>
      <c r="T193" s="193">
        <v>0</v>
      </c>
      <c r="U193" s="193">
        <v>0</v>
      </c>
      <c r="V193" s="193"/>
      <c r="W193" s="193"/>
      <c r="X193" s="193"/>
      <c r="Y193" s="843">
        <v>1</v>
      </c>
      <c r="Z193" s="139"/>
    </row>
    <row r="194" spans="1:26" hidden="1" x14ac:dyDescent="0.2">
      <c r="A194" s="190"/>
      <c r="B194" s="190"/>
      <c r="C194" s="195" t="s">
        <v>1650</v>
      </c>
      <c r="D194" s="196" t="s">
        <v>1651</v>
      </c>
      <c r="E194" s="197">
        <v>0</v>
      </c>
      <c r="F194" s="197">
        <v>2.3973481747018191E-3</v>
      </c>
      <c r="G194" s="197">
        <v>1.0456873577219141E-2</v>
      </c>
      <c r="H194" s="197">
        <v>0</v>
      </c>
      <c r="I194" s="197">
        <v>0</v>
      </c>
      <c r="J194" s="197">
        <v>0</v>
      </c>
      <c r="K194" s="197">
        <v>0</v>
      </c>
      <c r="L194" s="197">
        <v>0</v>
      </c>
      <c r="M194" s="197">
        <v>0</v>
      </c>
      <c r="N194" s="197">
        <v>0.11638921678964295</v>
      </c>
      <c r="O194" s="197">
        <v>7.2813949306079501E-3</v>
      </c>
      <c r="P194" s="197">
        <v>5.1445289395439013E-2</v>
      </c>
      <c r="Q194" s="197">
        <v>2.1375766435450874E-3</v>
      </c>
      <c r="R194" s="197">
        <v>0</v>
      </c>
      <c r="S194" s="197">
        <v>3.4276961155078604E-2</v>
      </c>
      <c r="T194" s="197">
        <v>0.77561533933376547</v>
      </c>
      <c r="U194" s="197">
        <v>0</v>
      </c>
      <c r="V194" s="197">
        <v>0</v>
      </c>
      <c r="W194" s="197">
        <v>0</v>
      </c>
      <c r="X194" s="197"/>
      <c r="Y194" s="844">
        <v>1</v>
      </c>
      <c r="Z194" s="139"/>
    </row>
    <row r="195" spans="1:26" hidden="1" x14ac:dyDescent="0.2">
      <c r="A195" s="198"/>
      <c r="B195" s="198"/>
      <c r="C195" s="191" t="s">
        <v>1323</v>
      </c>
      <c r="D195" s="192" t="s">
        <v>1324</v>
      </c>
      <c r="E195" s="193">
        <v>0</v>
      </c>
      <c r="F195" s="193">
        <v>0</v>
      </c>
      <c r="G195" s="193">
        <v>0</v>
      </c>
      <c r="H195" s="193">
        <v>0</v>
      </c>
      <c r="I195" s="193">
        <v>0</v>
      </c>
      <c r="J195" s="193">
        <v>0</v>
      </c>
      <c r="K195" s="193">
        <v>0</v>
      </c>
      <c r="L195" s="193">
        <v>0</v>
      </c>
      <c r="M195" s="193"/>
      <c r="N195" s="193">
        <v>0.92217898832684819</v>
      </c>
      <c r="O195" s="193">
        <v>0</v>
      </c>
      <c r="P195" s="193">
        <v>0</v>
      </c>
      <c r="Q195" s="193">
        <v>0</v>
      </c>
      <c r="R195" s="193">
        <v>0</v>
      </c>
      <c r="S195" s="193">
        <v>7.7821011673151752E-2</v>
      </c>
      <c r="T195" s="193">
        <v>0</v>
      </c>
      <c r="U195" s="193">
        <v>0</v>
      </c>
      <c r="V195" s="193"/>
      <c r="W195" s="193"/>
      <c r="X195" s="193"/>
      <c r="Y195" s="843">
        <v>1</v>
      </c>
      <c r="Z195" s="139"/>
    </row>
    <row r="196" spans="1:26" hidden="1" x14ac:dyDescent="0.2">
      <c r="A196" s="190"/>
      <c r="B196" s="190"/>
      <c r="C196" s="199" t="s">
        <v>1325</v>
      </c>
      <c r="D196" s="200" t="s">
        <v>1326</v>
      </c>
      <c r="E196" s="201">
        <v>0</v>
      </c>
      <c r="F196" s="201">
        <v>0</v>
      </c>
      <c r="G196" s="201">
        <v>0</v>
      </c>
      <c r="H196" s="201">
        <v>0</v>
      </c>
      <c r="I196" s="201">
        <v>0</v>
      </c>
      <c r="J196" s="201">
        <v>0</v>
      </c>
      <c r="K196" s="201">
        <v>0</v>
      </c>
      <c r="L196" s="201">
        <v>0</v>
      </c>
      <c r="M196" s="201"/>
      <c r="N196" s="201">
        <v>0.22</v>
      </c>
      <c r="O196" s="201">
        <v>0</v>
      </c>
      <c r="P196" s="201">
        <v>0.01</v>
      </c>
      <c r="Q196" s="201">
        <v>0</v>
      </c>
      <c r="R196" s="201">
        <v>0</v>
      </c>
      <c r="S196" s="201">
        <v>7.0000000000000007E-2</v>
      </c>
      <c r="T196" s="201">
        <v>0.7</v>
      </c>
      <c r="U196" s="201">
        <v>0</v>
      </c>
      <c r="V196" s="201"/>
      <c r="W196" s="201"/>
      <c r="X196" s="201"/>
      <c r="Y196" s="845">
        <v>1</v>
      </c>
      <c r="Z196" s="139"/>
    </row>
    <row r="197" spans="1:26" hidden="1" x14ac:dyDescent="0.2">
      <c r="A197" s="190"/>
      <c r="B197" s="190"/>
      <c r="C197" s="191" t="s">
        <v>1018</v>
      </c>
      <c r="D197" s="192" t="s">
        <v>1327</v>
      </c>
      <c r="E197" s="193">
        <v>0</v>
      </c>
      <c r="F197" s="193">
        <v>0</v>
      </c>
      <c r="G197" s="193">
        <v>0</v>
      </c>
      <c r="H197" s="193">
        <v>0</v>
      </c>
      <c r="I197" s="193">
        <v>0</v>
      </c>
      <c r="J197" s="193">
        <v>0</v>
      </c>
      <c r="K197" s="193">
        <v>0</v>
      </c>
      <c r="L197" s="193">
        <v>0</v>
      </c>
      <c r="M197" s="193"/>
      <c r="N197" s="193">
        <v>0</v>
      </c>
      <c r="O197" s="193">
        <v>0</v>
      </c>
      <c r="P197" s="193">
        <v>0</v>
      </c>
      <c r="Q197" s="193">
        <v>0</v>
      </c>
      <c r="R197" s="193">
        <v>0</v>
      </c>
      <c r="S197" s="193">
        <v>1</v>
      </c>
      <c r="T197" s="193">
        <v>0</v>
      </c>
      <c r="U197" s="193">
        <v>0</v>
      </c>
      <c r="V197" s="193"/>
      <c r="W197" s="193"/>
      <c r="X197" s="193"/>
      <c r="Y197" s="843">
        <v>1</v>
      </c>
      <c r="Z197" s="139"/>
    </row>
    <row r="198" spans="1:26" hidden="1" x14ac:dyDescent="0.2">
      <c r="A198" s="190"/>
      <c r="B198" s="190"/>
      <c r="C198" s="202" t="s">
        <v>1103</v>
      </c>
      <c r="D198" s="203" t="s">
        <v>1104</v>
      </c>
      <c r="E198" s="204">
        <v>0</v>
      </c>
      <c r="F198" s="204">
        <v>0</v>
      </c>
      <c r="G198" s="204">
        <v>0</v>
      </c>
      <c r="H198" s="204">
        <v>0</v>
      </c>
      <c r="I198" s="204">
        <v>0</v>
      </c>
      <c r="J198" s="204">
        <v>0</v>
      </c>
      <c r="K198" s="204">
        <v>0</v>
      </c>
      <c r="L198" s="204">
        <v>0</v>
      </c>
      <c r="M198" s="204">
        <v>0</v>
      </c>
      <c r="N198" s="204">
        <v>0.77955345057885095</v>
      </c>
      <c r="O198" s="204">
        <v>0</v>
      </c>
      <c r="P198" s="204">
        <v>7.1439116241753725E-2</v>
      </c>
      <c r="Q198" s="204">
        <v>0</v>
      </c>
      <c r="R198" s="204">
        <v>0</v>
      </c>
      <c r="S198" s="204">
        <v>0.12680617709753253</v>
      </c>
      <c r="T198" s="204">
        <v>2.2201256081862731E-2</v>
      </c>
      <c r="U198" s="204">
        <v>0</v>
      </c>
      <c r="V198" s="204">
        <v>0</v>
      </c>
      <c r="W198" s="204">
        <v>0</v>
      </c>
      <c r="X198" s="204"/>
      <c r="Y198" s="846">
        <v>0.99999999999999989</v>
      </c>
      <c r="Z198" s="139"/>
    </row>
    <row r="199" spans="1:26" hidden="1" x14ac:dyDescent="0.2">
      <c r="A199" s="198"/>
      <c r="B199" s="198"/>
      <c r="C199" s="205" t="s">
        <v>1652</v>
      </c>
      <c r="D199" s="206" t="s">
        <v>1653</v>
      </c>
      <c r="E199" s="207">
        <v>0</v>
      </c>
      <c r="F199" s="207">
        <v>2.7054782049168924E-3</v>
      </c>
      <c r="G199" s="207">
        <v>1.4917921092208306E-2</v>
      </c>
      <c r="H199" s="207">
        <v>0</v>
      </c>
      <c r="I199" s="207">
        <v>0</v>
      </c>
      <c r="J199" s="207">
        <v>1.0757827427542697E-2</v>
      </c>
      <c r="K199" s="207">
        <v>0</v>
      </c>
      <c r="L199" s="207">
        <v>0</v>
      </c>
      <c r="M199" s="207">
        <v>0</v>
      </c>
      <c r="N199" s="207">
        <v>0.48687528280281112</v>
      </c>
      <c r="O199" s="207">
        <v>2.4458646462356733E-2</v>
      </c>
      <c r="P199" s="207">
        <v>0.24837353668291912</v>
      </c>
      <c r="Q199" s="207">
        <v>2.3901864267225514E-2</v>
      </c>
      <c r="R199" s="207">
        <v>0</v>
      </c>
      <c r="S199" s="207">
        <v>0.18800944306001954</v>
      </c>
      <c r="T199" s="207">
        <v>0</v>
      </c>
      <c r="U199" s="207">
        <v>0</v>
      </c>
      <c r="V199" s="207">
        <v>0</v>
      </c>
      <c r="W199" s="207">
        <v>0</v>
      </c>
      <c r="X199" s="207"/>
      <c r="Y199" s="193">
        <v>0.99999999999999989</v>
      </c>
      <c r="Z199" s="139"/>
    </row>
    <row r="200" spans="1:26" hidden="1" x14ac:dyDescent="0.2">
      <c r="A200" s="198"/>
      <c r="B200" s="198"/>
      <c r="C200" s="191" t="s">
        <v>1328</v>
      </c>
      <c r="D200" s="192" t="s">
        <v>1329</v>
      </c>
      <c r="E200" s="193">
        <v>0</v>
      </c>
      <c r="F200" s="193">
        <v>0</v>
      </c>
      <c r="G200" s="193">
        <v>3.7037037037037035E-2</v>
      </c>
      <c r="H200" s="193">
        <v>0</v>
      </c>
      <c r="I200" s="193">
        <v>0</v>
      </c>
      <c r="J200" s="193">
        <v>0</v>
      </c>
      <c r="K200" s="193">
        <v>0</v>
      </c>
      <c r="L200" s="193">
        <v>0</v>
      </c>
      <c r="M200" s="193"/>
      <c r="N200" s="193">
        <v>0.63333333333333341</v>
      </c>
      <c r="O200" s="193">
        <v>0</v>
      </c>
      <c r="P200" s="193">
        <v>0</v>
      </c>
      <c r="Q200" s="193">
        <v>0</v>
      </c>
      <c r="R200" s="193">
        <v>0</v>
      </c>
      <c r="S200" s="193">
        <v>0.18518518518518517</v>
      </c>
      <c r="T200" s="193">
        <v>0.14444444444444443</v>
      </c>
      <c r="U200" s="193">
        <v>0</v>
      </c>
      <c r="V200" s="193"/>
      <c r="W200" s="193"/>
      <c r="X200" s="193"/>
      <c r="Y200" s="843">
        <v>1</v>
      </c>
      <c r="Z200" s="139"/>
    </row>
    <row r="201" spans="1:26" hidden="1" x14ac:dyDescent="0.2">
      <c r="A201" s="190"/>
      <c r="B201" s="190"/>
      <c r="C201" s="208" t="s">
        <v>1654</v>
      </c>
      <c r="D201" s="209" t="s">
        <v>1655</v>
      </c>
      <c r="E201" s="201">
        <v>0</v>
      </c>
      <c r="F201" s="201">
        <v>2.4671970640988855E-3</v>
      </c>
      <c r="G201" s="201">
        <v>2.6329082376842519E-2</v>
      </c>
      <c r="H201" s="201">
        <v>0</v>
      </c>
      <c r="I201" s="201">
        <v>0</v>
      </c>
      <c r="J201" s="201">
        <v>1.383565598425014E-2</v>
      </c>
      <c r="K201" s="201">
        <v>0</v>
      </c>
      <c r="L201" s="201">
        <v>0</v>
      </c>
      <c r="M201" s="201">
        <v>0</v>
      </c>
      <c r="N201" s="201">
        <v>0.19251708749126764</v>
      </c>
      <c r="O201" s="201">
        <v>0</v>
      </c>
      <c r="P201" s="201">
        <v>2.2513018487034936E-2</v>
      </c>
      <c r="Q201" s="201">
        <v>0</v>
      </c>
      <c r="R201" s="201">
        <v>0</v>
      </c>
      <c r="S201" s="201">
        <v>5.7670624646570315E-2</v>
      </c>
      <c r="T201" s="201">
        <v>0.68466733394993562</v>
      </c>
      <c r="U201" s="201">
        <v>0</v>
      </c>
      <c r="V201" s="201">
        <v>0</v>
      </c>
      <c r="W201" s="201">
        <v>0</v>
      </c>
      <c r="X201" s="201"/>
      <c r="Y201" s="201">
        <v>1</v>
      </c>
      <c r="Z201" s="139"/>
    </row>
    <row r="202" spans="1:26" hidden="1" x14ac:dyDescent="0.2">
      <c r="A202" s="190"/>
      <c r="B202" s="190"/>
      <c r="C202" s="205" t="s">
        <v>1656</v>
      </c>
      <c r="D202" s="206" t="s">
        <v>1657</v>
      </c>
      <c r="E202" s="207">
        <v>0</v>
      </c>
      <c r="F202" s="207">
        <v>3.2134964899670029E-3</v>
      </c>
      <c r="G202" s="207">
        <v>1.1197306716915814E-2</v>
      </c>
      <c r="H202" s="207">
        <v>0</v>
      </c>
      <c r="I202" s="207">
        <v>0</v>
      </c>
      <c r="J202" s="207">
        <v>1.4434993340755455E-2</v>
      </c>
      <c r="K202" s="207">
        <v>0</v>
      </c>
      <c r="L202" s="207">
        <v>0</v>
      </c>
      <c r="M202" s="207">
        <v>0</v>
      </c>
      <c r="N202" s="207">
        <v>0.1405295142010155</v>
      </c>
      <c r="O202" s="207">
        <v>8.7187871416602985E-3</v>
      </c>
      <c r="P202" s="207">
        <v>0.16146745943355034</v>
      </c>
      <c r="Q202" s="207">
        <v>4.8110678005472765E-3</v>
      </c>
      <c r="R202" s="207">
        <v>0</v>
      </c>
      <c r="S202" s="207">
        <v>3.1192577687203252E-2</v>
      </c>
      <c r="T202" s="207">
        <v>0.62178650332156393</v>
      </c>
      <c r="U202" s="207">
        <v>2.6482938668212852E-3</v>
      </c>
      <c r="V202" s="207">
        <v>0</v>
      </c>
      <c r="W202" s="207">
        <v>0</v>
      </c>
      <c r="X202" s="207"/>
      <c r="Y202" s="193">
        <v>1.0000000000000002</v>
      </c>
      <c r="Z202" s="139"/>
    </row>
    <row r="203" spans="1:26" ht="22.5" hidden="1" x14ac:dyDescent="0.2">
      <c r="A203" s="190"/>
      <c r="B203" s="190"/>
      <c r="C203" s="191" t="s">
        <v>1330</v>
      </c>
      <c r="D203" s="192" t="s">
        <v>1331</v>
      </c>
      <c r="E203" s="193">
        <v>0</v>
      </c>
      <c r="F203" s="193">
        <v>0</v>
      </c>
      <c r="G203" s="193">
        <v>2.2832787883400561E-2</v>
      </c>
      <c r="H203" s="193">
        <v>0</v>
      </c>
      <c r="I203" s="193">
        <v>0</v>
      </c>
      <c r="J203" s="193">
        <v>3.4249181825100845E-2</v>
      </c>
      <c r="K203" s="193">
        <v>0</v>
      </c>
      <c r="L203" s="193">
        <v>0</v>
      </c>
      <c r="M203" s="193"/>
      <c r="N203" s="193">
        <v>0.66321637871984163</v>
      </c>
      <c r="O203" s="193">
        <v>1.3319126265316993E-2</v>
      </c>
      <c r="P203" s="193">
        <v>0.11796940406423624</v>
      </c>
      <c r="Q203" s="193">
        <v>7.6109292944668543E-3</v>
      </c>
      <c r="R203" s="193">
        <v>0</v>
      </c>
      <c r="S203" s="193">
        <v>0.1408021919476368</v>
      </c>
      <c r="T203" s="193">
        <v>0</v>
      </c>
      <c r="U203" s="193">
        <v>0</v>
      </c>
      <c r="V203" s="193"/>
      <c r="W203" s="193"/>
      <c r="X203" s="193"/>
      <c r="Y203" s="843">
        <v>0.99999999999999989</v>
      </c>
      <c r="Z203" s="139"/>
    </row>
    <row r="204" spans="1:26" hidden="1" x14ac:dyDescent="0.2">
      <c r="A204" s="190"/>
      <c r="B204" s="190"/>
      <c r="C204" s="210" t="s">
        <v>1332</v>
      </c>
      <c r="D204" s="211" t="s">
        <v>1333</v>
      </c>
      <c r="E204" s="212">
        <v>0</v>
      </c>
      <c r="F204" s="212">
        <v>0</v>
      </c>
      <c r="G204" s="212">
        <v>1</v>
      </c>
      <c r="H204" s="212">
        <v>0</v>
      </c>
      <c r="I204" s="212">
        <v>0</v>
      </c>
      <c r="J204" s="212">
        <v>0</v>
      </c>
      <c r="K204" s="212">
        <v>0</v>
      </c>
      <c r="L204" s="212">
        <v>0</v>
      </c>
      <c r="M204" s="212">
        <v>0</v>
      </c>
      <c r="N204" s="212">
        <v>0</v>
      </c>
      <c r="O204" s="212">
        <v>0</v>
      </c>
      <c r="P204" s="212">
        <v>0</v>
      </c>
      <c r="Q204" s="212">
        <v>0</v>
      </c>
      <c r="R204" s="212">
        <v>0</v>
      </c>
      <c r="S204" s="212">
        <v>0</v>
      </c>
      <c r="T204" s="212">
        <v>0</v>
      </c>
      <c r="U204" s="212">
        <v>0</v>
      </c>
      <c r="V204" s="212">
        <v>0</v>
      </c>
      <c r="W204" s="213">
        <v>0</v>
      </c>
      <c r="X204" s="213"/>
      <c r="Y204" s="847">
        <v>1</v>
      </c>
      <c r="Z204" s="139"/>
    </row>
    <row r="205" spans="1:26" hidden="1" x14ac:dyDescent="0.2">
      <c r="A205" s="198"/>
      <c r="B205" s="198"/>
      <c r="C205" s="214" t="s">
        <v>1106</v>
      </c>
      <c r="D205" s="215" t="s">
        <v>1107</v>
      </c>
      <c r="E205" s="193">
        <v>0</v>
      </c>
      <c r="F205" s="193">
        <v>0</v>
      </c>
      <c r="G205" s="193">
        <v>0</v>
      </c>
      <c r="H205" s="193">
        <v>0</v>
      </c>
      <c r="I205" s="193">
        <v>0</v>
      </c>
      <c r="J205" s="193">
        <v>0</v>
      </c>
      <c r="K205" s="193">
        <v>0</v>
      </c>
      <c r="L205" s="193">
        <v>0</v>
      </c>
      <c r="M205" s="193">
        <v>0</v>
      </c>
      <c r="N205" s="193">
        <v>0.4713483146067417</v>
      </c>
      <c r="O205" s="193">
        <v>5.0561797752808994E-3</v>
      </c>
      <c r="P205" s="193">
        <v>1.0674157303370789E-2</v>
      </c>
      <c r="Q205" s="193">
        <v>1.6853932584269665E-3</v>
      </c>
      <c r="R205" s="193">
        <v>0</v>
      </c>
      <c r="S205" s="193">
        <v>0.5112359550561798</v>
      </c>
      <c r="T205" s="193">
        <v>0</v>
      </c>
      <c r="U205" s="193">
        <v>0</v>
      </c>
      <c r="V205" s="193"/>
      <c r="W205" s="193"/>
      <c r="X205" s="193"/>
      <c r="Y205" s="843">
        <v>1.0000000000000002</v>
      </c>
      <c r="Z205" s="139"/>
    </row>
    <row r="206" spans="1:26" hidden="1" x14ac:dyDescent="0.2">
      <c r="A206" s="190"/>
      <c r="B206" s="190"/>
      <c r="C206" s="216" t="s">
        <v>1334</v>
      </c>
      <c r="D206" s="217" t="s">
        <v>1335</v>
      </c>
      <c r="E206" s="218">
        <v>0</v>
      </c>
      <c r="F206" s="218">
        <v>0</v>
      </c>
      <c r="G206" s="218">
        <v>5.8139534883720922E-2</v>
      </c>
      <c r="H206" s="218">
        <v>0</v>
      </c>
      <c r="I206" s="218">
        <v>0</v>
      </c>
      <c r="J206" s="218">
        <v>0</v>
      </c>
      <c r="K206" s="218">
        <v>0</v>
      </c>
      <c r="L206" s="218">
        <v>0</v>
      </c>
      <c r="M206" s="218"/>
      <c r="N206" s="218">
        <v>0.62976744186046507</v>
      </c>
      <c r="O206" s="218">
        <v>0</v>
      </c>
      <c r="P206" s="218">
        <v>2.13953488372093E-2</v>
      </c>
      <c r="Q206" s="218">
        <v>0</v>
      </c>
      <c r="R206" s="218">
        <v>0</v>
      </c>
      <c r="S206" s="218">
        <v>0.2674418604651162</v>
      </c>
      <c r="T206" s="218">
        <v>2.3255813953488368E-2</v>
      </c>
      <c r="U206" s="218">
        <v>0</v>
      </c>
      <c r="V206" s="218"/>
      <c r="W206" s="218"/>
      <c r="X206" s="218"/>
      <c r="Y206" s="848">
        <v>0.99999999999999989</v>
      </c>
      <c r="Z206" s="139"/>
    </row>
    <row r="207" spans="1:26" hidden="1" x14ac:dyDescent="0.2">
      <c r="A207" s="198"/>
      <c r="B207" s="198"/>
      <c r="C207" s="205" t="s">
        <v>1658</v>
      </c>
      <c r="D207" s="206" t="s">
        <v>1659</v>
      </c>
      <c r="E207" s="207">
        <v>0</v>
      </c>
      <c r="F207" s="207">
        <v>0</v>
      </c>
      <c r="G207" s="207">
        <v>6.3148630329293937E-2</v>
      </c>
      <c r="H207" s="207">
        <v>0</v>
      </c>
      <c r="I207" s="207">
        <v>0</v>
      </c>
      <c r="J207" s="207">
        <v>0.14471035088955053</v>
      </c>
      <c r="K207" s="207">
        <v>0</v>
      </c>
      <c r="L207" s="207">
        <v>0</v>
      </c>
      <c r="M207" s="207">
        <v>0</v>
      </c>
      <c r="N207" s="207">
        <v>0.36035159222101498</v>
      </c>
      <c r="O207" s="207">
        <v>8.39540967011672E-2</v>
      </c>
      <c r="P207" s="207">
        <v>0.24249976435372583</v>
      </c>
      <c r="Q207" s="207">
        <v>1.9902802022806618E-2</v>
      </c>
      <c r="R207" s="207">
        <v>0</v>
      </c>
      <c r="S207" s="207">
        <v>8.5432763482440874E-2</v>
      </c>
      <c r="T207" s="207">
        <v>0</v>
      </c>
      <c r="U207" s="207">
        <v>0</v>
      </c>
      <c r="V207" s="207">
        <v>0</v>
      </c>
      <c r="W207" s="207">
        <v>0</v>
      </c>
      <c r="X207" s="207"/>
      <c r="Y207" s="193">
        <v>1</v>
      </c>
      <c r="Z207" s="139"/>
    </row>
    <row r="208" spans="1:26" hidden="1" x14ac:dyDescent="0.2">
      <c r="A208" s="746" t="s">
        <v>2599</v>
      </c>
      <c r="B208" s="746"/>
      <c r="C208" s="763" t="s">
        <v>1336</v>
      </c>
      <c r="D208" s="764" t="s">
        <v>1337</v>
      </c>
      <c r="E208" s="744">
        <v>0</v>
      </c>
      <c r="F208" s="744">
        <v>3.3436576688189022E-2</v>
      </c>
      <c r="G208" s="744">
        <v>2.9457106817357828E-2</v>
      </c>
      <c r="H208" s="744">
        <v>0</v>
      </c>
      <c r="I208" s="744">
        <v>0</v>
      </c>
      <c r="J208" s="744">
        <v>0</v>
      </c>
      <c r="K208" s="744">
        <v>0</v>
      </c>
      <c r="L208" s="744">
        <v>0</v>
      </c>
      <c r="M208" s="744">
        <v>0</v>
      </c>
      <c r="N208" s="744">
        <v>0.45365293763107484</v>
      </c>
      <c r="O208" s="744">
        <v>0</v>
      </c>
      <c r="P208" s="744">
        <v>0.17708440281895144</v>
      </c>
      <c r="Q208" s="744">
        <v>0</v>
      </c>
      <c r="R208" s="744">
        <v>0</v>
      </c>
      <c r="S208" s="744">
        <v>0.25253477750158709</v>
      </c>
      <c r="T208" s="744">
        <v>5.3834198542839808E-2</v>
      </c>
      <c r="U208" s="744">
        <v>0</v>
      </c>
      <c r="V208" s="744">
        <v>0</v>
      </c>
      <c r="W208" s="744">
        <v>0</v>
      </c>
      <c r="X208" s="744">
        <v>0</v>
      </c>
      <c r="Y208" s="220">
        <v>1.0000000000000002</v>
      </c>
      <c r="Z208" s="139"/>
    </row>
    <row r="209" spans="1:26" hidden="1" x14ac:dyDescent="0.2">
      <c r="A209" s="198"/>
      <c r="B209" s="198"/>
      <c r="C209" s="205" t="s">
        <v>1660</v>
      </c>
      <c r="D209" s="206" t="s">
        <v>1661</v>
      </c>
      <c r="E209" s="193">
        <v>0</v>
      </c>
      <c r="F209" s="193">
        <v>1.2336582040919629E-2</v>
      </c>
      <c r="G209" s="193">
        <v>3.0319466646596238E-2</v>
      </c>
      <c r="H209" s="193">
        <v>0</v>
      </c>
      <c r="I209" s="193">
        <v>4.1116776153215465E-3</v>
      </c>
      <c r="J209" s="193">
        <v>3.6138709326094025E-2</v>
      </c>
      <c r="K209" s="193">
        <v>0</v>
      </c>
      <c r="L209" s="193">
        <v>0</v>
      </c>
      <c r="M209" s="193">
        <v>0</v>
      </c>
      <c r="N209" s="193">
        <v>0.37420103211292716</v>
      </c>
      <c r="O209" s="193">
        <v>3.8679471356690323E-2</v>
      </c>
      <c r="P209" s="193">
        <v>0.19555511687556512</v>
      </c>
      <c r="Q209" s="193">
        <v>1.188979689848284E-2</v>
      </c>
      <c r="R209" s="193">
        <v>0</v>
      </c>
      <c r="S209" s="193">
        <v>0.12868963788053348</v>
      </c>
      <c r="T209" s="193">
        <v>0.16807850924686951</v>
      </c>
      <c r="U209" s="193">
        <v>0</v>
      </c>
      <c r="V209" s="193">
        <v>0</v>
      </c>
      <c r="W209" s="193">
        <v>0</v>
      </c>
      <c r="X209" s="193"/>
      <c r="Y209" s="193">
        <v>0.99999999999999978</v>
      </c>
      <c r="Z209" s="139"/>
    </row>
    <row r="210" spans="1:26" hidden="1" x14ac:dyDescent="0.2">
      <c r="A210" s="190"/>
      <c r="B210" s="190"/>
      <c r="C210" s="199" t="s">
        <v>1338</v>
      </c>
      <c r="D210" s="200" t="s">
        <v>1339</v>
      </c>
      <c r="E210" s="201">
        <v>0</v>
      </c>
      <c r="F210" s="201">
        <v>0</v>
      </c>
      <c r="G210" s="201">
        <v>6.25E-2</v>
      </c>
      <c r="H210" s="201">
        <v>0</v>
      </c>
      <c r="I210" s="201">
        <v>0</v>
      </c>
      <c r="J210" s="201">
        <v>1.2500000000000001E-2</v>
      </c>
      <c r="K210" s="201">
        <v>0</v>
      </c>
      <c r="L210" s="201">
        <v>0</v>
      </c>
      <c r="M210" s="201"/>
      <c r="N210" s="201">
        <v>0.52337500000000003</v>
      </c>
      <c r="O210" s="201">
        <v>2.4750000000000001E-2</v>
      </c>
      <c r="P210" s="201">
        <v>8.5625000000000007E-2</v>
      </c>
      <c r="Q210" s="201">
        <v>3.7499999999999999E-3</v>
      </c>
      <c r="R210" s="201">
        <v>0</v>
      </c>
      <c r="S210" s="201">
        <v>0.19375000000000001</v>
      </c>
      <c r="T210" s="201">
        <v>9.375E-2</v>
      </c>
      <c r="U210" s="201">
        <v>0</v>
      </c>
      <c r="V210" s="201"/>
      <c r="W210" s="201"/>
      <c r="X210" s="201"/>
      <c r="Y210" s="845">
        <v>1</v>
      </c>
      <c r="Z210" s="139"/>
    </row>
    <row r="211" spans="1:26" hidden="1" x14ac:dyDescent="0.2">
      <c r="A211" s="190"/>
      <c r="B211" s="190"/>
      <c r="C211" s="202" t="s">
        <v>1113</v>
      </c>
      <c r="D211" s="203" t="s">
        <v>1114</v>
      </c>
      <c r="E211" s="204">
        <v>0</v>
      </c>
      <c r="F211" s="204">
        <v>0</v>
      </c>
      <c r="G211" s="204">
        <v>4.5617464972303685E-2</v>
      </c>
      <c r="H211" s="204">
        <v>0</v>
      </c>
      <c r="I211" s="204">
        <v>0</v>
      </c>
      <c r="J211" s="204">
        <v>0</v>
      </c>
      <c r="K211" s="204">
        <v>0</v>
      </c>
      <c r="L211" s="204">
        <v>0</v>
      </c>
      <c r="M211" s="204">
        <v>0</v>
      </c>
      <c r="N211" s="204">
        <v>0.62995546866514618</v>
      </c>
      <c r="O211" s="204">
        <v>1.9984794178342567E-2</v>
      </c>
      <c r="P211" s="204">
        <v>5.843380036928425E-2</v>
      </c>
      <c r="Q211" s="204">
        <v>0</v>
      </c>
      <c r="R211" s="204">
        <v>0</v>
      </c>
      <c r="S211" s="204">
        <v>0.23080265015748888</v>
      </c>
      <c r="T211" s="204">
        <v>0</v>
      </c>
      <c r="U211" s="204">
        <v>1.5205821657434563E-2</v>
      </c>
      <c r="V211" s="204"/>
      <c r="W211" s="204"/>
      <c r="X211" s="204"/>
      <c r="Y211" s="846">
        <v>1.0000000000000002</v>
      </c>
      <c r="Z211" s="139"/>
    </row>
    <row r="212" spans="1:26" hidden="1" x14ac:dyDescent="0.2">
      <c r="A212" s="198"/>
      <c r="B212" s="198"/>
      <c r="C212" s="205" t="s">
        <v>1662</v>
      </c>
      <c r="D212" s="206" t="s">
        <v>1663</v>
      </c>
      <c r="E212" s="193">
        <v>0</v>
      </c>
      <c r="F212" s="193">
        <v>0</v>
      </c>
      <c r="G212" s="193">
        <v>0</v>
      </c>
      <c r="H212" s="193">
        <v>0</v>
      </c>
      <c r="I212" s="193">
        <v>0</v>
      </c>
      <c r="J212" s="193">
        <v>1</v>
      </c>
      <c r="K212" s="193">
        <v>0</v>
      </c>
      <c r="L212" s="193">
        <v>0</v>
      </c>
      <c r="M212" s="193">
        <v>0</v>
      </c>
      <c r="N212" s="193">
        <v>0</v>
      </c>
      <c r="O212" s="193">
        <v>0</v>
      </c>
      <c r="P212" s="193">
        <v>0</v>
      </c>
      <c r="Q212" s="193">
        <v>0</v>
      </c>
      <c r="R212" s="193">
        <v>0</v>
      </c>
      <c r="S212" s="193">
        <v>0</v>
      </c>
      <c r="T212" s="193">
        <v>0</v>
      </c>
      <c r="U212" s="193">
        <v>0</v>
      </c>
      <c r="V212" s="193">
        <v>0</v>
      </c>
      <c r="W212" s="193">
        <v>0</v>
      </c>
      <c r="X212" s="193"/>
      <c r="Y212" s="193">
        <v>1</v>
      </c>
      <c r="Z212" s="139"/>
    </row>
    <row r="213" spans="1:26" hidden="1" x14ac:dyDescent="0.2">
      <c r="A213" s="190"/>
      <c r="B213" s="190"/>
      <c r="C213" s="216" t="s">
        <v>1340</v>
      </c>
      <c r="D213" s="217" t="s">
        <v>1341</v>
      </c>
      <c r="E213" s="218">
        <v>0</v>
      </c>
      <c r="F213" s="218">
        <v>0</v>
      </c>
      <c r="G213" s="218">
        <v>1</v>
      </c>
      <c r="H213" s="218">
        <v>0</v>
      </c>
      <c r="I213" s="218">
        <v>0</v>
      </c>
      <c r="J213" s="218">
        <v>0</v>
      </c>
      <c r="K213" s="218">
        <v>0</v>
      </c>
      <c r="L213" s="218">
        <v>0</v>
      </c>
      <c r="M213" s="218"/>
      <c r="N213" s="218">
        <v>0</v>
      </c>
      <c r="O213" s="218">
        <v>0</v>
      </c>
      <c r="P213" s="218">
        <v>0</v>
      </c>
      <c r="Q213" s="218">
        <v>0</v>
      </c>
      <c r="R213" s="218">
        <v>0</v>
      </c>
      <c r="S213" s="218">
        <v>0</v>
      </c>
      <c r="T213" s="218">
        <v>0</v>
      </c>
      <c r="U213" s="218">
        <v>0</v>
      </c>
      <c r="V213" s="218"/>
      <c r="W213" s="218"/>
      <c r="X213" s="218"/>
      <c r="Y213" s="848">
        <v>1</v>
      </c>
      <c r="Z213" s="139"/>
    </row>
    <row r="214" spans="1:26" hidden="1" x14ac:dyDescent="0.2">
      <c r="A214" s="198"/>
      <c r="B214" s="198"/>
      <c r="C214" s="191" t="s">
        <v>1342</v>
      </c>
      <c r="D214" s="192" t="s">
        <v>1343</v>
      </c>
      <c r="E214" s="193">
        <v>0</v>
      </c>
      <c r="F214" s="193">
        <v>0</v>
      </c>
      <c r="G214" s="193">
        <v>0</v>
      </c>
      <c r="H214" s="193">
        <v>0</v>
      </c>
      <c r="I214" s="193">
        <v>0</v>
      </c>
      <c r="J214" s="193">
        <v>0</v>
      </c>
      <c r="K214" s="193">
        <v>0</v>
      </c>
      <c r="L214" s="193">
        <v>0</v>
      </c>
      <c r="M214" s="193">
        <v>1</v>
      </c>
      <c r="N214" s="193">
        <v>0</v>
      </c>
      <c r="O214" s="193">
        <v>0</v>
      </c>
      <c r="P214" s="193">
        <v>0</v>
      </c>
      <c r="Q214" s="193">
        <v>0</v>
      </c>
      <c r="R214" s="193">
        <v>0</v>
      </c>
      <c r="S214" s="193">
        <v>0</v>
      </c>
      <c r="T214" s="193">
        <v>0</v>
      </c>
      <c r="U214" s="193">
        <v>0</v>
      </c>
      <c r="V214" s="193"/>
      <c r="W214" s="193"/>
      <c r="X214" s="193"/>
      <c r="Y214" s="843">
        <v>1</v>
      </c>
      <c r="Z214" s="139"/>
    </row>
    <row r="215" spans="1:26" hidden="1" x14ac:dyDescent="0.2">
      <c r="A215" s="190"/>
      <c r="B215" s="190"/>
      <c r="C215" s="216" t="s">
        <v>1344</v>
      </c>
      <c r="D215" s="217" t="s">
        <v>1345</v>
      </c>
      <c r="E215" s="218">
        <v>0</v>
      </c>
      <c r="F215" s="218">
        <v>0</v>
      </c>
      <c r="G215" s="218">
        <v>0</v>
      </c>
      <c r="H215" s="218">
        <v>0</v>
      </c>
      <c r="I215" s="218">
        <v>0</v>
      </c>
      <c r="J215" s="218">
        <v>0</v>
      </c>
      <c r="K215" s="218">
        <v>0</v>
      </c>
      <c r="L215" s="218">
        <v>0</v>
      </c>
      <c r="M215" s="218">
        <v>1</v>
      </c>
      <c r="N215" s="218">
        <v>0</v>
      </c>
      <c r="O215" s="218">
        <v>0</v>
      </c>
      <c r="P215" s="218">
        <v>0</v>
      </c>
      <c r="Q215" s="218">
        <v>0</v>
      </c>
      <c r="R215" s="218">
        <v>0</v>
      </c>
      <c r="S215" s="218">
        <v>0</v>
      </c>
      <c r="T215" s="218">
        <v>0</v>
      </c>
      <c r="U215" s="218">
        <v>0</v>
      </c>
      <c r="V215" s="218"/>
      <c r="W215" s="218"/>
      <c r="X215" s="218"/>
      <c r="Y215" s="848">
        <v>1</v>
      </c>
      <c r="Z215" s="139"/>
    </row>
    <row r="216" spans="1:26" hidden="1" x14ac:dyDescent="0.2">
      <c r="A216" s="198"/>
      <c r="B216" s="198"/>
      <c r="C216" s="191" t="s">
        <v>1346</v>
      </c>
      <c r="D216" s="192" t="s">
        <v>1347</v>
      </c>
      <c r="E216" s="193">
        <v>0</v>
      </c>
      <c r="F216" s="193">
        <v>0</v>
      </c>
      <c r="G216" s="193">
        <v>1</v>
      </c>
      <c r="H216" s="193">
        <v>0</v>
      </c>
      <c r="I216" s="193">
        <v>0</v>
      </c>
      <c r="J216" s="193">
        <v>0</v>
      </c>
      <c r="K216" s="193">
        <v>0</v>
      </c>
      <c r="L216" s="193">
        <v>0</v>
      </c>
      <c r="M216" s="193"/>
      <c r="N216" s="193">
        <v>0</v>
      </c>
      <c r="O216" s="193">
        <v>0</v>
      </c>
      <c r="P216" s="193">
        <v>0</v>
      </c>
      <c r="Q216" s="193">
        <v>0</v>
      </c>
      <c r="R216" s="193">
        <v>0</v>
      </c>
      <c r="S216" s="193">
        <v>0</v>
      </c>
      <c r="T216" s="193">
        <v>0</v>
      </c>
      <c r="U216" s="193">
        <v>0</v>
      </c>
      <c r="V216" s="193"/>
      <c r="W216" s="193"/>
      <c r="X216" s="193"/>
      <c r="Y216" s="843">
        <v>1</v>
      </c>
      <c r="Z216" s="139"/>
    </row>
    <row r="217" spans="1:26" hidden="1" x14ac:dyDescent="0.2">
      <c r="A217" s="190"/>
      <c r="B217" s="190"/>
      <c r="C217" s="199" t="s">
        <v>1348</v>
      </c>
      <c r="D217" s="200" t="s">
        <v>1349</v>
      </c>
      <c r="E217" s="201">
        <v>0</v>
      </c>
      <c r="F217" s="201">
        <v>0</v>
      </c>
      <c r="G217" s="201">
        <v>1</v>
      </c>
      <c r="H217" s="201">
        <v>0</v>
      </c>
      <c r="I217" s="201">
        <v>0</v>
      </c>
      <c r="J217" s="201">
        <v>0</v>
      </c>
      <c r="K217" s="201">
        <v>0</v>
      </c>
      <c r="L217" s="201">
        <v>0</v>
      </c>
      <c r="M217" s="201"/>
      <c r="N217" s="201">
        <v>0</v>
      </c>
      <c r="O217" s="201">
        <v>0</v>
      </c>
      <c r="P217" s="201">
        <v>0</v>
      </c>
      <c r="Q217" s="201">
        <v>0</v>
      </c>
      <c r="R217" s="201">
        <v>0</v>
      </c>
      <c r="S217" s="201">
        <v>0</v>
      </c>
      <c r="T217" s="201">
        <v>0</v>
      </c>
      <c r="U217" s="201">
        <v>0</v>
      </c>
      <c r="V217" s="201"/>
      <c r="W217" s="201"/>
      <c r="X217" s="201"/>
      <c r="Y217" s="845">
        <v>1</v>
      </c>
      <c r="Z217" s="139"/>
    </row>
    <row r="218" spans="1:26" hidden="1" x14ac:dyDescent="0.2">
      <c r="A218" s="190"/>
      <c r="B218" s="190"/>
      <c r="C218" s="191" t="s">
        <v>1350</v>
      </c>
      <c r="D218" s="192" t="s">
        <v>1351</v>
      </c>
      <c r="E218" s="193">
        <v>0</v>
      </c>
      <c r="F218" s="193">
        <v>0</v>
      </c>
      <c r="G218" s="193">
        <v>0.03</v>
      </c>
      <c r="H218" s="193">
        <v>0</v>
      </c>
      <c r="I218" s="193">
        <v>0</v>
      </c>
      <c r="J218" s="193">
        <v>0</v>
      </c>
      <c r="K218" s="193">
        <v>0</v>
      </c>
      <c r="L218" s="193">
        <v>0</v>
      </c>
      <c r="M218" s="193"/>
      <c r="N218" s="193">
        <v>0.64</v>
      </c>
      <c r="O218" s="193">
        <v>0</v>
      </c>
      <c r="P218" s="193">
        <v>0.01</v>
      </c>
      <c r="Q218" s="193">
        <v>0</v>
      </c>
      <c r="R218" s="193">
        <v>0</v>
      </c>
      <c r="S218" s="193">
        <v>0.32</v>
      </c>
      <c r="T218" s="193">
        <v>0</v>
      </c>
      <c r="U218" s="193">
        <v>0</v>
      </c>
      <c r="V218" s="193"/>
      <c r="W218" s="193"/>
      <c r="X218" s="193"/>
      <c r="Y218" s="843">
        <v>1</v>
      </c>
      <c r="Z218" s="139"/>
    </row>
    <row r="219" spans="1:26" hidden="1" x14ac:dyDescent="0.2">
      <c r="A219" s="190"/>
      <c r="B219" s="190"/>
      <c r="C219" s="222" t="s">
        <v>1352</v>
      </c>
      <c r="D219" s="223" t="s">
        <v>1353</v>
      </c>
      <c r="E219" s="204">
        <v>0</v>
      </c>
      <c r="F219" s="204">
        <v>0</v>
      </c>
      <c r="G219" s="204">
        <v>0</v>
      </c>
      <c r="H219" s="204">
        <v>0</v>
      </c>
      <c r="I219" s="204">
        <v>0</v>
      </c>
      <c r="J219" s="204">
        <v>0</v>
      </c>
      <c r="K219" s="204">
        <v>0</v>
      </c>
      <c r="L219" s="204">
        <v>0</v>
      </c>
      <c r="M219" s="204"/>
      <c r="N219" s="204">
        <v>1</v>
      </c>
      <c r="O219" s="204">
        <v>0</v>
      </c>
      <c r="P219" s="204">
        <v>0</v>
      </c>
      <c r="Q219" s="204">
        <v>0</v>
      </c>
      <c r="R219" s="204">
        <v>0</v>
      </c>
      <c r="S219" s="204">
        <v>0</v>
      </c>
      <c r="T219" s="204">
        <v>0</v>
      </c>
      <c r="U219" s="204">
        <v>0</v>
      </c>
      <c r="V219" s="204"/>
      <c r="W219" s="204"/>
      <c r="X219" s="204"/>
      <c r="Y219" s="846">
        <v>1</v>
      </c>
      <c r="Z219" s="139"/>
    </row>
    <row r="220" spans="1:26" hidden="1" x14ac:dyDescent="0.2">
      <c r="A220" s="198"/>
      <c r="B220" s="198"/>
      <c r="C220" s="205" t="s">
        <v>2204</v>
      </c>
      <c r="D220" s="206" t="s">
        <v>2205</v>
      </c>
      <c r="E220" s="193">
        <v>0</v>
      </c>
      <c r="F220" s="193">
        <v>0</v>
      </c>
      <c r="G220" s="193">
        <v>0</v>
      </c>
      <c r="H220" s="193">
        <v>0</v>
      </c>
      <c r="I220" s="193">
        <v>0</v>
      </c>
      <c r="J220" s="193">
        <v>0</v>
      </c>
      <c r="K220" s="193">
        <v>0</v>
      </c>
      <c r="L220" s="193">
        <v>0</v>
      </c>
      <c r="M220" s="193">
        <v>0</v>
      </c>
      <c r="N220" s="193">
        <v>1</v>
      </c>
      <c r="O220" s="193">
        <v>0</v>
      </c>
      <c r="P220" s="193">
        <v>0</v>
      </c>
      <c r="Q220" s="193">
        <v>0</v>
      </c>
      <c r="R220" s="193">
        <v>0</v>
      </c>
      <c r="S220" s="193">
        <v>0</v>
      </c>
      <c r="T220" s="193">
        <v>0</v>
      </c>
      <c r="U220" s="193">
        <v>0</v>
      </c>
      <c r="V220" s="193">
        <v>0</v>
      </c>
      <c r="W220" s="193">
        <v>0</v>
      </c>
      <c r="X220" s="193"/>
      <c r="Y220" s="843">
        <v>1</v>
      </c>
      <c r="Z220" s="139"/>
    </row>
    <row r="221" spans="1:26" hidden="1" x14ac:dyDescent="0.2">
      <c r="A221" s="190"/>
      <c r="B221" s="190"/>
      <c r="C221" s="208" t="s">
        <v>1664</v>
      </c>
      <c r="D221" s="209" t="s">
        <v>1665</v>
      </c>
      <c r="E221" s="224">
        <v>0</v>
      </c>
      <c r="F221" s="224">
        <v>2.6056158987752733E-2</v>
      </c>
      <c r="G221" s="224">
        <v>9.1319062575419691E-2</v>
      </c>
      <c r="H221" s="224">
        <v>0</v>
      </c>
      <c r="I221" s="224">
        <v>0</v>
      </c>
      <c r="J221" s="224">
        <v>6.9881752971480568E-2</v>
      </c>
      <c r="K221" s="224">
        <v>0</v>
      </c>
      <c r="L221" s="224">
        <v>0</v>
      </c>
      <c r="M221" s="224">
        <v>0</v>
      </c>
      <c r="N221" s="224">
        <v>0.3525747905768124</v>
      </c>
      <c r="O221" s="224">
        <v>5.263277289874322E-2</v>
      </c>
      <c r="P221" s="224">
        <v>0.21048957495829559</v>
      </c>
      <c r="Q221" s="224">
        <v>1.107858723761727E-2</v>
      </c>
      <c r="R221" s="224">
        <v>0</v>
      </c>
      <c r="S221" s="224">
        <v>0.14008962428201663</v>
      </c>
      <c r="T221" s="224">
        <v>4.5877675511861844E-2</v>
      </c>
      <c r="U221" s="224">
        <v>0</v>
      </c>
      <c r="V221" s="224">
        <v>0</v>
      </c>
      <c r="W221" s="224">
        <v>0</v>
      </c>
      <c r="X221" s="224"/>
      <c r="Y221" s="201">
        <v>1</v>
      </c>
      <c r="Z221" s="139"/>
    </row>
    <row r="222" spans="1:26" ht="22.5" hidden="1" x14ac:dyDescent="0.2">
      <c r="A222" s="190"/>
      <c r="B222" s="190"/>
      <c r="C222" s="191" t="s">
        <v>1356</v>
      </c>
      <c r="D222" s="192" t="s">
        <v>1357</v>
      </c>
      <c r="E222" s="193">
        <v>0</v>
      </c>
      <c r="F222" s="193">
        <v>0</v>
      </c>
      <c r="G222" s="193">
        <v>3.968253968253968E-2</v>
      </c>
      <c r="H222" s="193">
        <v>0</v>
      </c>
      <c r="I222" s="193">
        <v>0</v>
      </c>
      <c r="J222" s="193">
        <v>0</v>
      </c>
      <c r="K222" s="193">
        <v>0</v>
      </c>
      <c r="L222" s="193">
        <v>0</v>
      </c>
      <c r="M222" s="193"/>
      <c r="N222" s="193">
        <v>0.4700793650793651</v>
      </c>
      <c r="O222" s="193">
        <v>1.4047619047619047E-2</v>
      </c>
      <c r="P222" s="193">
        <v>7.9365079365079378E-3</v>
      </c>
      <c r="Q222" s="193">
        <v>0</v>
      </c>
      <c r="R222" s="193">
        <v>0</v>
      </c>
      <c r="S222" s="193">
        <v>0.46825396825396831</v>
      </c>
      <c r="T222" s="193">
        <v>0</v>
      </c>
      <c r="U222" s="193">
        <v>0</v>
      </c>
      <c r="V222" s="193"/>
      <c r="W222" s="193"/>
      <c r="X222" s="193"/>
      <c r="Y222" s="843">
        <v>1</v>
      </c>
      <c r="Z222" s="139"/>
    </row>
    <row r="223" spans="1:26" hidden="1" x14ac:dyDescent="0.2">
      <c r="A223" s="190"/>
      <c r="B223" s="190"/>
      <c r="C223" s="191" t="s">
        <v>1360</v>
      </c>
      <c r="D223" s="192" t="s">
        <v>1361</v>
      </c>
      <c r="E223" s="193">
        <v>0</v>
      </c>
      <c r="F223" s="193">
        <v>0</v>
      </c>
      <c r="G223" s="193">
        <v>6.25E-2</v>
      </c>
      <c r="H223" s="193">
        <v>0</v>
      </c>
      <c r="I223" s="193">
        <v>0</v>
      </c>
      <c r="J223" s="193">
        <v>1.2500000000000001E-2</v>
      </c>
      <c r="K223" s="193">
        <v>0</v>
      </c>
      <c r="L223" s="193">
        <v>0</v>
      </c>
      <c r="M223" s="193"/>
      <c r="N223" s="193">
        <v>0.52337500000000003</v>
      </c>
      <c r="O223" s="193">
        <v>2.4750000000000001E-2</v>
      </c>
      <c r="P223" s="193">
        <v>8.5625000000000007E-2</v>
      </c>
      <c r="Q223" s="193">
        <v>3.7499999999999999E-3</v>
      </c>
      <c r="R223" s="193">
        <v>0</v>
      </c>
      <c r="S223" s="193">
        <v>0.19375000000000001</v>
      </c>
      <c r="T223" s="193">
        <v>9.375E-2</v>
      </c>
      <c r="U223" s="193">
        <v>0</v>
      </c>
      <c r="V223" s="193"/>
      <c r="W223" s="193"/>
      <c r="X223" s="193"/>
      <c r="Y223" s="843">
        <v>1</v>
      </c>
      <c r="Z223" s="139"/>
    </row>
    <row r="224" spans="1:26" hidden="1" x14ac:dyDescent="0.2">
      <c r="A224" s="190"/>
      <c r="B224" s="190"/>
      <c r="C224" s="222" t="s">
        <v>1362</v>
      </c>
      <c r="D224" s="223" t="s">
        <v>1363</v>
      </c>
      <c r="E224" s="204">
        <v>0</v>
      </c>
      <c r="F224" s="204">
        <v>0</v>
      </c>
      <c r="G224" s="204">
        <v>1</v>
      </c>
      <c r="H224" s="204">
        <v>0</v>
      </c>
      <c r="I224" s="204">
        <v>0</v>
      </c>
      <c r="J224" s="204">
        <v>0</v>
      </c>
      <c r="K224" s="204">
        <v>0</v>
      </c>
      <c r="L224" s="204">
        <v>0</v>
      </c>
      <c r="M224" s="204"/>
      <c r="N224" s="204">
        <v>0</v>
      </c>
      <c r="O224" s="204">
        <v>0</v>
      </c>
      <c r="P224" s="204">
        <v>0</v>
      </c>
      <c r="Q224" s="204">
        <v>0</v>
      </c>
      <c r="R224" s="204">
        <v>0</v>
      </c>
      <c r="S224" s="204">
        <v>0</v>
      </c>
      <c r="T224" s="204">
        <v>0</v>
      </c>
      <c r="U224" s="204">
        <v>0</v>
      </c>
      <c r="V224" s="204"/>
      <c r="W224" s="204"/>
      <c r="X224" s="204"/>
      <c r="Y224" s="846">
        <v>1</v>
      </c>
      <c r="Z224" s="139"/>
    </row>
    <row r="225" spans="1:26" hidden="1" x14ac:dyDescent="0.2">
      <c r="A225" s="198"/>
      <c r="B225" s="198"/>
      <c r="C225" s="225" t="s">
        <v>1632</v>
      </c>
      <c r="D225" s="226" t="s">
        <v>1633</v>
      </c>
      <c r="E225" s="227">
        <v>0</v>
      </c>
      <c r="F225" s="227">
        <v>0</v>
      </c>
      <c r="G225" s="227">
        <v>0</v>
      </c>
      <c r="H225" s="227">
        <v>0</v>
      </c>
      <c r="I225" s="227">
        <v>0</v>
      </c>
      <c r="J225" s="227">
        <v>0</v>
      </c>
      <c r="K225" s="227">
        <v>0</v>
      </c>
      <c r="L225" s="227">
        <v>0</v>
      </c>
      <c r="M225" s="227">
        <v>0</v>
      </c>
      <c r="N225" s="227">
        <v>1</v>
      </c>
      <c r="O225" s="227">
        <v>0</v>
      </c>
      <c r="P225" s="227">
        <v>0</v>
      </c>
      <c r="Q225" s="227">
        <v>0</v>
      </c>
      <c r="R225" s="227">
        <v>0</v>
      </c>
      <c r="S225" s="227">
        <v>0</v>
      </c>
      <c r="T225" s="227">
        <v>0</v>
      </c>
      <c r="U225" s="227">
        <v>0</v>
      </c>
      <c r="V225" s="227"/>
      <c r="W225" s="227">
        <v>0</v>
      </c>
      <c r="X225" s="227"/>
      <c r="Y225" s="843">
        <v>1</v>
      </c>
      <c r="Z225" s="139"/>
    </row>
    <row r="226" spans="1:26" hidden="1" x14ac:dyDescent="0.2">
      <c r="A226" s="198"/>
      <c r="B226" s="198"/>
      <c r="C226" s="191" t="s">
        <v>1366</v>
      </c>
      <c r="D226" s="192" t="s">
        <v>1367</v>
      </c>
      <c r="E226" s="193">
        <v>0</v>
      </c>
      <c r="F226" s="193">
        <v>0</v>
      </c>
      <c r="G226" s="193">
        <v>0</v>
      </c>
      <c r="H226" s="193">
        <v>0</v>
      </c>
      <c r="I226" s="193">
        <v>0</v>
      </c>
      <c r="J226" s="193">
        <v>0</v>
      </c>
      <c r="K226" s="193">
        <v>0</v>
      </c>
      <c r="L226" s="193">
        <v>0</v>
      </c>
      <c r="M226" s="193"/>
      <c r="N226" s="193">
        <v>0.40659340659340654</v>
      </c>
      <c r="O226" s="193">
        <v>0</v>
      </c>
      <c r="P226" s="193">
        <v>0</v>
      </c>
      <c r="Q226" s="193">
        <v>0</v>
      </c>
      <c r="R226" s="193">
        <v>0</v>
      </c>
      <c r="S226" s="193">
        <v>0.59340659340659341</v>
      </c>
      <c r="T226" s="193">
        <v>0</v>
      </c>
      <c r="U226" s="193">
        <v>0</v>
      </c>
      <c r="V226" s="193"/>
      <c r="W226" s="193"/>
      <c r="X226" s="193"/>
      <c r="Y226" s="843">
        <v>1</v>
      </c>
      <c r="Z226" s="139"/>
    </row>
    <row r="227" spans="1:26" hidden="1" x14ac:dyDescent="0.2">
      <c r="A227" s="198"/>
      <c r="B227" s="198"/>
      <c r="C227" s="191" t="s">
        <v>1368</v>
      </c>
      <c r="D227" s="192" t="s">
        <v>1369</v>
      </c>
      <c r="E227" s="193">
        <v>0</v>
      </c>
      <c r="F227" s="193">
        <v>0</v>
      </c>
      <c r="G227" s="193">
        <v>0</v>
      </c>
      <c r="H227" s="193">
        <v>0</v>
      </c>
      <c r="I227" s="193">
        <v>0</v>
      </c>
      <c r="J227" s="193">
        <v>0</v>
      </c>
      <c r="K227" s="193">
        <v>0</v>
      </c>
      <c r="L227" s="193">
        <v>0</v>
      </c>
      <c r="M227" s="193"/>
      <c r="N227" s="193">
        <v>0.44444444444444448</v>
      </c>
      <c r="O227" s="193">
        <v>0</v>
      </c>
      <c r="P227" s="193">
        <v>0</v>
      </c>
      <c r="Q227" s="193">
        <v>0</v>
      </c>
      <c r="R227" s="193">
        <v>0</v>
      </c>
      <c r="S227" s="193">
        <v>0.55555555555555558</v>
      </c>
      <c r="T227" s="193">
        <v>0</v>
      </c>
      <c r="U227" s="193">
        <v>0</v>
      </c>
      <c r="V227" s="193"/>
      <c r="W227" s="193"/>
      <c r="X227" s="193"/>
      <c r="Y227" s="843">
        <v>1</v>
      </c>
      <c r="Z227" s="139"/>
    </row>
    <row r="228" spans="1:26" hidden="1" x14ac:dyDescent="0.2">
      <c r="A228" s="198"/>
      <c r="B228" s="198"/>
      <c r="C228" s="191" t="s">
        <v>1370</v>
      </c>
      <c r="D228" s="192" t="s">
        <v>1371</v>
      </c>
      <c r="E228" s="193">
        <v>0</v>
      </c>
      <c r="F228" s="193">
        <v>0</v>
      </c>
      <c r="G228" s="193">
        <v>1</v>
      </c>
      <c r="H228" s="193">
        <v>0</v>
      </c>
      <c r="I228" s="193">
        <v>0</v>
      </c>
      <c r="J228" s="193">
        <v>0</v>
      </c>
      <c r="K228" s="193">
        <v>0</v>
      </c>
      <c r="L228" s="193">
        <v>0</v>
      </c>
      <c r="M228" s="193"/>
      <c r="N228" s="193">
        <v>0</v>
      </c>
      <c r="O228" s="193">
        <v>0</v>
      </c>
      <c r="P228" s="193">
        <v>0</v>
      </c>
      <c r="Q228" s="193">
        <v>0</v>
      </c>
      <c r="R228" s="193">
        <v>0</v>
      </c>
      <c r="S228" s="193">
        <v>0</v>
      </c>
      <c r="T228" s="193">
        <v>0</v>
      </c>
      <c r="U228" s="193">
        <v>0</v>
      </c>
      <c r="V228" s="193"/>
      <c r="W228" s="193"/>
      <c r="X228" s="193"/>
      <c r="Y228" s="843">
        <v>1</v>
      </c>
      <c r="Z228" s="139"/>
    </row>
    <row r="229" spans="1:26" hidden="1" x14ac:dyDescent="0.2">
      <c r="A229" s="190"/>
      <c r="B229" s="190"/>
      <c r="C229" s="199" t="s">
        <v>1372</v>
      </c>
      <c r="D229" s="200" t="s">
        <v>1373</v>
      </c>
      <c r="E229" s="201">
        <v>0</v>
      </c>
      <c r="F229" s="201">
        <v>0</v>
      </c>
      <c r="G229" s="201">
        <v>1</v>
      </c>
      <c r="H229" s="201">
        <v>0</v>
      </c>
      <c r="I229" s="201">
        <v>0</v>
      </c>
      <c r="J229" s="201">
        <v>0</v>
      </c>
      <c r="K229" s="201">
        <v>0</v>
      </c>
      <c r="L229" s="201">
        <v>0</v>
      </c>
      <c r="M229" s="201"/>
      <c r="N229" s="201">
        <v>0</v>
      </c>
      <c r="O229" s="201">
        <v>0</v>
      </c>
      <c r="P229" s="201">
        <v>0</v>
      </c>
      <c r="Q229" s="201">
        <v>0</v>
      </c>
      <c r="R229" s="201">
        <v>0</v>
      </c>
      <c r="S229" s="201">
        <v>0</v>
      </c>
      <c r="T229" s="201">
        <v>0</v>
      </c>
      <c r="U229" s="201">
        <v>0</v>
      </c>
      <c r="V229" s="201"/>
      <c r="W229" s="201"/>
      <c r="X229" s="201"/>
      <c r="Y229" s="845">
        <v>1</v>
      </c>
      <c r="Z229" s="139"/>
    </row>
    <row r="230" spans="1:26" hidden="1" x14ac:dyDescent="0.2">
      <c r="A230" s="190"/>
      <c r="B230" s="190"/>
      <c r="C230" s="191" t="s">
        <v>1374</v>
      </c>
      <c r="D230" s="192" t="s">
        <v>1375</v>
      </c>
      <c r="E230" s="193">
        <v>0</v>
      </c>
      <c r="F230" s="193">
        <v>0</v>
      </c>
      <c r="G230" s="193">
        <v>0</v>
      </c>
      <c r="H230" s="193">
        <v>0</v>
      </c>
      <c r="I230" s="193">
        <v>0</v>
      </c>
      <c r="J230" s="193">
        <v>0</v>
      </c>
      <c r="K230" s="193">
        <v>0</v>
      </c>
      <c r="L230" s="193">
        <v>0</v>
      </c>
      <c r="M230" s="193"/>
      <c r="N230" s="193">
        <v>1</v>
      </c>
      <c r="O230" s="193">
        <v>0</v>
      </c>
      <c r="P230" s="193">
        <v>0</v>
      </c>
      <c r="Q230" s="193">
        <v>0</v>
      </c>
      <c r="R230" s="193">
        <v>0</v>
      </c>
      <c r="S230" s="193">
        <v>0</v>
      </c>
      <c r="T230" s="193">
        <v>0</v>
      </c>
      <c r="U230" s="193">
        <v>0</v>
      </c>
      <c r="V230" s="193"/>
      <c r="W230" s="193"/>
      <c r="X230" s="193"/>
      <c r="Y230" s="843">
        <v>1</v>
      </c>
      <c r="Z230" s="139"/>
    </row>
    <row r="231" spans="1:26" hidden="1" x14ac:dyDescent="0.2">
      <c r="A231" s="190"/>
      <c r="B231" s="190"/>
      <c r="C231" s="191" t="s">
        <v>1376</v>
      </c>
      <c r="D231" s="192" t="s">
        <v>1377</v>
      </c>
      <c r="E231" s="193">
        <v>0</v>
      </c>
      <c r="F231" s="193">
        <v>0</v>
      </c>
      <c r="G231" s="193">
        <v>0</v>
      </c>
      <c r="H231" s="193">
        <v>0</v>
      </c>
      <c r="I231" s="193">
        <v>0</v>
      </c>
      <c r="J231" s="193">
        <v>0</v>
      </c>
      <c r="K231" s="193">
        <v>0</v>
      </c>
      <c r="L231" s="193">
        <v>0</v>
      </c>
      <c r="M231" s="193"/>
      <c r="N231" s="193">
        <v>1</v>
      </c>
      <c r="O231" s="193">
        <v>0</v>
      </c>
      <c r="P231" s="193">
        <v>0</v>
      </c>
      <c r="Q231" s="193">
        <v>0</v>
      </c>
      <c r="R231" s="193">
        <v>0</v>
      </c>
      <c r="S231" s="193">
        <v>0</v>
      </c>
      <c r="T231" s="193">
        <v>0</v>
      </c>
      <c r="U231" s="193">
        <v>0</v>
      </c>
      <c r="V231" s="193"/>
      <c r="W231" s="193"/>
      <c r="X231" s="193"/>
      <c r="Y231" s="843">
        <v>1</v>
      </c>
      <c r="Z231" s="139"/>
    </row>
    <row r="232" spans="1:26" hidden="1" x14ac:dyDescent="0.2">
      <c r="A232" s="190"/>
      <c r="B232" s="190"/>
      <c r="C232" s="195" t="s">
        <v>1668</v>
      </c>
      <c r="D232" s="196" t="s">
        <v>1669</v>
      </c>
      <c r="E232" s="197">
        <v>0</v>
      </c>
      <c r="F232" s="197">
        <v>1.554752230423365E-2</v>
      </c>
      <c r="G232" s="197">
        <v>0.12709874246874753</v>
      </c>
      <c r="H232" s="197">
        <v>0</v>
      </c>
      <c r="I232" s="197">
        <v>0</v>
      </c>
      <c r="J232" s="197">
        <v>0</v>
      </c>
      <c r="K232" s="197">
        <v>0</v>
      </c>
      <c r="L232" s="197">
        <v>0</v>
      </c>
      <c r="M232" s="197">
        <v>0</v>
      </c>
      <c r="N232" s="197">
        <v>0.18294309989744306</v>
      </c>
      <c r="O232" s="197">
        <v>9.1744853341311661E-2</v>
      </c>
      <c r="P232" s="197">
        <v>0.127587314146862</v>
      </c>
      <c r="Q232" s="197">
        <v>0</v>
      </c>
      <c r="R232" s="197">
        <v>0</v>
      </c>
      <c r="S232" s="197">
        <v>0.37637070254572841</v>
      </c>
      <c r="T232" s="197">
        <v>7.8707765295673665E-2</v>
      </c>
      <c r="U232" s="197">
        <v>0</v>
      </c>
      <c r="V232" s="197">
        <v>0</v>
      </c>
      <c r="W232" s="197">
        <v>0</v>
      </c>
      <c r="X232" s="197"/>
      <c r="Y232" s="844">
        <v>0.99999999999999989</v>
      </c>
      <c r="Z232" s="139"/>
    </row>
    <row r="233" spans="1:26" hidden="1" x14ac:dyDescent="0.2">
      <c r="A233" s="198"/>
      <c r="B233" s="198"/>
      <c r="C233" s="191" t="s">
        <v>1610</v>
      </c>
      <c r="D233" s="228" t="s">
        <v>1611</v>
      </c>
      <c r="E233" s="229">
        <v>0</v>
      </c>
      <c r="F233" s="229">
        <v>0</v>
      </c>
      <c r="G233" s="229">
        <v>0</v>
      </c>
      <c r="H233" s="229">
        <v>0</v>
      </c>
      <c r="I233" s="229">
        <v>0</v>
      </c>
      <c r="J233" s="229">
        <v>0</v>
      </c>
      <c r="K233" s="229">
        <v>0</v>
      </c>
      <c r="L233" s="229">
        <v>0</v>
      </c>
      <c r="M233" s="229">
        <v>0</v>
      </c>
      <c r="N233" s="229">
        <v>1</v>
      </c>
      <c r="O233" s="229">
        <v>0</v>
      </c>
      <c r="P233" s="229">
        <v>0</v>
      </c>
      <c r="Q233" s="229">
        <v>0</v>
      </c>
      <c r="R233" s="229">
        <v>0</v>
      </c>
      <c r="S233" s="229">
        <v>0</v>
      </c>
      <c r="T233" s="229">
        <v>0</v>
      </c>
      <c r="U233" s="229">
        <v>0</v>
      </c>
      <c r="V233" s="229"/>
      <c r="W233" s="229"/>
      <c r="X233" s="229"/>
      <c r="Y233" s="843">
        <v>1</v>
      </c>
      <c r="Z233" s="139"/>
    </row>
    <row r="234" spans="1:26" hidden="1" x14ac:dyDescent="0.2">
      <c r="A234" s="190"/>
      <c r="B234" s="190"/>
      <c r="C234" s="230" t="s">
        <v>1119</v>
      </c>
      <c r="D234" s="231" t="s">
        <v>301</v>
      </c>
      <c r="E234" s="201">
        <v>0</v>
      </c>
      <c r="F234" s="201">
        <v>0</v>
      </c>
      <c r="G234" s="201">
        <v>4.1172164849715615E-2</v>
      </c>
      <c r="H234" s="201">
        <v>0</v>
      </c>
      <c r="I234" s="201">
        <v>0</v>
      </c>
      <c r="J234" s="201">
        <v>2.9609763655503319E-3</v>
      </c>
      <c r="K234" s="201">
        <v>0</v>
      </c>
      <c r="L234" s="201">
        <v>0</v>
      </c>
      <c r="M234" s="201">
        <v>0</v>
      </c>
      <c r="N234" s="201">
        <v>0.57416904544016645</v>
      </c>
      <c r="O234" s="201">
        <v>1.3551641566230765E-2</v>
      </c>
      <c r="P234" s="201">
        <v>6.2685080268676655E-2</v>
      </c>
      <c r="Q234" s="201">
        <v>1.8144437504855337E-3</v>
      </c>
      <c r="R234" s="201">
        <v>0</v>
      </c>
      <c r="S234" s="201">
        <v>0.2290627297392871</v>
      </c>
      <c r="T234" s="201">
        <v>7.2137405696851564E-2</v>
      </c>
      <c r="U234" s="201">
        <v>2.4465123230358859E-3</v>
      </c>
      <c r="V234" s="201"/>
      <c r="W234" s="201"/>
      <c r="X234" s="201"/>
      <c r="Y234" s="845">
        <v>0.99999999999999989</v>
      </c>
      <c r="Z234" s="139"/>
    </row>
    <row r="235" spans="1:26" hidden="1" x14ac:dyDescent="0.2">
      <c r="A235" s="190"/>
      <c r="B235" s="190"/>
      <c r="C235" s="205" t="s">
        <v>1670</v>
      </c>
      <c r="D235" s="206" t="s">
        <v>1671</v>
      </c>
      <c r="E235" s="193">
        <v>0</v>
      </c>
      <c r="F235" s="193">
        <v>7.3732826304712977E-3</v>
      </c>
      <c r="G235" s="193">
        <v>3.0397046154723738E-2</v>
      </c>
      <c r="H235" s="193">
        <v>0</v>
      </c>
      <c r="I235" s="193">
        <v>0</v>
      </c>
      <c r="J235" s="193">
        <v>3.3109952571821345E-2</v>
      </c>
      <c r="K235" s="193">
        <v>0</v>
      </c>
      <c r="L235" s="193">
        <v>0</v>
      </c>
      <c r="M235" s="193">
        <v>0</v>
      </c>
      <c r="N235" s="193">
        <v>0.34318247896727816</v>
      </c>
      <c r="O235" s="193">
        <v>3.064824720743892E-2</v>
      </c>
      <c r="P235" s="193">
        <v>0.28985579104937759</v>
      </c>
      <c r="Q235" s="193">
        <v>1.0969626661846822E-2</v>
      </c>
      <c r="R235" s="193">
        <v>0</v>
      </c>
      <c r="S235" s="193">
        <v>0.11796258629376721</v>
      </c>
      <c r="T235" s="193">
        <v>0.11013813823739833</v>
      </c>
      <c r="U235" s="193">
        <v>2.6362850225876647E-2</v>
      </c>
      <c r="V235" s="193">
        <v>0</v>
      </c>
      <c r="W235" s="193">
        <v>0</v>
      </c>
      <c r="X235" s="193"/>
      <c r="Y235" s="193">
        <v>1.0000000000000002</v>
      </c>
      <c r="Z235" s="139"/>
    </row>
    <row r="236" spans="1:26" hidden="1" x14ac:dyDescent="0.2">
      <c r="A236" s="190"/>
      <c r="B236" s="190"/>
      <c r="C236" s="191" t="s">
        <v>1380</v>
      </c>
      <c r="D236" s="192" t="s">
        <v>1381</v>
      </c>
      <c r="E236" s="193">
        <v>0</v>
      </c>
      <c r="F236" s="193">
        <v>0</v>
      </c>
      <c r="G236" s="193">
        <v>0</v>
      </c>
      <c r="H236" s="193">
        <v>0</v>
      </c>
      <c r="I236" s="193">
        <v>0</v>
      </c>
      <c r="J236" s="193">
        <v>0</v>
      </c>
      <c r="K236" s="193">
        <v>0</v>
      </c>
      <c r="L236" s="193">
        <v>0</v>
      </c>
      <c r="M236" s="193"/>
      <c r="N236" s="193">
        <v>0</v>
      </c>
      <c r="O236" s="193">
        <v>0</v>
      </c>
      <c r="P236" s="193">
        <v>0</v>
      </c>
      <c r="Q236" s="193">
        <v>0</v>
      </c>
      <c r="R236" s="193">
        <v>0</v>
      </c>
      <c r="S236" s="193">
        <v>1</v>
      </c>
      <c r="T236" s="193">
        <v>0</v>
      </c>
      <c r="U236" s="193">
        <v>0</v>
      </c>
      <c r="V236" s="193"/>
      <c r="W236" s="193"/>
      <c r="X236" s="193"/>
      <c r="Y236" s="843">
        <v>1</v>
      </c>
      <c r="Z236" s="139"/>
    </row>
    <row r="237" spans="1:26" hidden="1" x14ac:dyDescent="0.2">
      <c r="A237" s="190"/>
      <c r="B237" s="190"/>
      <c r="C237" s="191" t="s">
        <v>1382</v>
      </c>
      <c r="D237" s="192" t="s">
        <v>1383</v>
      </c>
      <c r="E237" s="193">
        <v>0</v>
      </c>
      <c r="F237" s="193">
        <v>0</v>
      </c>
      <c r="G237" s="193">
        <v>0</v>
      </c>
      <c r="H237" s="193">
        <v>0</v>
      </c>
      <c r="I237" s="193">
        <v>0</v>
      </c>
      <c r="J237" s="193">
        <v>0</v>
      </c>
      <c r="K237" s="193">
        <v>0</v>
      </c>
      <c r="L237" s="193">
        <v>0</v>
      </c>
      <c r="M237" s="193"/>
      <c r="N237" s="193">
        <v>0</v>
      </c>
      <c r="O237" s="193">
        <v>0</v>
      </c>
      <c r="P237" s="193">
        <v>0</v>
      </c>
      <c r="Q237" s="193">
        <v>0</v>
      </c>
      <c r="R237" s="193">
        <v>0</v>
      </c>
      <c r="S237" s="193">
        <v>0</v>
      </c>
      <c r="T237" s="193">
        <v>0</v>
      </c>
      <c r="U237" s="193">
        <v>1</v>
      </c>
      <c r="V237" s="193"/>
      <c r="W237" s="193"/>
      <c r="X237" s="193"/>
      <c r="Y237" s="843">
        <v>1</v>
      </c>
      <c r="Z237" s="139"/>
    </row>
    <row r="238" spans="1:26" hidden="1" x14ac:dyDescent="0.2">
      <c r="A238" s="190"/>
      <c r="B238" s="190"/>
      <c r="C238" s="222" t="s">
        <v>1384</v>
      </c>
      <c r="D238" s="223" t="s">
        <v>1385</v>
      </c>
      <c r="E238" s="204">
        <v>0</v>
      </c>
      <c r="F238" s="204">
        <v>0</v>
      </c>
      <c r="G238" s="204">
        <v>0</v>
      </c>
      <c r="H238" s="204">
        <v>0</v>
      </c>
      <c r="I238" s="204">
        <v>1</v>
      </c>
      <c r="J238" s="204">
        <v>0</v>
      </c>
      <c r="K238" s="204">
        <v>0</v>
      </c>
      <c r="L238" s="204">
        <v>0</v>
      </c>
      <c r="M238" s="204"/>
      <c r="N238" s="204">
        <v>0</v>
      </c>
      <c r="O238" s="204">
        <v>0</v>
      </c>
      <c r="P238" s="204">
        <v>0</v>
      </c>
      <c r="Q238" s="204">
        <v>0</v>
      </c>
      <c r="R238" s="204">
        <v>0</v>
      </c>
      <c r="S238" s="204">
        <v>0</v>
      </c>
      <c r="T238" s="204">
        <v>0</v>
      </c>
      <c r="U238" s="204">
        <v>0</v>
      </c>
      <c r="V238" s="204"/>
      <c r="W238" s="204"/>
      <c r="X238" s="204"/>
      <c r="Y238" s="846">
        <v>1</v>
      </c>
      <c r="Z238" s="139"/>
    </row>
    <row r="239" spans="1:26" hidden="1" x14ac:dyDescent="0.2">
      <c r="A239" s="198"/>
      <c r="B239" s="198"/>
      <c r="C239" s="191" t="s">
        <v>1386</v>
      </c>
      <c r="D239" s="192" t="s">
        <v>1387</v>
      </c>
      <c r="E239" s="193">
        <v>0</v>
      </c>
      <c r="F239" s="193">
        <v>0</v>
      </c>
      <c r="G239" s="193">
        <v>0</v>
      </c>
      <c r="H239" s="193">
        <v>0</v>
      </c>
      <c r="I239" s="193">
        <v>0</v>
      </c>
      <c r="J239" s="193">
        <v>0</v>
      </c>
      <c r="K239" s="193">
        <v>0</v>
      </c>
      <c r="L239" s="193">
        <v>0</v>
      </c>
      <c r="M239" s="193"/>
      <c r="N239" s="193">
        <v>0.11931818181818181</v>
      </c>
      <c r="O239" s="193">
        <v>0</v>
      </c>
      <c r="P239" s="193">
        <v>0</v>
      </c>
      <c r="Q239" s="193">
        <v>0</v>
      </c>
      <c r="R239" s="193">
        <v>0</v>
      </c>
      <c r="S239" s="193">
        <v>0</v>
      </c>
      <c r="T239" s="193">
        <v>0.88068181818181823</v>
      </c>
      <c r="U239" s="193">
        <v>0</v>
      </c>
      <c r="V239" s="193"/>
      <c r="W239" s="193"/>
      <c r="X239" s="193"/>
      <c r="Y239" s="843">
        <v>1</v>
      </c>
      <c r="Z239" s="139"/>
    </row>
    <row r="240" spans="1:26" hidden="1" x14ac:dyDescent="0.2">
      <c r="A240" s="190"/>
      <c r="B240" s="190"/>
      <c r="C240" s="199" t="s">
        <v>1388</v>
      </c>
      <c r="D240" s="200" t="s">
        <v>1389</v>
      </c>
      <c r="E240" s="201">
        <v>0</v>
      </c>
      <c r="F240" s="201">
        <v>0</v>
      </c>
      <c r="G240" s="201">
        <v>0</v>
      </c>
      <c r="H240" s="201">
        <v>1</v>
      </c>
      <c r="I240" s="201">
        <v>0</v>
      </c>
      <c r="J240" s="201">
        <v>0</v>
      </c>
      <c r="K240" s="201">
        <v>0</v>
      </c>
      <c r="L240" s="201">
        <v>0</v>
      </c>
      <c r="M240" s="201"/>
      <c r="N240" s="201">
        <v>0</v>
      </c>
      <c r="O240" s="201">
        <v>0</v>
      </c>
      <c r="P240" s="201">
        <v>0</v>
      </c>
      <c r="Q240" s="201">
        <v>0</v>
      </c>
      <c r="R240" s="201">
        <v>0</v>
      </c>
      <c r="S240" s="201">
        <v>0</v>
      </c>
      <c r="T240" s="201">
        <v>0</v>
      </c>
      <c r="U240" s="201">
        <v>0</v>
      </c>
      <c r="V240" s="201"/>
      <c r="W240" s="201"/>
      <c r="X240" s="201"/>
      <c r="Y240" s="845">
        <v>1</v>
      </c>
      <c r="Z240" s="139"/>
    </row>
    <row r="241" spans="1:26" hidden="1" x14ac:dyDescent="0.2">
      <c r="A241" s="190"/>
      <c r="B241" s="190"/>
      <c r="C241" s="191" t="s">
        <v>1390</v>
      </c>
      <c r="D241" s="192" t="s">
        <v>1391</v>
      </c>
      <c r="E241" s="193">
        <v>0</v>
      </c>
      <c r="F241" s="193">
        <v>0</v>
      </c>
      <c r="G241" s="193">
        <v>1</v>
      </c>
      <c r="H241" s="193">
        <v>0</v>
      </c>
      <c r="I241" s="193">
        <v>0</v>
      </c>
      <c r="J241" s="193">
        <v>0</v>
      </c>
      <c r="K241" s="193">
        <v>0</v>
      </c>
      <c r="L241" s="193">
        <v>0</v>
      </c>
      <c r="M241" s="193"/>
      <c r="N241" s="193">
        <v>0</v>
      </c>
      <c r="O241" s="193">
        <v>0</v>
      </c>
      <c r="P241" s="193">
        <v>0</v>
      </c>
      <c r="Q241" s="193">
        <v>0</v>
      </c>
      <c r="R241" s="193">
        <v>0</v>
      </c>
      <c r="S241" s="193">
        <v>0</v>
      </c>
      <c r="T241" s="193">
        <v>0</v>
      </c>
      <c r="U241" s="193">
        <v>0</v>
      </c>
      <c r="V241" s="193"/>
      <c r="W241" s="193"/>
      <c r="X241" s="193"/>
      <c r="Y241" s="843">
        <v>1</v>
      </c>
      <c r="Z241" s="139"/>
    </row>
    <row r="242" spans="1:26" hidden="1" x14ac:dyDescent="0.2">
      <c r="A242" s="190"/>
      <c r="B242" s="190"/>
      <c r="C242" s="222" t="s">
        <v>1392</v>
      </c>
      <c r="D242" s="223" t="s">
        <v>1393</v>
      </c>
      <c r="E242" s="204">
        <v>0</v>
      </c>
      <c r="F242" s="204">
        <v>0</v>
      </c>
      <c r="G242" s="204">
        <v>1</v>
      </c>
      <c r="H242" s="204">
        <v>0</v>
      </c>
      <c r="I242" s="204">
        <v>0</v>
      </c>
      <c r="J242" s="204">
        <v>0</v>
      </c>
      <c r="K242" s="204">
        <v>0</v>
      </c>
      <c r="L242" s="204">
        <v>0</v>
      </c>
      <c r="M242" s="204"/>
      <c r="N242" s="204">
        <v>0</v>
      </c>
      <c r="O242" s="204">
        <v>0</v>
      </c>
      <c r="P242" s="204">
        <v>0</v>
      </c>
      <c r="Q242" s="204">
        <v>0</v>
      </c>
      <c r="R242" s="204">
        <v>0</v>
      </c>
      <c r="S242" s="204">
        <v>0</v>
      </c>
      <c r="T242" s="204">
        <v>0</v>
      </c>
      <c r="U242" s="204">
        <v>0</v>
      </c>
      <c r="V242" s="204"/>
      <c r="W242" s="204"/>
      <c r="X242" s="204"/>
      <c r="Y242" s="846">
        <v>1</v>
      </c>
      <c r="Z242" s="139"/>
    </row>
    <row r="243" spans="1:26" hidden="1" x14ac:dyDescent="0.2">
      <c r="A243" s="198"/>
      <c r="B243" s="198"/>
      <c r="C243" s="191" t="s">
        <v>1394</v>
      </c>
      <c r="D243" s="192" t="s">
        <v>1395</v>
      </c>
      <c r="E243" s="193">
        <v>0</v>
      </c>
      <c r="F243" s="193">
        <v>0</v>
      </c>
      <c r="G243" s="193">
        <v>1</v>
      </c>
      <c r="H243" s="193">
        <v>0</v>
      </c>
      <c r="I243" s="193">
        <v>0</v>
      </c>
      <c r="J243" s="193">
        <v>0</v>
      </c>
      <c r="K243" s="193">
        <v>0</v>
      </c>
      <c r="L243" s="193">
        <v>0</v>
      </c>
      <c r="M243" s="193"/>
      <c r="N243" s="193">
        <v>0</v>
      </c>
      <c r="O243" s="193">
        <v>0</v>
      </c>
      <c r="P243" s="193">
        <v>0</v>
      </c>
      <c r="Q243" s="193">
        <v>0</v>
      </c>
      <c r="R243" s="193">
        <v>0</v>
      </c>
      <c r="S243" s="193">
        <v>0</v>
      </c>
      <c r="T243" s="193">
        <v>0</v>
      </c>
      <c r="U243" s="193">
        <v>0</v>
      </c>
      <c r="V243" s="193"/>
      <c r="W243" s="193"/>
      <c r="X243" s="193"/>
      <c r="Y243" s="843">
        <v>1</v>
      </c>
      <c r="Z243" s="139"/>
    </row>
    <row r="244" spans="1:26" hidden="1" x14ac:dyDescent="0.2">
      <c r="A244" s="190"/>
      <c r="B244" s="190"/>
      <c r="C244" s="216" t="s">
        <v>1396</v>
      </c>
      <c r="D244" s="217" t="s">
        <v>1397</v>
      </c>
      <c r="E244" s="218">
        <v>0</v>
      </c>
      <c r="F244" s="218">
        <v>0</v>
      </c>
      <c r="G244" s="218">
        <v>0</v>
      </c>
      <c r="H244" s="218">
        <v>0</v>
      </c>
      <c r="I244" s="218">
        <v>0</v>
      </c>
      <c r="J244" s="218">
        <v>0</v>
      </c>
      <c r="K244" s="218">
        <v>0</v>
      </c>
      <c r="L244" s="218">
        <v>0</v>
      </c>
      <c r="M244" s="218"/>
      <c r="N244" s="218">
        <v>0.89</v>
      </c>
      <c r="O244" s="218">
        <v>0</v>
      </c>
      <c r="P244" s="218">
        <v>0</v>
      </c>
      <c r="Q244" s="218">
        <v>0</v>
      </c>
      <c r="R244" s="218">
        <v>0</v>
      </c>
      <c r="S244" s="218">
        <v>0.11</v>
      </c>
      <c r="T244" s="218">
        <v>0</v>
      </c>
      <c r="U244" s="218">
        <v>0</v>
      </c>
      <c r="V244" s="218"/>
      <c r="W244" s="218"/>
      <c r="X244" s="218"/>
      <c r="Y244" s="848">
        <v>1</v>
      </c>
      <c r="Z244" s="139"/>
    </row>
    <row r="245" spans="1:26" hidden="1" x14ac:dyDescent="0.2">
      <c r="A245" s="198"/>
      <c r="B245" s="198"/>
      <c r="C245" s="191" t="s">
        <v>1398</v>
      </c>
      <c r="D245" s="192" t="s">
        <v>1399</v>
      </c>
      <c r="E245" s="193">
        <v>0</v>
      </c>
      <c r="F245" s="193">
        <v>0</v>
      </c>
      <c r="G245" s="193">
        <v>0</v>
      </c>
      <c r="H245" s="193">
        <v>0</v>
      </c>
      <c r="I245" s="193">
        <v>0</v>
      </c>
      <c r="J245" s="193">
        <v>0</v>
      </c>
      <c r="K245" s="193">
        <v>0</v>
      </c>
      <c r="L245" s="193">
        <v>0</v>
      </c>
      <c r="M245" s="193"/>
      <c r="N245" s="193">
        <v>1</v>
      </c>
      <c r="O245" s="193">
        <v>0</v>
      </c>
      <c r="P245" s="193">
        <v>0</v>
      </c>
      <c r="Q245" s="193">
        <v>0</v>
      </c>
      <c r="R245" s="193">
        <v>0</v>
      </c>
      <c r="S245" s="193">
        <v>0</v>
      </c>
      <c r="T245" s="193">
        <v>0</v>
      </c>
      <c r="U245" s="193">
        <v>0</v>
      </c>
      <c r="V245" s="193"/>
      <c r="W245" s="193"/>
      <c r="X245" s="193"/>
      <c r="Y245" s="843">
        <v>1</v>
      </c>
      <c r="Z245" s="139"/>
    </row>
    <row r="246" spans="1:26" hidden="1" x14ac:dyDescent="0.2">
      <c r="A246" s="746" t="s">
        <v>2599</v>
      </c>
      <c r="B246" s="741"/>
      <c r="C246" s="765" t="s">
        <v>1672</v>
      </c>
      <c r="D246" s="766" t="s">
        <v>1673</v>
      </c>
      <c r="E246" s="744">
        <v>0</v>
      </c>
      <c r="F246" s="744">
        <v>0</v>
      </c>
      <c r="G246" s="744">
        <v>6.6479641226698688E-4</v>
      </c>
      <c r="H246" s="744">
        <v>0</v>
      </c>
      <c r="I246" s="744">
        <v>0</v>
      </c>
      <c r="J246" s="744">
        <v>0</v>
      </c>
      <c r="K246" s="744">
        <v>0</v>
      </c>
      <c r="L246" s="744">
        <v>5.6982538211709302E-3</v>
      </c>
      <c r="M246" s="744">
        <v>0</v>
      </c>
      <c r="N246" s="744">
        <v>0.55173739786255382</v>
      </c>
      <c r="O246" s="744">
        <v>0</v>
      </c>
      <c r="P246" s="744">
        <v>8.8512869851203838E-2</v>
      </c>
      <c r="Q246" s="744">
        <v>0</v>
      </c>
      <c r="R246" s="744">
        <v>0</v>
      </c>
      <c r="S246" s="744">
        <v>0.3533866820528046</v>
      </c>
      <c r="T246" s="744">
        <v>0</v>
      </c>
      <c r="U246" s="744">
        <v>0</v>
      </c>
      <c r="V246" s="744">
        <v>0</v>
      </c>
      <c r="W246" s="744">
        <v>0</v>
      </c>
      <c r="X246" s="744">
        <v>0</v>
      </c>
      <c r="Y246" s="236">
        <v>1</v>
      </c>
      <c r="Z246" s="139"/>
    </row>
    <row r="247" spans="1:26" hidden="1" x14ac:dyDescent="0.2">
      <c r="A247" s="198"/>
      <c r="B247" s="198"/>
      <c r="C247" s="191" t="s">
        <v>1400</v>
      </c>
      <c r="D247" s="192" t="s">
        <v>1401</v>
      </c>
      <c r="E247" s="193">
        <v>0</v>
      </c>
      <c r="F247" s="193">
        <v>0</v>
      </c>
      <c r="G247" s="193">
        <v>0</v>
      </c>
      <c r="H247" s="193">
        <v>1</v>
      </c>
      <c r="I247" s="193">
        <v>0</v>
      </c>
      <c r="J247" s="193">
        <v>0</v>
      </c>
      <c r="K247" s="193">
        <v>0</v>
      </c>
      <c r="L247" s="193">
        <v>0</v>
      </c>
      <c r="M247" s="193"/>
      <c r="N247" s="193">
        <v>0</v>
      </c>
      <c r="O247" s="193">
        <v>0</v>
      </c>
      <c r="P247" s="193">
        <v>0</v>
      </c>
      <c r="Q247" s="193">
        <v>0</v>
      </c>
      <c r="R247" s="193">
        <v>0</v>
      </c>
      <c r="S247" s="193">
        <v>0</v>
      </c>
      <c r="T247" s="193">
        <v>0</v>
      </c>
      <c r="U247" s="193">
        <v>0</v>
      </c>
      <c r="V247" s="193"/>
      <c r="W247" s="193"/>
      <c r="X247" s="193"/>
      <c r="Y247" s="843">
        <v>1</v>
      </c>
      <c r="Z247" s="139"/>
    </row>
    <row r="248" spans="1:26" hidden="1" x14ac:dyDescent="0.2">
      <c r="A248" s="198"/>
      <c r="B248" s="198"/>
      <c r="C248" s="191" t="s">
        <v>1402</v>
      </c>
      <c r="D248" s="192" t="s">
        <v>1403</v>
      </c>
      <c r="E248" s="193">
        <v>0</v>
      </c>
      <c r="F248" s="193">
        <v>0</v>
      </c>
      <c r="G248" s="193">
        <v>0</v>
      </c>
      <c r="H248" s="193">
        <v>1</v>
      </c>
      <c r="I248" s="193">
        <v>0</v>
      </c>
      <c r="J248" s="193">
        <v>0</v>
      </c>
      <c r="K248" s="193">
        <v>0</v>
      </c>
      <c r="L248" s="193">
        <v>0</v>
      </c>
      <c r="M248" s="193"/>
      <c r="N248" s="193">
        <v>0</v>
      </c>
      <c r="O248" s="193">
        <v>0</v>
      </c>
      <c r="P248" s="193">
        <v>0</v>
      </c>
      <c r="Q248" s="193">
        <v>0</v>
      </c>
      <c r="R248" s="193">
        <v>0</v>
      </c>
      <c r="S248" s="193">
        <v>0</v>
      </c>
      <c r="T248" s="193">
        <v>0</v>
      </c>
      <c r="U248" s="193">
        <v>0</v>
      </c>
      <c r="V248" s="193"/>
      <c r="W248" s="193"/>
      <c r="X248" s="193"/>
      <c r="Y248" s="843">
        <v>1</v>
      </c>
      <c r="Z248" s="139"/>
    </row>
    <row r="249" spans="1:26" hidden="1" x14ac:dyDescent="0.2">
      <c r="A249" s="198"/>
      <c r="B249" s="198"/>
      <c r="C249" s="191" t="s">
        <v>1404</v>
      </c>
      <c r="D249" s="192" t="s">
        <v>1405</v>
      </c>
      <c r="E249" s="193">
        <v>0</v>
      </c>
      <c r="F249" s="193">
        <v>0</v>
      </c>
      <c r="G249" s="193">
        <v>0</v>
      </c>
      <c r="H249" s="193">
        <v>0</v>
      </c>
      <c r="I249" s="193">
        <v>0</v>
      </c>
      <c r="J249" s="193">
        <v>0</v>
      </c>
      <c r="K249" s="193">
        <v>0</v>
      </c>
      <c r="L249" s="193">
        <v>1</v>
      </c>
      <c r="M249" s="193"/>
      <c r="N249" s="193">
        <v>0</v>
      </c>
      <c r="O249" s="193">
        <v>0</v>
      </c>
      <c r="P249" s="193">
        <v>0</v>
      </c>
      <c r="Q249" s="193">
        <v>0</v>
      </c>
      <c r="R249" s="193">
        <v>0</v>
      </c>
      <c r="S249" s="193">
        <v>0</v>
      </c>
      <c r="T249" s="193">
        <v>0</v>
      </c>
      <c r="U249" s="193">
        <v>0</v>
      </c>
      <c r="V249" s="193"/>
      <c r="W249" s="193"/>
      <c r="X249" s="193"/>
      <c r="Y249" s="843">
        <v>1</v>
      </c>
      <c r="Z249" s="139"/>
    </row>
    <row r="250" spans="1:26" hidden="1" x14ac:dyDescent="0.2">
      <c r="A250" s="198"/>
      <c r="B250" s="198"/>
      <c r="C250" s="191" t="s">
        <v>1406</v>
      </c>
      <c r="D250" s="192" t="s">
        <v>1407</v>
      </c>
      <c r="E250" s="193">
        <v>1</v>
      </c>
      <c r="F250" s="193">
        <v>0</v>
      </c>
      <c r="G250" s="193">
        <v>0</v>
      </c>
      <c r="H250" s="193">
        <v>0</v>
      </c>
      <c r="I250" s="193">
        <v>0</v>
      </c>
      <c r="J250" s="193">
        <v>0</v>
      </c>
      <c r="K250" s="193">
        <v>0</v>
      </c>
      <c r="L250" s="193">
        <v>0</v>
      </c>
      <c r="M250" s="193"/>
      <c r="N250" s="193">
        <v>0</v>
      </c>
      <c r="O250" s="193">
        <v>0</v>
      </c>
      <c r="P250" s="193">
        <v>0</v>
      </c>
      <c r="Q250" s="193">
        <v>0</v>
      </c>
      <c r="R250" s="193">
        <v>0</v>
      </c>
      <c r="S250" s="193">
        <v>0</v>
      </c>
      <c r="T250" s="193">
        <v>0</v>
      </c>
      <c r="U250" s="193">
        <v>0</v>
      </c>
      <c r="V250" s="193"/>
      <c r="W250" s="193"/>
      <c r="X250" s="193"/>
      <c r="Y250" s="843">
        <v>1</v>
      </c>
      <c r="Z250" s="139"/>
    </row>
    <row r="251" spans="1:26" hidden="1" x14ac:dyDescent="0.2">
      <c r="A251" s="198"/>
      <c r="B251" s="198"/>
      <c r="C251" s="191" t="s">
        <v>1408</v>
      </c>
      <c r="D251" s="192" t="s">
        <v>1409</v>
      </c>
      <c r="E251" s="193">
        <v>1</v>
      </c>
      <c r="F251" s="193">
        <v>0</v>
      </c>
      <c r="G251" s="193">
        <v>0</v>
      </c>
      <c r="H251" s="193">
        <v>0</v>
      </c>
      <c r="I251" s="193">
        <v>0</v>
      </c>
      <c r="J251" s="193">
        <v>0</v>
      </c>
      <c r="K251" s="193">
        <v>0</v>
      </c>
      <c r="L251" s="193">
        <v>0</v>
      </c>
      <c r="M251" s="193"/>
      <c r="N251" s="193">
        <v>0</v>
      </c>
      <c r="O251" s="193">
        <v>0</v>
      </c>
      <c r="P251" s="193">
        <v>0</v>
      </c>
      <c r="Q251" s="193">
        <v>0</v>
      </c>
      <c r="R251" s="193">
        <v>0</v>
      </c>
      <c r="S251" s="193">
        <v>0</v>
      </c>
      <c r="T251" s="193">
        <v>0</v>
      </c>
      <c r="U251" s="193">
        <v>0</v>
      </c>
      <c r="V251" s="193"/>
      <c r="W251" s="193"/>
      <c r="X251" s="193"/>
      <c r="Y251" s="843">
        <v>1</v>
      </c>
      <c r="Z251" s="139"/>
    </row>
    <row r="252" spans="1:26" hidden="1" x14ac:dyDescent="0.2">
      <c r="A252" s="237"/>
      <c r="B252" s="190"/>
      <c r="C252" s="216" t="s">
        <v>1412</v>
      </c>
      <c r="D252" s="217" t="s">
        <v>1413</v>
      </c>
      <c r="E252" s="201">
        <v>0</v>
      </c>
      <c r="F252" s="201">
        <v>0</v>
      </c>
      <c r="G252" s="201">
        <v>0</v>
      </c>
      <c r="H252" s="201">
        <v>1</v>
      </c>
      <c r="I252" s="201">
        <v>0</v>
      </c>
      <c r="J252" s="201">
        <v>0</v>
      </c>
      <c r="K252" s="201">
        <v>0</v>
      </c>
      <c r="L252" s="201">
        <v>0</v>
      </c>
      <c r="M252" s="201"/>
      <c r="N252" s="201">
        <v>0</v>
      </c>
      <c r="O252" s="201">
        <v>0</v>
      </c>
      <c r="P252" s="201">
        <v>0</v>
      </c>
      <c r="Q252" s="201">
        <v>0</v>
      </c>
      <c r="R252" s="201">
        <v>0</v>
      </c>
      <c r="S252" s="201">
        <v>0</v>
      </c>
      <c r="T252" s="201">
        <v>0</v>
      </c>
      <c r="U252" s="201">
        <v>0</v>
      </c>
      <c r="V252" s="201"/>
      <c r="W252" s="201"/>
      <c r="X252" s="201"/>
      <c r="Y252" s="845">
        <v>1</v>
      </c>
      <c r="Z252" s="139"/>
    </row>
    <row r="253" spans="1:26" hidden="1" x14ac:dyDescent="0.2">
      <c r="A253" s="198"/>
      <c r="B253" s="198"/>
      <c r="C253" s="191" t="s">
        <v>1414</v>
      </c>
      <c r="D253" s="192" t="s">
        <v>1415</v>
      </c>
      <c r="E253" s="193">
        <v>0</v>
      </c>
      <c r="F253" s="193">
        <v>0</v>
      </c>
      <c r="G253" s="193">
        <v>0</v>
      </c>
      <c r="H253" s="193">
        <v>0</v>
      </c>
      <c r="I253" s="193">
        <v>0</v>
      </c>
      <c r="J253" s="193">
        <v>0</v>
      </c>
      <c r="K253" s="193">
        <v>0</v>
      </c>
      <c r="L253" s="193">
        <v>0</v>
      </c>
      <c r="M253" s="193"/>
      <c r="N253" s="193">
        <v>1</v>
      </c>
      <c r="O253" s="193">
        <v>0</v>
      </c>
      <c r="P253" s="193">
        <v>0</v>
      </c>
      <c r="Q253" s="193">
        <v>0</v>
      </c>
      <c r="R253" s="193">
        <v>0</v>
      </c>
      <c r="S253" s="193">
        <v>0</v>
      </c>
      <c r="T253" s="193">
        <v>0</v>
      </c>
      <c r="U253" s="193">
        <v>0</v>
      </c>
      <c r="V253" s="193"/>
      <c r="W253" s="193"/>
      <c r="X253" s="193"/>
      <c r="Y253" s="843">
        <v>1</v>
      </c>
      <c r="Z253" s="139"/>
    </row>
    <row r="254" spans="1:26" hidden="1" x14ac:dyDescent="0.2">
      <c r="A254" s="198"/>
      <c r="B254" s="198"/>
      <c r="C254" s="191" t="s">
        <v>1416</v>
      </c>
      <c r="D254" s="192" t="s">
        <v>1417</v>
      </c>
      <c r="E254" s="193">
        <v>0</v>
      </c>
      <c r="F254" s="193">
        <v>0</v>
      </c>
      <c r="G254" s="193">
        <v>0</v>
      </c>
      <c r="H254" s="193">
        <v>1</v>
      </c>
      <c r="I254" s="193">
        <v>0</v>
      </c>
      <c r="J254" s="193">
        <v>0</v>
      </c>
      <c r="K254" s="193">
        <v>0</v>
      </c>
      <c r="L254" s="193">
        <v>0</v>
      </c>
      <c r="M254" s="193"/>
      <c r="N254" s="193">
        <v>0</v>
      </c>
      <c r="O254" s="193">
        <v>0</v>
      </c>
      <c r="P254" s="193">
        <v>0</v>
      </c>
      <c r="Q254" s="193">
        <v>0</v>
      </c>
      <c r="R254" s="193">
        <v>0</v>
      </c>
      <c r="S254" s="193">
        <v>0</v>
      </c>
      <c r="T254" s="193">
        <v>0</v>
      </c>
      <c r="U254" s="193">
        <v>0</v>
      </c>
      <c r="V254" s="193"/>
      <c r="W254" s="193"/>
      <c r="X254" s="193"/>
      <c r="Y254" s="843">
        <v>1</v>
      </c>
      <c r="Z254" s="139"/>
    </row>
    <row r="255" spans="1:26" hidden="1" x14ac:dyDescent="0.2">
      <c r="A255" s="198"/>
      <c r="B255" s="198"/>
      <c r="C255" s="191" t="s">
        <v>1418</v>
      </c>
      <c r="D255" s="192" t="s">
        <v>1419</v>
      </c>
      <c r="E255" s="193">
        <v>0</v>
      </c>
      <c r="F255" s="193">
        <v>0</v>
      </c>
      <c r="G255" s="193">
        <v>0</v>
      </c>
      <c r="H255" s="193">
        <v>1</v>
      </c>
      <c r="I255" s="193">
        <v>0</v>
      </c>
      <c r="J255" s="193">
        <v>0</v>
      </c>
      <c r="K255" s="193">
        <v>0</v>
      </c>
      <c r="L255" s="193">
        <v>0</v>
      </c>
      <c r="M255" s="193"/>
      <c r="N255" s="193">
        <v>0</v>
      </c>
      <c r="O255" s="193">
        <v>0</v>
      </c>
      <c r="P255" s="193">
        <v>0</v>
      </c>
      <c r="Q255" s="193">
        <v>0</v>
      </c>
      <c r="R255" s="193">
        <v>0</v>
      </c>
      <c r="S255" s="193">
        <v>0</v>
      </c>
      <c r="T255" s="193">
        <v>0</v>
      </c>
      <c r="U255" s="193">
        <v>0</v>
      </c>
      <c r="V255" s="193"/>
      <c r="W255" s="193"/>
      <c r="X255" s="193"/>
      <c r="Y255" s="843">
        <v>1</v>
      </c>
      <c r="Z255" s="139"/>
    </row>
    <row r="256" spans="1:26" hidden="1" x14ac:dyDescent="0.2">
      <c r="A256" s="190"/>
      <c r="B256" s="190"/>
      <c r="C256" s="199" t="s">
        <v>1420</v>
      </c>
      <c r="D256" s="200" t="s">
        <v>1421</v>
      </c>
      <c r="E256" s="201">
        <v>0</v>
      </c>
      <c r="F256" s="201">
        <v>0</v>
      </c>
      <c r="G256" s="201">
        <v>0</v>
      </c>
      <c r="H256" s="201">
        <v>0</v>
      </c>
      <c r="I256" s="201">
        <v>0</v>
      </c>
      <c r="J256" s="201">
        <v>0</v>
      </c>
      <c r="K256" s="201">
        <v>0</v>
      </c>
      <c r="L256" s="201">
        <v>0</v>
      </c>
      <c r="M256" s="201"/>
      <c r="N256" s="201">
        <v>0.2</v>
      </c>
      <c r="O256" s="201">
        <v>0</v>
      </c>
      <c r="P256" s="201">
        <v>0</v>
      </c>
      <c r="Q256" s="201">
        <v>0</v>
      </c>
      <c r="R256" s="201">
        <v>0</v>
      </c>
      <c r="S256" s="201">
        <v>0</v>
      </c>
      <c r="T256" s="201">
        <v>0.8</v>
      </c>
      <c r="U256" s="201">
        <v>0</v>
      </c>
      <c r="V256" s="201"/>
      <c r="W256" s="201"/>
      <c r="X256" s="201"/>
      <c r="Y256" s="845">
        <v>1</v>
      </c>
      <c r="Z256" s="139"/>
    </row>
    <row r="257" spans="1:26" hidden="1" x14ac:dyDescent="0.2">
      <c r="A257" s="190"/>
      <c r="B257" s="190"/>
      <c r="C257" s="222" t="s">
        <v>1422</v>
      </c>
      <c r="D257" s="223" t="s">
        <v>1423</v>
      </c>
      <c r="E257" s="204">
        <v>0</v>
      </c>
      <c r="F257" s="204">
        <v>0</v>
      </c>
      <c r="G257" s="204">
        <v>0</v>
      </c>
      <c r="H257" s="204">
        <v>0</v>
      </c>
      <c r="I257" s="204">
        <v>0</v>
      </c>
      <c r="J257" s="204">
        <v>0</v>
      </c>
      <c r="K257" s="204">
        <v>0</v>
      </c>
      <c r="L257" s="204">
        <v>0</v>
      </c>
      <c r="M257" s="204"/>
      <c r="N257" s="204">
        <v>0</v>
      </c>
      <c r="O257" s="204">
        <v>0</v>
      </c>
      <c r="P257" s="204">
        <v>1</v>
      </c>
      <c r="Q257" s="204">
        <v>0</v>
      </c>
      <c r="R257" s="204">
        <v>0</v>
      </c>
      <c r="S257" s="204">
        <v>0</v>
      </c>
      <c r="T257" s="204">
        <v>0</v>
      </c>
      <c r="U257" s="204">
        <v>0</v>
      </c>
      <c r="V257" s="204"/>
      <c r="W257" s="204"/>
      <c r="X257" s="204"/>
      <c r="Y257" s="846">
        <v>1</v>
      </c>
      <c r="Z257" s="139"/>
    </row>
    <row r="258" spans="1:26" hidden="1" x14ac:dyDescent="0.2">
      <c r="A258" s="198"/>
      <c r="B258" s="198"/>
      <c r="C258" s="191" t="s">
        <v>1424</v>
      </c>
      <c r="D258" s="192" t="s">
        <v>1425</v>
      </c>
      <c r="E258" s="193">
        <v>0</v>
      </c>
      <c r="F258" s="193">
        <v>0</v>
      </c>
      <c r="G258" s="193">
        <v>0</v>
      </c>
      <c r="H258" s="193">
        <v>0</v>
      </c>
      <c r="I258" s="193">
        <v>0</v>
      </c>
      <c r="J258" s="193">
        <v>0</v>
      </c>
      <c r="K258" s="193">
        <v>0</v>
      </c>
      <c r="L258" s="193">
        <v>0</v>
      </c>
      <c r="M258" s="193"/>
      <c r="N258" s="193">
        <v>0</v>
      </c>
      <c r="O258" s="193">
        <v>0</v>
      </c>
      <c r="P258" s="193">
        <v>1</v>
      </c>
      <c r="Q258" s="193">
        <v>0</v>
      </c>
      <c r="R258" s="193">
        <v>0</v>
      </c>
      <c r="S258" s="193">
        <v>0</v>
      </c>
      <c r="T258" s="193">
        <v>0</v>
      </c>
      <c r="U258" s="193">
        <v>0</v>
      </c>
      <c r="V258" s="193"/>
      <c r="W258" s="193"/>
      <c r="X258" s="193"/>
      <c r="Y258" s="843">
        <v>1</v>
      </c>
      <c r="Z258" s="139"/>
    </row>
    <row r="259" spans="1:26" hidden="1" x14ac:dyDescent="0.2">
      <c r="A259" s="198"/>
      <c r="B259" s="198"/>
      <c r="C259" s="191" t="s">
        <v>1426</v>
      </c>
      <c r="D259" s="192" t="s">
        <v>1427</v>
      </c>
      <c r="E259" s="193">
        <v>0</v>
      </c>
      <c r="F259" s="193">
        <v>0</v>
      </c>
      <c r="G259" s="193">
        <v>0</v>
      </c>
      <c r="H259" s="193">
        <v>0</v>
      </c>
      <c r="I259" s="193">
        <v>0</v>
      </c>
      <c r="J259" s="193">
        <v>0</v>
      </c>
      <c r="K259" s="193">
        <v>0</v>
      </c>
      <c r="L259" s="193">
        <v>0</v>
      </c>
      <c r="M259" s="193"/>
      <c r="N259" s="193">
        <v>1</v>
      </c>
      <c r="O259" s="193">
        <v>0</v>
      </c>
      <c r="P259" s="193">
        <v>0</v>
      </c>
      <c r="Q259" s="193">
        <v>0</v>
      </c>
      <c r="R259" s="193">
        <v>0</v>
      </c>
      <c r="S259" s="193">
        <v>0</v>
      </c>
      <c r="T259" s="193">
        <v>0</v>
      </c>
      <c r="U259" s="193">
        <v>0</v>
      </c>
      <c r="V259" s="193"/>
      <c r="W259" s="193"/>
      <c r="X259" s="193"/>
      <c r="Y259" s="843">
        <v>1</v>
      </c>
      <c r="Z259" s="139"/>
    </row>
    <row r="260" spans="1:26" hidden="1" x14ac:dyDescent="0.2">
      <c r="A260" s="198"/>
      <c r="B260" s="198"/>
      <c r="C260" s="214" t="s">
        <v>1125</v>
      </c>
      <c r="D260" s="215" t="s">
        <v>1126</v>
      </c>
      <c r="E260" s="193">
        <v>0</v>
      </c>
      <c r="F260" s="193">
        <v>0</v>
      </c>
      <c r="G260" s="193">
        <v>0</v>
      </c>
      <c r="H260" s="193">
        <v>1</v>
      </c>
      <c r="I260" s="193">
        <v>0</v>
      </c>
      <c r="J260" s="193">
        <v>0</v>
      </c>
      <c r="K260" s="193">
        <v>0</v>
      </c>
      <c r="L260" s="193">
        <v>0</v>
      </c>
      <c r="M260" s="193">
        <v>0</v>
      </c>
      <c r="N260" s="193">
        <v>0</v>
      </c>
      <c r="O260" s="193">
        <v>0</v>
      </c>
      <c r="P260" s="193">
        <v>0</v>
      </c>
      <c r="Q260" s="193">
        <v>0</v>
      </c>
      <c r="R260" s="193">
        <v>0</v>
      </c>
      <c r="S260" s="193">
        <v>0</v>
      </c>
      <c r="T260" s="193">
        <v>0</v>
      </c>
      <c r="U260" s="193">
        <v>0</v>
      </c>
      <c r="V260" s="193"/>
      <c r="W260" s="193"/>
      <c r="X260" s="193"/>
      <c r="Y260" s="843">
        <v>1</v>
      </c>
      <c r="Z260" s="139"/>
    </row>
    <row r="261" spans="1:26" hidden="1" x14ac:dyDescent="0.2">
      <c r="A261" s="198"/>
      <c r="B261" s="198"/>
      <c r="C261" s="191" t="s">
        <v>1428</v>
      </c>
      <c r="D261" s="192" t="s">
        <v>2820</v>
      </c>
      <c r="E261" s="193">
        <v>0</v>
      </c>
      <c r="F261" s="193">
        <v>0</v>
      </c>
      <c r="G261" s="193">
        <v>0</v>
      </c>
      <c r="H261" s="193">
        <v>1</v>
      </c>
      <c r="I261" s="193">
        <v>0</v>
      </c>
      <c r="J261" s="193">
        <v>0</v>
      </c>
      <c r="K261" s="193">
        <v>0</v>
      </c>
      <c r="L261" s="193">
        <v>0</v>
      </c>
      <c r="M261" s="193"/>
      <c r="N261" s="193">
        <v>0</v>
      </c>
      <c r="O261" s="193">
        <v>0</v>
      </c>
      <c r="P261" s="193">
        <v>0</v>
      </c>
      <c r="Q261" s="193">
        <v>0</v>
      </c>
      <c r="R261" s="193">
        <v>0</v>
      </c>
      <c r="S261" s="193">
        <v>0</v>
      </c>
      <c r="T261" s="193">
        <v>0</v>
      </c>
      <c r="U261" s="193">
        <v>0</v>
      </c>
      <c r="V261" s="193"/>
      <c r="W261" s="193"/>
      <c r="X261" s="193"/>
      <c r="Y261" s="843">
        <v>1</v>
      </c>
      <c r="Z261" s="139"/>
    </row>
    <row r="262" spans="1:26" hidden="1" x14ac:dyDescent="0.2">
      <c r="A262" s="198"/>
      <c r="B262" s="198"/>
      <c r="C262" s="191" t="s">
        <v>1429</v>
      </c>
      <c r="D262" s="192" t="s">
        <v>1430</v>
      </c>
      <c r="E262" s="193">
        <v>0</v>
      </c>
      <c r="F262" s="193">
        <v>0</v>
      </c>
      <c r="G262" s="193">
        <v>0</v>
      </c>
      <c r="H262" s="193">
        <v>1</v>
      </c>
      <c r="I262" s="193">
        <v>0</v>
      </c>
      <c r="J262" s="193">
        <v>0</v>
      </c>
      <c r="K262" s="193">
        <v>0</v>
      </c>
      <c r="L262" s="193">
        <v>0</v>
      </c>
      <c r="M262" s="193"/>
      <c r="N262" s="193">
        <v>0</v>
      </c>
      <c r="O262" s="193">
        <v>0</v>
      </c>
      <c r="P262" s="193">
        <v>0</v>
      </c>
      <c r="Q262" s="193">
        <v>0</v>
      </c>
      <c r="R262" s="193">
        <v>0</v>
      </c>
      <c r="S262" s="193">
        <v>0</v>
      </c>
      <c r="T262" s="193">
        <v>0</v>
      </c>
      <c r="U262" s="193">
        <v>0</v>
      </c>
      <c r="V262" s="193"/>
      <c r="W262" s="193"/>
      <c r="X262" s="193"/>
      <c r="Y262" s="843">
        <v>1</v>
      </c>
      <c r="Z262" s="139"/>
    </row>
    <row r="263" spans="1:26" hidden="1" x14ac:dyDescent="0.2">
      <c r="A263" s="198"/>
      <c r="B263" s="198"/>
      <c r="C263" s="191" t="s">
        <v>1431</v>
      </c>
      <c r="D263" s="192" t="s">
        <v>1432</v>
      </c>
      <c r="E263" s="193">
        <v>0</v>
      </c>
      <c r="F263" s="193">
        <v>0</v>
      </c>
      <c r="G263" s="193">
        <v>0</v>
      </c>
      <c r="H263" s="193">
        <v>1</v>
      </c>
      <c r="I263" s="193">
        <v>0</v>
      </c>
      <c r="J263" s="193">
        <v>0</v>
      </c>
      <c r="K263" s="193">
        <v>0</v>
      </c>
      <c r="L263" s="193">
        <v>0</v>
      </c>
      <c r="M263" s="193"/>
      <c r="N263" s="193">
        <v>0</v>
      </c>
      <c r="O263" s="193">
        <v>0</v>
      </c>
      <c r="P263" s="193">
        <v>0</v>
      </c>
      <c r="Q263" s="193">
        <v>0</v>
      </c>
      <c r="R263" s="193">
        <v>0</v>
      </c>
      <c r="S263" s="193">
        <v>0</v>
      </c>
      <c r="T263" s="193">
        <v>0</v>
      </c>
      <c r="U263" s="193">
        <v>0</v>
      </c>
      <c r="V263" s="193"/>
      <c r="W263" s="193"/>
      <c r="X263" s="193"/>
      <c r="Y263" s="843">
        <v>1</v>
      </c>
      <c r="Z263" s="139"/>
    </row>
    <row r="264" spans="1:26" hidden="1" x14ac:dyDescent="0.2">
      <c r="A264" s="198"/>
      <c r="B264" s="198"/>
      <c r="C264" s="191" t="s">
        <v>1433</v>
      </c>
      <c r="D264" s="192" t="s">
        <v>1434</v>
      </c>
      <c r="E264" s="193">
        <v>1</v>
      </c>
      <c r="F264" s="193">
        <v>0</v>
      </c>
      <c r="G264" s="193">
        <v>0</v>
      </c>
      <c r="H264" s="193">
        <v>0</v>
      </c>
      <c r="I264" s="193">
        <v>0</v>
      </c>
      <c r="J264" s="193">
        <v>0</v>
      </c>
      <c r="K264" s="193">
        <v>0</v>
      </c>
      <c r="L264" s="193">
        <v>0</v>
      </c>
      <c r="M264" s="193"/>
      <c r="N264" s="193">
        <v>0</v>
      </c>
      <c r="O264" s="193">
        <v>0</v>
      </c>
      <c r="P264" s="193">
        <v>0</v>
      </c>
      <c r="Q264" s="193">
        <v>0</v>
      </c>
      <c r="R264" s="193">
        <v>0</v>
      </c>
      <c r="S264" s="193">
        <v>0</v>
      </c>
      <c r="T264" s="193">
        <v>0</v>
      </c>
      <c r="U264" s="193">
        <v>0</v>
      </c>
      <c r="V264" s="193"/>
      <c r="W264" s="193"/>
      <c r="X264" s="193"/>
      <c r="Y264" s="843">
        <v>1</v>
      </c>
      <c r="Z264" s="139"/>
    </row>
    <row r="265" spans="1:26" hidden="1" x14ac:dyDescent="0.2">
      <c r="A265" s="198"/>
      <c r="B265" s="198"/>
      <c r="C265" s="191" t="s">
        <v>1437</v>
      </c>
      <c r="D265" s="192" t="s">
        <v>1438</v>
      </c>
      <c r="E265" s="193">
        <v>0</v>
      </c>
      <c r="F265" s="193">
        <v>0</v>
      </c>
      <c r="G265" s="193">
        <v>0</v>
      </c>
      <c r="H265" s="193">
        <v>1</v>
      </c>
      <c r="I265" s="193">
        <v>0</v>
      </c>
      <c r="J265" s="193">
        <v>0</v>
      </c>
      <c r="K265" s="193">
        <v>0</v>
      </c>
      <c r="L265" s="193">
        <v>0</v>
      </c>
      <c r="M265" s="193"/>
      <c r="N265" s="193">
        <v>0</v>
      </c>
      <c r="O265" s="193">
        <v>0</v>
      </c>
      <c r="P265" s="193">
        <v>0</v>
      </c>
      <c r="Q265" s="193">
        <v>0</v>
      </c>
      <c r="R265" s="193">
        <v>0</v>
      </c>
      <c r="S265" s="193">
        <v>0</v>
      </c>
      <c r="T265" s="193">
        <v>0</v>
      </c>
      <c r="U265" s="193">
        <v>0</v>
      </c>
      <c r="V265" s="193"/>
      <c r="W265" s="193"/>
      <c r="X265" s="193"/>
      <c r="Y265" s="843">
        <v>1</v>
      </c>
      <c r="Z265" s="139"/>
    </row>
    <row r="266" spans="1:26" hidden="1" x14ac:dyDescent="0.2">
      <c r="A266" s="198"/>
      <c r="B266" s="198"/>
      <c r="C266" s="191" t="s">
        <v>1439</v>
      </c>
      <c r="D266" s="192" t="s">
        <v>1440</v>
      </c>
      <c r="E266" s="193">
        <v>0</v>
      </c>
      <c r="F266" s="193">
        <v>0</v>
      </c>
      <c r="G266" s="193">
        <v>0</v>
      </c>
      <c r="H266" s="193">
        <v>0.16</v>
      </c>
      <c r="I266" s="193">
        <v>0</v>
      </c>
      <c r="J266" s="193">
        <v>0</v>
      </c>
      <c r="K266" s="193">
        <v>0</v>
      </c>
      <c r="L266" s="193">
        <v>0</v>
      </c>
      <c r="M266" s="193"/>
      <c r="N266" s="193">
        <v>0</v>
      </c>
      <c r="O266" s="193">
        <v>0</v>
      </c>
      <c r="P266" s="193">
        <v>0</v>
      </c>
      <c r="Q266" s="193">
        <v>0</v>
      </c>
      <c r="R266" s="193">
        <v>0</v>
      </c>
      <c r="S266" s="193">
        <v>0.84</v>
      </c>
      <c r="T266" s="193">
        <v>0</v>
      </c>
      <c r="U266" s="193">
        <v>0</v>
      </c>
      <c r="V266" s="193"/>
      <c r="W266" s="193"/>
      <c r="X266" s="193"/>
      <c r="Y266" s="843">
        <v>1</v>
      </c>
      <c r="Z266" s="139"/>
    </row>
    <row r="267" spans="1:26" hidden="1" x14ac:dyDescent="0.2">
      <c r="A267" s="198"/>
      <c r="B267" s="198"/>
      <c r="C267" s="191" t="s">
        <v>1441</v>
      </c>
      <c r="D267" s="192" t="s">
        <v>1442</v>
      </c>
      <c r="E267" s="193">
        <v>0</v>
      </c>
      <c r="F267" s="193">
        <v>0</v>
      </c>
      <c r="G267" s="193">
        <v>0</v>
      </c>
      <c r="H267" s="193">
        <v>0</v>
      </c>
      <c r="I267" s="193">
        <v>0</v>
      </c>
      <c r="J267" s="193">
        <v>0</v>
      </c>
      <c r="K267" s="193">
        <v>0</v>
      </c>
      <c r="L267" s="193">
        <v>0</v>
      </c>
      <c r="M267" s="193"/>
      <c r="N267" s="193">
        <v>1</v>
      </c>
      <c r="O267" s="193">
        <v>0</v>
      </c>
      <c r="P267" s="193">
        <v>0</v>
      </c>
      <c r="Q267" s="193">
        <v>0</v>
      </c>
      <c r="R267" s="193">
        <v>0</v>
      </c>
      <c r="S267" s="193">
        <v>0</v>
      </c>
      <c r="T267" s="193">
        <v>0</v>
      </c>
      <c r="U267" s="193">
        <v>0</v>
      </c>
      <c r="V267" s="193"/>
      <c r="W267" s="193"/>
      <c r="X267" s="193"/>
      <c r="Y267" s="843">
        <v>1</v>
      </c>
      <c r="Z267" s="139"/>
    </row>
    <row r="268" spans="1:26" hidden="1" x14ac:dyDescent="0.2">
      <c r="A268" s="198"/>
      <c r="B268" s="198"/>
      <c r="C268" s="191" t="s">
        <v>1443</v>
      </c>
      <c r="D268" s="192" t="s">
        <v>1444</v>
      </c>
      <c r="E268" s="193">
        <v>0</v>
      </c>
      <c r="F268" s="193">
        <v>0</v>
      </c>
      <c r="G268" s="193">
        <v>3.6086956521739127E-2</v>
      </c>
      <c r="H268" s="193">
        <v>0</v>
      </c>
      <c r="I268" s="193">
        <v>0</v>
      </c>
      <c r="J268" s="193">
        <v>0</v>
      </c>
      <c r="K268" s="193">
        <v>0</v>
      </c>
      <c r="L268" s="193">
        <v>0</v>
      </c>
      <c r="M268" s="193"/>
      <c r="N268" s="193">
        <v>0.58173913043478265</v>
      </c>
      <c r="O268" s="193">
        <v>1.4347826086956523E-2</v>
      </c>
      <c r="P268" s="193">
        <v>6.6956521739130442E-2</v>
      </c>
      <c r="Q268" s="193">
        <v>7.3913043478260878E-3</v>
      </c>
      <c r="R268" s="193">
        <v>0</v>
      </c>
      <c r="S268" s="193">
        <v>0.14869565217391303</v>
      </c>
      <c r="T268" s="193">
        <v>0.14478260869565218</v>
      </c>
      <c r="U268" s="193">
        <v>0</v>
      </c>
      <c r="V268" s="193"/>
      <c r="W268" s="193"/>
      <c r="X268" s="193"/>
      <c r="Y268" s="843">
        <v>1</v>
      </c>
      <c r="Z268" s="139"/>
    </row>
    <row r="269" spans="1:26" hidden="1" x14ac:dyDescent="0.2">
      <c r="A269" s="198"/>
      <c r="B269" s="198"/>
      <c r="C269" s="191" t="s">
        <v>1445</v>
      </c>
      <c r="D269" s="192" t="s">
        <v>1446</v>
      </c>
      <c r="E269" s="193">
        <v>0</v>
      </c>
      <c r="F269" s="193">
        <v>0</v>
      </c>
      <c r="G269" s="193">
        <v>0</v>
      </c>
      <c r="H269" s="193">
        <v>0</v>
      </c>
      <c r="I269" s="193">
        <v>0</v>
      </c>
      <c r="J269" s="193">
        <v>0</v>
      </c>
      <c r="K269" s="193">
        <v>0</v>
      </c>
      <c r="L269" s="193">
        <v>0</v>
      </c>
      <c r="M269" s="193"/>
      <c r="N269" s="193">
        <v>0.6875</v>
      </c>
      <c r="O269" s="193">
        <v>0</v>
      </c>
      <c r="P269" s="193">
        <v>0</v>
      </c>
      <c r="Q269" s="193">
        <v>0</v>
      </c>
      <c r="R269" s="193">
        <v>0</v>
      </c>
      <c r="S269" s="193">
        <v>0.3125</v>
      </c>
      <c r="T269" s="193">
        <v>0</v>
      </c>
      <c r="U269" s="193">
        <v>0</v>
      </c>
      <c r="V269" s="193"/>
      <c r="W269" s="193"/>
      <c r="X269" s="193"/>
      <c r="Y269" s="843">
        <v>1</v>
      </c>
      <c r="Z269" s="139"/>
    </row>
    <row r="270" spans="1:26" hidden="1" x14ac:dyDescent="0.2">
      <c r="A270" s="190"/>
      <c r="B270" s="190"/>
      <c r="C270" s="216" t="s">
        <v>1447</v>
      </c>
      <c r="D270" s="217" t="s">
        <v>1448</v>
      </c>
      <c r="E270" s="218">
        <v>0</v>
      </c>
      <c r="F270" s="218">
        <v>0</v>
      </c>
      <c r="G270" s="218">
        <v>1</v>
      </c>
      <c r="H270" s="218">
        <v>0</v>
      </c>
      <c r="I270" s="218">
        <v>0</v>
      </c>
      <c r="J270" s="218">
        <v>0</v>
      </c>
      <c r="K270" s="218">
        <v>0</v>
      </c>
      <c r="L270" s="218">
        <v>0</v>
      </c>
      <c r="M270" s="218"/>
      <c r="N270" s="218">
        <v>0</v>
      </c>
      <c r="O270" s="218">
        <v>0</v>
      </c>
      <c r="P270" s="218">
        <v>0</v>
      </c>
      <c r="Q270" s="218">
        <v>0</v>
      </c>
      <c r="R270" s="218">
        <v>0</v>
      </c>
      <c r="S270" s="218">
        <v>0</v>
      </c>
      <c r="T270" s="218">
        <v>0</v>
      </c>
      <c r="U270" s="218">
        <v>0</v>
      </c>
      <c r="V270" s="218"/>
      <c r="W270" s="218"/>
      <c r="X270" s="218"/>
      <c r="Y270" s="848">
        <v>1</v>
      </c>
      <c r="Z270" s="139"/>
    </row>
    <row r="271" spans="1:26" hidden="1" x14ac:dyDescent="0.2">
      <c r="A271" s="198"/>
      <c r="B271" s="198"/>
      <c r="C271" s="191" t="s">
        <v>1449</v>
      </c>
      <c r="D271" s="192" t="s">
        <v>1450</v>
      </c>
      <c r="E271" s="193">
        <v>0</v>
      </c>
      <c r="F271" s="193">
        <v>0</v>
      </c>
      <c r="G271" s="193">
        <v>0</v>
      </c>
      <c r="H271" s="193">
        <v>0</v>
      </c>
      <c r="I271" s="193">
        <v>0</v>
      </c>
      <c r="J271" s="193">
        <v>1</v>
      </c>
      <c r="K271" s="193">
        <v>0</v>
      </c>
      <c r="L271" s="193">
        <v>0</v>
      </c>
      <c r="M271" s="193"/>
      <c r="N271" s="193">
        <v>0</v>
      </c>
      <c r="O271" s="193">
        <v>0</v>
      </c>
      <c r="P271" s="193">
        <v>0</v>
      </c>
      <c r="Q271" s="193">
        <v>0</v>
      </c>
      <c r="R271" s="193">
        <v>0</v>
      </c>
      <c r="S271" s="193">
        <v>0</v>
      </c>
      <c r="T271" s="193">
        <v>0</v>
      </c>
      <c r="U271" s="193">
        <v>0</v>
      </c>
      <c r="V271" s="193"/>
      <c r="W271" s="193"/>
      <c r="X271" s="193"/>
      <c r="Y271" s="843">
        <v>1</v>
      </c>
      <c r="Z271" s="139"/>
    </row>
    <row r="272" spans="1:26" hidden="1" x14ac:dyDescent="0.2">
      <c r="A272" s="198"/>
      <c r="B272" s="198"/>
      <c r="C272" s="191" t="s">
        <v>1451</v>
      </c>
      <c r="D272" s="192" t="s">
        <v>1452</v>
      </c>
      <c r="E272" s="193">
        <v>0</v>
      </c>
      <c r="F272" s="193">
        <v>0</v>
      </c>
      <c r="G272" s="193">
        <v>0</v>
      </c>
      <c r="H272" s="193">
        <v>0</v>
      </c>
      <c r="I272" s="193">
        <v>0</v>
      </c>
      <c r="J272" s="193">
        <v>1</v>
      </c>
      <c r="K272" s="193">
        <v>0</v>
      </c>
      <c r="L272" s="193">
        <v>0</v>
      </c>
      <c r="M272" s="193"/>
      <c r="N272" s="193">
        <v>0</v>
      </c>
      <c r="O272" s="193">
        <v>0</v>
      </c>
      <c r="P272" s="193">
        <v>0</v>
      </c>
      <c r="Q272" s="193">
        <v>0</v>
      </c>
      <c r="R272" s="193">
        <v>0</v>
      </c>
      <c r="S272" s="193">
        <v>0</v>
      </c>
      <c r="T272" s="193">
        <v>0</v>
      </c>
      <c r="U272" s="193">
        <v>0</v>
      </c>
      <c r="V272" s="193"/>
      <c r="W272" s="193"/>
      <c r="X272" s="193"/>
      <c r="Y272" s="843">
        <v>1</v>
      </c>
      <c r="Z272" s="139"/>
    </row>
    <row r="273" spans="1:26" hidden="1" x14ac:dyDescent="0.2">
      <c r="A273" s="198"/>
      <c r="B273" s="198"/>
      <c r="C273" s="191" t="s">
        <v>1453</v>
      </c>
      <c r="D273" s="192" t="s">
        <v>1454</v>
      </c>
      <c r="E273" s="193">
        <v>0</v>
      </c>
      <c r="F273" s="193">
        <v>0</v>
      </c>
      <c r="G273" s="193">
        <v>0</v>
      </c>
      <c r="H273" s="193">
        <v>0</v>
      </c>
      <c r="I273" s="193">
        <v>0.58823529411764708</v>
      </c>
      <c r="J273" s="193">
        <v>0.41176470588235298</v>
      </c>
      <c r="K273" s="193">
        <v>0</v>
      </c>
      <c r="L273" s="193">
        <v>0</v>
      </c>
      <c r="M273" s="193"/>
      <c r="N273" s="193">
        <v>0</v>
      </c>
      <c r="O273" s="193">
        <v>0</v>
      </c>
      <c r="P273" s="193">
        <v>0</v>
      </c>
      <c r="Q273" s="193">
        <v>0</v>
      </c>
      <c r="R273" s="193">
        <v>0</v>
      </c>
      <c r="S273" s="193">
        <v>0</v>
      </c>
      <c r="T273" s="193">
        <v>0</v>
      </c>
      <c r="U273" s="193">
        <v>0</v>
      </c>
      <c r="V273" s="193"/>
      <c r="W273" s="193"/>
      <c r="X273" s="193"/>
      <c r="Y273" s="843">
        <v>1</v>
      </c>
      <c r="Z273" s="139"/>
    </row>
    <row r="274" spans="1:26" hidden="1" x14ac:dyDescent="0.2">
      <c r="A274" s="198"/>
      <c r="B274" s="198"/>
      <c r="C274" s="205" t="s">
        <v>2206</v>
      </c>
      <c r="D274" s="206" t="s">
        <v>2207</v>
      </c>
      <c r="E274" s="193">
        <v>0</v>
      </c>
      <c r="F274" s="193">
        <v>0</v>
      </c>
      <c r="G274" s="193">
        <v>0</v>
      </c>
      <c r="H274" s="193">
        <v>0</v>
      </c>
      <c r="I274" s="193">
        <v>0</v>
      </c>
      <c r="J274" s="193">
        <v>0</v>
      </c>
      <c r="K274" s="193">
        <v>0</v>
      </c>
      <c r="L274" s="193">
        <v>1</v>
      </c>
      <c r="M274" s="193">
        <v>0</v>
      </c>
      <c r="N274" s="193">
        <v>0</v>
      </c>
      <c r="O274" s="193">
        <v>0</v>
      </c>
      <c r="P274" s="193">
        <v>0</v>
      </c>
      <c r="Q274" s="193">
        <v>0</v>
      </c>
      <c r="R274" s="193">
        <v>0</v>
      </c>
      <c r="S274" s="193">
        <v>0</v>
      </c>
      <c r="T274" s="193">
        <v>0</v>
      </c>
      <c r="U274" s="193">
        <v>0</v>
      </c>
      <c r="V274" s="193">
        <v>0</v>
      </c>
      <c r="W274" s="193">
        <v>0</v>
      </c>
      <c r="X274" s="193"/>
      <c r="Y274" s="843">
        <v>1</v>
      </c>
      <c r="Z274" s="139"/>
    </row>
    <row r="275" spans="1:26" hidden="1" x14ac:dyDescent="0.2">
      <c r="A275" s="198"/>
      <c r="B275" s="198"/>
      <c r="C275" s="191" t="s">
        <v>1455</v>
      </c>
      <c r="D275" s="192" t="s">
        <v>1456</v>
      </c>
      <c r="E275" s="193">
        <v>0</v>
      </c>
      <c r="F275" s="193">
        <v>0</v>
      </c>
      <c r="G275" s="193">
        <v>1</v>
      </c>
      <c r="H275" s="193">
        <v>0</v>
      </c>
      <c r="I275" s="193">
        <v>0</v>
      </c>
      <c r="J275" s="193">
        <v>0</v>
      </c>
      <c r="K275" s="193">
        <v>0</v>
      </c>
      <c r="L275" s="193">
        <v>0</v>
      </c>
      <c r="M275" s="193"/>
      <c r="N275" s="193">
        <v>0</v>
      </c>
      <c r="O275" s="193">
        <v>0</v>
      </c>
      <c r="P275" s="193">
        <v>0</v>
      </c>
      <c r="Q275" s="193">
        <v>0</v>
      </c>
      <c r="R275" s="193">
        <v>0</v>
      </c>
      <c r="S275" s="193">
        <v>0</v>
      </c>
      <c r="T275" s="193">
        <v>0</v>
      </c>
      <c r="U275" s="193">
        <v>0</v>
      </c>
      <c r="V275" s="193"/>
      <c r="W275" s="193"/>
      <c r="X275" s="193"/>
      <c r="Y275" s="843">
        <v>1</v>
      </c>
      <c r="Z275" s="139"/>
    </row>
    <row r="276" spans="1:26" hidden="1" x14ac:dyDescent="0.2">
      <c r="A276" s="198"/>
      <c r="B276" s="198"/>
      <c r="C276" s="191" t="s">
        <v>1457</v>
      </c>
      <c r="D276" s="192" t="s">
        <v>1458</v>
      </c>
      <c r="E276" s="193">
        <v>0</v>
      </c>
      <c r="F276" s="193">
        <v>0</v>
      </c>
      <c r="G276" s="193">
        <v>1</v>
      </c>
      <c r="H276" s="193">
        <v>0</v>
      </c>
      <c r="I276" s="193">
        <v>0</v>
      </c>
      <c r="J276" s="193">
        <v>0</v>
      </c>
      <c r="K276" s="193">
        <v>0</v>
      </c>
      <c r="L276" s="193">
        <v>0</v>
      </c>
      <c r="M276" s="193"/>
      <c r="N276" s="193">
        <v>0</v>
      </c>
      <c r="O276" s="193">
        <v>0</v>
      </c>
      <c r="P276" s="193">
        <v>0</v>
      </c>
      <c r="Q276" s="193">
        <v>0</v>
      </c>
      <c r="R276" s="193">
        <v>0</v>
      </c>
      <c r="S276" s="193">
        <v>0</v>
      </c>
      <c r="T276" s="193">
        <v>0</v>
      </c>
      <c r="U276" s="193">
        <v>0</v>
      </c>
      <c r="V276" s="193"/>
      <c r="W276" s="193"/>
      <c r="X276" s="193"/>
      <c r="Y276" s="843">
        <v>1</v>
      </c>
      <c r="Z276" s="139"/>
    </row>
    <row r="277" spans="1:26" hidden="1" x14ac:dyDescent="0.2">
      <c r="A277" s="190"/>
      <c r="B277" s="190"/>
      <c r="C277" s="199" t="s">
        <v>1459</v>
      </c>
      <c r="D277" s="200" t="s">
        <v>1460</v>
      </c>
      <c r="E277" s="201">
        <v>0</v>
      </c>
      <c r="F277" s="201">
        <v>0</v>
      </c>
      <c r="G277" s="201">
        <v>0</v>
      </c>
      <c r="H277" s="201">
        <v>0</v>
      </c>
      <c r="I277" s="201">
        <v>0</v>
      </c>
      <c r="J277" s="201">
        <v>0</v>
      </c>
      <c r="K277" s="201">
        <v>1</v>
      </c>
      <c r="L277" s="201">
        <v>0</v>
      </c>
      <c r="M277" s="201"/>
      <c r="N277" s="201">
        <v>0</v>
      </c>
      <c r="O277" s="201">
        <v>0</v>
      </c>
      <c r="P277" s="201">
        <v>0</v>
      </c>
      <c r="Q277" s="201">
        <v>0</v>
      </c>
      <c r="R277" s="201">
        <v>0</v>
      </c>
      <c r="S277" s="201">
        <v>0</v>
      </c>
      <c r="T277" s="201">
        <v>0</v>
      </c>
      <c r="U277" s="201">
        <v>0</v>
      </c>
      <c r="V277" s="201"/>
      <c r="W277" s="201"/>
      <c r="X277" s="201"/>
      <c r="Y277" s="845">
        <v>1</v>
      </c>
      <c r="Z277" s="139"/>
    </row>
    <row r="278" spans="1:26" hidden="1" x14ac:dyDescent="0.2">
      <c r="A278" s="190"/>
      <c r="B278" s="190"/>
      <c r="C278" s="191" t="s">
        <v>1461</v>
      </c>
      <c r="D278" s="192" t="s">
        <v>1462</v>
      </c>
      <c r="E278" s="193">
        <v>1</v>
      </c>
      <c r="F278" s="193">
        <v>0</v>
      </c>
      <c r="G278" s="193">
        <v>0</v>
      </c>
      <c r="H278" s="193">
        <v>0</v>
      </c>
      <c r="I278" s="193">
        <v>0</v>
      </c>
      <c r="J278" s="193">
        <v>0</v>
      </c>
      <c r="K278" s="193">
        <v>0</v>
      </c>
      <c r="L278" s="193">
        <v>0</v>
      </c>
      <c r="M278" s="193"/>
      <c r="N278" s="193">
        <v>0</v>
      </c>
      <c r="O278" s="193">
        <v>0</v>
      </c>
      <c r="P278" s="193">
        <v>0</v>
      </c>
      <c r="Q278" s="193">
        <v>0</v>
      </c>
      <c r="R278" s="193">
        <v>0</v>
      </c>
      <c r="S278" s="193">
        <v>0</v>
      </c>
      <c r="T278" s="193">
        <v>0</v>
      </c>
      <c r="U278" s="193">
        <v>0</v>
      </c>
      <c r="V278" s="193"/>
      <c r="W278" s="193"/>
      <c r="X278" s="193"/>
      <c r="Y278" s="843">
        <v>1</v>
      </c>
      <c r="Z278" s="139"/>
    </row>
    <row r="279" spans="1:26" hidden="1" x14ac:dyDescent="0.2">
      <c r="A279" s="190"/>
      <c r="B279" s="190"/>
      <c r="C279" s="191" t="s">
        <v>1463</v>
      </c>
      <c r="D279" s="192" t="s">
        <v>1464</v>
      </c>
      <c r="E279" s="193">
        <v>0</v>
      </c>
      <c r="F279" s="193">
        <v>0</v>
      </c>
      <c r="G279" s="193">
        <v>0</v>
      </c>
      <c r="H279" s="193">
        <v>1</v>
      </c>
      <c r="I279" s="193">
        <v>0</v>
      </c>
      <c r="J279" s="193">
        <v>0</v>
      </c>
      <c r="K279" s="193">
        <v>0</v>
      </c>
      <c r="L279" s="193">
        <v>0</v>
      </c>
      <c r="M279" s="193"/>
      <c r="N279" s="193">
        <v>0</v>
      </c>
      <c r="O279" s="193">
        <v>0</v>
      </c>
      <c r="P279" s="193">
        <v>0</v>
      </c>
      <c r="Q279" s="193">
        <v>0</v>
      </c>
      <c r="R279" s="193">
        <v>0</v>
      </c>
      <c r="S279" s="193">
        <v>0</v>
      </c>
      <c r="T279" s="193">
        <v>0</v>
      </c>
      <c r="U279" s="193">
        <v>0</v>
      </c>
      <c r="V279" s="193"/>
      <c r="W279" s="193"/>
      <c r="X279" s="193"/>
      <c r="Y279" s="843">
        <v>1</v>
      </c>
      <c r="Z279" s="139"/>
    </row>
    <row r="280" spans="1:26" hidden="1" x14ac:dyDescent="0.2">
      <c r="A280" s="190"/>
      <c r="B280" s="190"/>
      <c r="C280" s="222" t="s">
        <v>1465</v>
      </c>
      <c r="D280" s="223" t="s">
        <v>1466</v>
      </c>
      <c r="E280" s="204">
        <v>1</v>
      </c>
      <c r="F280" s="204">
        <v>0</v>
      </c>
      <c r="G280" s="204">
        <v>0</v>
      </c>
      <c r="H280" s="204">
        <v>0</v>
      </c>
      <c r="I280" s="204">
        <v>0</v>
      </c>
      <c r="J280" s="204">
        <v>0</v>
      </c>
      <c r="K280" s="204">
        <v>0</v>
      </c>
      <c r="L280" s="204">
        <v>0</v>
      </c>
      <c r="M280" s="204"/>
      <c r="N280" s="204">
        <v>0</v>
      </c>
      <c r="O280" s="204">
        <v>0</v>
      </c>
      <c r="P280" s="204">
        <v>0</v>
      </c>
      <c r="Q280" s="204">
        <v>0</v>
      </c>
      <c r="R280" s="204">
        <v>0</v>
      </c>
      <c r="S280" s="204">
        <v>0</v>
      </c>
      <c r="T280" s="204">
        <v>0</v>
      </c>
      <c r="U280" s="204">
        <v>0</v>
      </c>
      <c r="V280" s="204"/>
      <c r="W280" s="204"/>
      <c r="X280" s="204"/>
      <c r="Y280" s="846">
        <v>1</v>
      </c>
      <c r="Z280" s="139"/>
    </row>
    <row r="281" spans="1:26" hidden="1" x14ac:dyDescent="0.2">
      <c r="A281" s="198"/>
      <c r="B281" s="198"/>
      <c r="C281" s="191" t="s">
        <v>1467</v>
      </c>
      <c r="D281" s="192" t="s">
        <v>1468</v>
      </c>
      <c r="E281" s="193">
        <v>0</v>
      </c>
      <c r="F281" s="193">
        <v>0</v>
      </c>
      <c r="G281" s="193">
        <v>0</v>
      </c>
      <c r="H281" s="193">
        <v>0</v>
      </c>
      <c r="I281" s="193">
        <v>0</v>
      </c>
      <c r="J281" s="193">
        <v>0</v>
      </c>
      <c r="K281" s="193">
        <v>0</v>
      </c>
      <c r="L281" s="193">
        <v>0</v>
      </c>
      <c r="M281" s="193"/>
      <c r="N281" s="193">
        <v>1</v>
      </c>
      <c r="O281" s="193">
        <v>0</v>
      </c>
      <c r="P281" s="193">
        <v>0</v>
      </c>
      <c r="Q281" s="193">
        <v>0</v>
      </c>
      <c r="R281" s="193">
        <v>0</v>
      </c>
      <c r="S281" s="193">
        <v>0</v>
      </c>
      <c r="T281" s="193">
        <v>0</v>
      </c>
      <c r="U281" s="193">
        <v>0</v>
      </c>
      <c r="V281" s="193"/>
      <c r="W281" s="193"/>
      <c r="X281" s="193"/>
      <c r="Y281" s="843">
        <v>1</v>
      </c>
      <c r="Z281" s="139"/>
    </row>
    <row r="282" spans="1:26" hidden="1" x14ac:dyDescent="0.2">
      <c r="A282" s="190"/>
      <c r="B282" s="190"/>
      <c r="C282" s="216" t="s">
        <v>1471</v>
      </c>
      <c r="D282" s="217" t="s">
        <v>1472</v>
      </c>
      <c r="E282" s="218">
        <v>0</v>
      </c>
      <c r="F282" s="218">
        <v>0</v>
      </c>
      <c r="G282" s="218">
        <v>0</v>
      </c>
      <c r="H282" s="218">
        <v>0</v>
      </c>
      <c r="I282" s="218">
        <v>0</v>
      </c>
      <c r="J282" s="218">
        <v>1</v>
      </c>
      <c r="K282" s="218">
        <v>0</v>
      </c>
      <c r="L282" s="218">
        <v>0</v>
      </c>
      <c r="M282" s="218"/>
      <c r="N282" s="218">
        <v>0</v>
      </c>
      <c r="O282" s="218">
        <v>0</v>
      </c>
      <c r="P282" s="218">
        <v>0</v>
      </c>
      <c r="Q282" s="218">
        <v>0</v>
      </c>
      <c r="R282" s="218">
        <v>0</v>
      </c>
      <c r="S282" s="218">
        <v>0</v>
      </c>
      <c r="T282" s="218">
        <v>0</v>
      </c>
      <c r="U282" s="218">
        <v>0</v>
      </c>
      <c r="V282" s="218"/>
      <c r="W282" s="218"/>
      <c r="X282" s="218"/>
      <c r="Y282" s="848">
        <v>1</v>
      </c>
      <c r="Z282" s="139"/>
    </row>
    <row r="283" spans="1:26" hidden="1" x14ac:dyDescent="0.2">
      <c r="A283" s="198"/>
      <c r="B283" s="198"/>
      <c r="C283" s="239" t="s">
        <v>1606</v>
      </c>
      <c r="D283" s="228" t="s">
        <v>1607</v>
      </c>
      <c r="E283" s="229">
        <v>0</v>
      </c>
      <c r="F283" s="229">
        <v>0</v>
      </c>
      <c r="G283" s="229">
        <v>0</v>
      </c>
      <c r="H283" s="229">
        <v>0</v>
      </c>
      <c r="I283" s="229">
        <v>0</v>
      </c>
      <c r="J283" s="229">
        <v>0</v>
      </c>
      <c r="K283" s="229">
        <v>0</v>
      </c>
      <c r="L283" s="229">
        <v>0</v>
      </c>
      <c r="M283" s="229">
        <v>0</v>
      </c>
      <c r="N283" s="229">
        <v>1</v>
      </c>
      <c r="O283" s="229">
        <v>0</v>
      </c>
      <c r="P283" s="229">
        <v>0</v>
      </c>
      <c r="Q283" s="229">
        <v>0</v>
      </c>
      <c r="R283" s="229">
        <v>0</v>
      </c>
      <c r="S283" s="229">
        <v>0</v>
      </c>
      <c r="T283" s="229">
        <v>0</v>
      </c>
      <c r="U283" s="229">
        <v>0</v>
      </c>
      <c r="V283" s="229"/>
      <c r="W283" s="229"/>
      <c r="X283" s="229"/>
      <c r="Y283" s="843">
        <v>1</v>
      </c>
      <c r="Z283" s="139"/>
    </row>
    <row r="284" spans="1:26" hidden="1" x14ac:dyDescent="0.2">
      <c r="A284" s="190"/>
      <c r="B284" s="190"/>
      <c r="C284" s="216" t="s">
        <v>1473</v>
      </c>
      <c r="D284" s="217" t="s">
        <v>1474</v>
      </c>
      <c r="E284" s="218">
        <v>0</v>
      </c>
      <c r="F284" s="218">
        <v>0</v>
      </c>
      <c r="G284" s="218">
        <v>0</v>
      </c>
      <c r="H284" s="218">
        <v>0</v>
      </c>
      <c r="I284" s="218">
        <v>0</v>
      </c>
      <c r="J284" s="218">
        <v>0</v>
      </c>
      <c r="K284" s="218">
        <v>0</v>
      </c>
      <c r="L284" s="218">
        <v>1</v>
      </c>
      <c r="M284" s="218"/>
      <c r="N284" s="218">
        <v>0</v>
      </c>
      <c r="O284" s="218">
        <v>0</v>
      </c>
      <c r="P284" s="218">
        <v>0</v>
      </c>
      <c r="Q284" s="218">
        <v>0</v>
      </c>
      <c r="R284" s="218">
        <v>0</v>
      </c>
      <c r="S284" s="218">
        <v>0</v>
      </c>
      <c r="T284" s="218">
        <v>0</v>
      </c>
      <c r="U284" s="218">
        <v>0</v>
      </c>
      <c r="V284" s="218"/>
      <c r="W284" s="218"/>
      <c r="X284" s="218"/>
      <c r="Y284" s="848">
        <v>1</v>
      </c>
      <c r="Z284" s="139"/>
    </row>
    <row r="285" spans="1:26" hidden="1" x14ac:dyDescent="0.2">
      <c r="A285" s="198"/>
      <c r="B285" s="198"/>
      <c r="C285" s="191" t="s">
        <v>1475</v>
      </c>
      <c r="D285" s="192" t="s">
        <v>1476</v>
      </c>
      <c r="E285" s="193">
        <v>0</v>
      </c>
      <c r="F285" s="193">
        <v>0</v>
      </c>
      <c r="G285" s="193">
        <v>0</v>
      </c>
      <c r="H285" s="193">
        <v>1</v>
      </c>
      <c r="I285" s="193">
        <v>0</v>
      </c>
      <c r="J285" s="193">
        <v>0</v>
      </c>
      <c r="K285" s="193">
        <v>0</v>
      </c>
      <c r="L285" s="193">
        <v>0</v>
      </c>
      <c r="M285" s="193"/>
      <c r="N285" s="193">
        <v>0</v>
      </c>
      <c r="O285" s="193">
        <v>0</v>
      </c>
      <c r="P285" s="193">
        <v>0</v>
      </c>
      <c r="Q285" s="193">
        <v>0</v>
      </c>
      <c r="R285" s="193">
        <v>0</v>
      </c>
      <c r="S285" s="193">
        <v>0</v>
      </c>
      <c r="T285" s="193">
        <v>0</v>
      </c>
      <c r="U285" s="193">
        <v>0</v>
      </c>
      <c r="V285" s="193"/>
      <c r="W285" s="193"/>
      <c r="X285" s="193"/>
      <c r="Y285" s="843">
        <v>1</v>
      </c>
      <c r="Z285" s="139"/>
    </row>
    <row r="286" spans="1:26" hidden="1" x14ac:dyDescent="0.2">
      <c r="A286" s="190"/>
      <c r="B286" s="190"/>
      <c r="C286" s="199" t="s">
        <v>1477</v>
      </c>
      <c r="D286" s="200" t="s">
        <v>1478</v>
      </c>
      <c r="E286" s="201">
        <v>0</v>
      </c>
      <c r="F286" s="201">
        <v>0</v>
      </c>
      <c r="G286" s="201">
        <v>0</v>
      </c>
      <c r="H286" s="201">
        <v>1</v>
      </c>
      <c r="I286" s="201">
        <v>0</v>
      </c>
      <c r="J286" s="201">
        <v>0</v>
      </c>
      <c r="K286" s="201">
        <v>0</v>
      </c>
      <c r="L286" s="201">
        <v>0</v>
      </c>
      <c r="M286" s="201"/>
      <c r="N286" s="201">
        <v>0</v>
      </c>
      <c r="O286" s="201">
        <v>0</v>
      </c>
      <c r="P286" s="201">
        <v>0</v>
      </c>
      <c r="Q286" s="201">
        <v>0</v>
      </c>
      <c r="R286" s="201">
        <v>0</v>
      </c>
      <c r="S286" s="201">
        <v>0</v>
      </c>
      <c r="T286" s="201">
        <v>0</v>
      </c>
      <c r="U286" s="201">
        <v>0</v>
      </c>
      <c r="V286" s="201"/>
      <c r="W286" s="201"/>
      <c r="X286" s="201"/>
      <c r="Y286" s="845">
        <v>1</v>
      </c>
      <c r="Z286" s="139"/>
    </row>
    <row r="287" spans="1:26" hidden="1" x14ac:dyDescent="0.2">
      <c r="A287" s="190"/>
      <c r="B287" s="190"/>
      <c r="C287" s="191" t="s">
        <v>1479</v>
      </c>
      <c r="D287" s="192" t="s">
        <v>1480</v>
      </c>
      <c r="E287" s="193">
        <v>0</v>
      </c>
      <c r="F287" s="193">
        <v>0</v>
      </c>
      <c r="G287" s="193">
        <v>0</v>
      </c>
      <c r="H287" s="193">
        <v>0</v>
      </c>
      <c r="I287" s="193">
        <v>0</v>
      </c>
      <c r="J287" s="193">
        <v>0</v>
      </c>
      <c r="K287" s="193">
        <v>0</v>
      </c>
      <c r="L287" s="193">
        <v>0</v>
      </c>
      <c r="M287" s="193"/>
      <c r="N287" s="193">
        <v>1</v>
      </c>
      <c r="O287" s="193">
        <v>0</v>
      </c>
      <c r="P287" s="193">
        <v>0</v>
      </c>
      <c r="Q287" s="193">
        <v>0</v>
      </c>
      <c r="R287" s="193">
        <v>0</v>
      </c>
      <c r="S287" s="193">
        <v>0</v>
      </c>
      <c r="T287" s="193">
        <v>0</v>
      </c>
      <c r="U287" s="193">
        <v>0</v>
      </c>
      <c r="V287" s="193"/>
      <c r="W287" s="193"/>
      <c r="X287" s="193"/>
      <c r="Y287" s="843">
        <v>1</v>
      </c>
      <c r="Z287" s="139"/>
    </row>
    <row r="288" spans="1:26" hidden="1" x14ac:dyDescent="0.2">
      <c r="A288" s="190"/>
      <c r="B288" s="190"/>
      <c r="C288" s="191" t="s">
        <v>1481</v>
      </c>
      <c r="D288" s="192" t="s">
        <v>1482</v>
      </c>
      <c r="E288" s="193">
        <v>0</v>
      </c>
      <c r="F288" s="193">
        <v>0</v>
      </c>
      <c r="G288" s="193">
        <v>0</v>
      </c>
      <c r="H288" s="193">
        <v>1</v>
      </c>
      <c r="I288" s="193">
        <v>0</v>
      </c>
      <c r="J288" s="193">
        <v>0</v>
      </c>
      <c r="K288" s="193">
        <v>0</v>
      </c>
      <c r="L288" s="193">
        <v>0</v>
      </c>
      <c r="M288" s="193"/>
      <c r="N288" s="193">
        <v>0</v>
      </c>
      <c r="O288" s="193">
        <v>0</v>
      </c>
      <c r="P288" s="193">
        <v>0</v>
      </c>
      <c r="Q288" s="193">
        <v>0</v>
      </c>
      <c r="R288" s="193">
        <v>0</v>
      </c>
      <c r="S288" s="193">
        <v>0</v>
      </c>
      <c r="T288" s="193">
        <v>0</v>
      </c>
      <c r="U288" s="193">
        <v>0</v>
      </c>
      <c r="V288" s="193"/>
      <c r="W288" s="193"/>
      <c r="X288" s="193"/>
      <c r="Y288" s="843">
        <v>1</v>
      </c>
      <c r="Z288" s="139"/>
    </row>
    <row r="289" spans="1:26" hidden="1" x14ac:dyDescent="0.2">
      <c r="A289" s="190"/>
      <c r="B289" s="190"/>
      <c r="C289" s="191" t="s">
        <v>1483</v>
      </c>
      <c r="D289" s="192" t="s">
        <v>1484</v>
      </c>
      <c r="E289" s="193">
        <v>0</v>
      </c>
      <c r="F289" s="193">
        <v>0</v>
      </c>
      <c r="G289" s="193">
        <v>0</v>
      </c>
      <c r="H289" s="193">
        <v>1</v>
      </c>
      <c r="I289" s="193">
        <v>0</v>
      </c>
      <c r="J289" s="193">
        <v>0</v>
      </c>
      <c r="K289" s="193">
        <v>0</v>
      </c>
      <c r="L289" s="193">
        <v>0</v>
      </c>
      <c r="M289" s="193"/>
      <c r="N289" s="193">
        <v>0</v>
      </c>
      <c r="O289" s="193">
        <v>0</v>
      </c>
      <c r="P289" s="193">
        <v>0</v>
      </c>
      <c r="Q289" s="193">
        <v>0</v>
      </c>
      <c r="R289" s="193">
        <v>0</v>
      </c>
      <c r="S289" s="193">
        <v>0</v>
      </c>
      <c r="T289" s="193">
        <v>0</v>
      </c>
      <c r="U289" s="193">
        <v>0</v>
      </c>
      <c r="V289" s="193"/>
      <c r="W289" s="193"/>
      <c r="X289" s="193"/>
      <c r="Y289" s="843">
        <v>1</v>
      </c>
      <c r="Z289" s="139"/>
    </row>
    <row r="290" spans="1:26" hidden="1" x14ac:dyDescent="0.2">
      <c r="A290" s="190"/>
      <c r="B290" s="190"/>
      <c r="C290" s="191" t="s">
        <v>1485</v>
      </c>
      <c r="D290" s="192" t="s">
        <v>1486</v>
      </c>
      <c r="E290" s="193">
        <v>0.27</v>
      </c>
      <c r="F290" s="193">
        <v>0</v>
      </c>
      <c r="G290" s="193">
        <v>0</v>
      </c>
      <c r="H290" s="193">
        <v>0.49</v>
      </c>
      <c r="I290" s="193">
        <v>0</v>
      </c>
      <c r="J290" s="193">
        <v>0</v>
      </c>
      <c r="K290" s="193">
        <v>0</v>
      </c>
      <c r="L290" s="193">
        <v>0.24</v>
      </c>
      <c r="M290" s="193"/>
      <c r="N290" s="193">
        <v>0</v>
      </c>
      <c r="O290" s="193">
        <v>0</v>
      </c>
      <c r="P290" s="193">
        <v>0</v>
      </c>
      <c r="Q290" s="193">
        <v>0</v>
      </c>
      <c r="R290" s="193">
        <v>0</v>
      </c>
      <c r="S290" s="193">
        <v>0</v>
      </c>
      <c r="T290" s="193">
        <v>0</v>
      </c>
      <c r="U290" s="193">
        <v>0</v>
      </c>
      <c r="V290" s="193"/>
      <c r="W290" s="193"/>
      <c r="X290" s="193"/>
      <c r="Y290" s="843">
        <v>1</v>
      </c>
      <c r="Z290" s="139"/>
    </row>
    <row r="291" spans="1:26" hidden="1" x14ac:dyDescent="0.2">
      <c r="A291" s="190"/>
      <c r="B291" s="190"/>
      <c r="C291" s="222" t="s">
        <v>1487</v>
      </c>
      <c r="D291" s="223" t="s">
        <v>1488</v>
      </c>
      <c r="E291" s="204">
        <v>0</v>
      </c>
      <c r="F291" s="204">
        <v>0</v>
      </c>
      <c r="G291" s="204">
        <v>0.05</v>
      </c>
      <c r="H291" s="204">
        <v>0</v>
      </c>
      <c r="I291" s="204">
        <v>0</v>
      </c>
      <c r="J291" s="204">
        <v>0</v>
      </c>
      <c r="K291" s="204">
        <v>0</v>
      </c>
      <c r="L291" s="204">
        <v>0</v>
      </c>
      <c r="M291" s="204"/>
      <c r="N291" s="204">
        <v>0.8</v>
      </c>
      <c r="O291" s="204">
        <v>0</v>
      </c>
      <c r="P291" s="204">
        <v>0</v>
      </c>
      <c r="Q291" s="204">
        <v>0</v>
      </c>
      <c r="R291" s="204">
        <v>0</v>
      </c>
      <c r="S291" s="204">
        <v>0.15</v>
      </c>
      <c r="T291" s="204">
        <v>0</v>
      </c>
      <c r="U291" s="204">
        <v>0</v>
      </c>
      <c r="V291" s="204"/>
      <c r="W291" s="204"/>
      <c r="X291" s="204"/>
      <c r="Y291" s="846">
        <v>1</v>
      </c>
      <c r="Z291" s="139"/>
    </row>
    <row r="292" spans="1:26" hidden="1" x14ac:dyDescent="0.2">
      <c r="A292" s="233" t="s">
        <v>2814</v>
      </c>
      <c r="B292" s="233"/>
      <c r="C292" s="234" t="s">
        <v>1674</v>
      </c>
      <c r="D292" s="235" t="s">
        <v>1675</v>
      </c>
      <c r="E292" s="240">
        <v>0</v>
      </c>
      <c r="F292" s="240">
        <v>1.0729279585162762E-2</v>
      </c>
      <c r="G292" s="240">
        <v>4.2917440839127213E-2</v>
      </c>
      <c r="H292" s="240">
        <v>0</v>
      </c>
      <c r="I292" s="240">
        <v>0</v>
      </c>
      <c r="J292" s="240">
        <v>8.9410711640491806E-3</v>
      </c>
      <c r="K292" s="240">
        <v>0</v>
      </c>
      <c r="L292" s="240">
        <v>0</v>
      </c>
      <c r="M292" s="240">
        <v>0</v>
      </c>
      <c r="N292" s="240">
        <v>0.71829933536434554</v>
      </c>
      <c r="O292" s="240">
        <v>0</v>
      </c>
      <c r="P292" s="240">
        <v>4.8219195062463041E-2</v>
      </c>
      <c r="Q292" s="240">
        <v>0</v>
      </c>
      <c r="R292" s="240">
        <v>0</v>
      </c>
      <c r="S292" s="240">
        <v>0.17089367798485228</v>
      </c>
      <c r="T292" s="240">
        <v>0</v>
      </c>
      <c r="U292" s="240">
        <v>0</v>
      </c>
      <c r="V292" s="240">
        <v>0</v>
      </c>
      <c r="W292" s="240">
        <v>0</v>
      </c>
      <c r="X292" s="240"/>
      <c r="Y292" s="236">
        <v>1</v>
      </c>
      <c r="Z292" s="139"/>
    </row>
    <row r="293" spans="1:26" hidden="1" x14ac:dyDescent="0.2">
      <c r="A293" s="190"/>
      <c r="B293" s="190"/>
      <c r="C293" s="241" t="s">
        <v>1676</v>
      </c>
      <c r="D293" s="242" t="s">
        <v>1677</v>
      </c>
      <c r="E293" s="218">
        <v>0</v>
      </c>
      <c r="F293" s="218">
        <v>1.1193754708453485E-2</v>
      </c>
      <c r="G293" s="218">
        <v>4.4775355293387706E-2</v>
      </c>
      <c r="H293" s="218">
        <v>0</v>
      </c>
      <c r="I293" s="218">
        <v>0</v>
      </c>
      <c r="J293" s="218">
        <v>9.3281339764504766E-3</v>
      </c>
      <c r="K293" s="218">
        <v>0</v>
      </c>
      <c r="L293" s="218">
        <v>0</v>
      </c>
      <c r="M293" s="218">
        <v>0</v>
      </c>
      <c r="N293" s="218">
        <v>0.74351020995628259</v>
      </c>
      <c r="O293" s="218">
        <v>0</v>
      </c>
      <c r="P293" s="218">
        <v>5.8080071112941556E-2</v>
      </c>
      <c r="Q293" s="218">
        <v>0</v>
      </c>
      <c r="R293" s="218">
        <v>0</v>
      </c>
      <c r="S293" s="218">
        <v>0.13311247495248424</v>
      </c>
      <c r="T293" s="218">
        <v>0</v>
      </c>
      <c r="U293" s="218">
        <v>0</v>
      </c>
      <c r="V293" s="218">
        <v>0</v>
      </c>
      <c r="W293" s="218">
        <v>0</v>
      </c>
      <c r="X293" s="218"/>
      <c r="Y293" s="218">
        <v>1</v>
      </c>
      <c r="Z293" s="139"/>
    </row>
    <row r="294" spans="1:26" hidden="1" x14ac:dyDescent="0.2">
      <c r="A294" s="198"/>
      <c r="B294" s="198"/>
      <c r="C294" s="205" t="s">
        <v>1678</v>
      </c>
      <c r="D294" s="206" t="s">
        <v>1679</v>
      </c>
      <c r="E294" s="193">
        <v>0</v>
      </c>
      <c r="F294" s="193">
        <v>1.9276530626669428E-2</v>
      </c>
      <c r="G294" s="193">
        <v>6.1168879098128577E-2</v>
      </c>
      <c r="H294" s="193">
        <v>0</v>
      </c>
      <c r="I294" s="193">
        <v>0</v>
      </c>
      <c r="J294" s="193">
        <v>0</v>
      </c>
      <c r="K294" s="193">
        <v>0</v>
      </c>
      <c r="L294" s="193">
        <v>0</v>
      </c>
      <c r="M294" s="193">
        <v>0</v>
      </c>
      <c r="N294" s="193">
        <v>0.39055922553246691</v>
      </c>
      <c r="O294" s="193">
        <v>4.9552228910105113E-2</v>
      </c>
      <c r="P294" s="193">
        <v>0.22549561440275509</v>
      </c>
      <c r="Q294" s="193">
        <v>1.9494961115374486E-2</v>
      </c>
      <c r="R294" s="193">
        <v>0</v>
      </c>
      <c r="S294" s="193">
        <v>0.18957169425736267</v>
      </c>
      <c r="T294" s="193">
        <v>4.4880866057137814E-2</v>
      </c>
      <c r="U294" s="193">
        <v>0</v>
      </c>
      <c r="V294" s="193">
        <v>0</v>
      </c>
      <c r="W294" s="193">
        <v>0</v>
      </c>
      <c r="X294" s="193"/>
      <c r="Y294" s="193">
        <v>1</v>
      </c>
      <c r="Z294" s="139"/>
    </row>
    <row r="295" spans="1:26" hidden="1" x14ac:dyDescent="0.2">
      <c r="A295" s="190"/>
      <c r="B295" s="190"/>
      <c r="C295" s="199" t="s">
        <v>1491</v>
      </c>
      <c r="D295" s="200" t="s">
        <v>1492</v>
      </c>
      <c r="E295" s="201">
        <v>0</v>
      </c>
      <c r="F295" s="201">
        <v>0</v>
      </c>
      <c r="G295" s="201">
        <v>0</v>
      </c>
      <c r="H295" s="201">
        <v>0</v>
      </c>
      <c r="I295" s="201">
        <v>0</v>
      </c>
      <c r="J295" s="201">
        <v>0</v>
      </c>
      <c r="K295" s="201">
        <v>0</v>
      </c>
      <c r="L295" s="201">
        <v>0</v>
      </c>
      <c r="M295" s="201"/>
      <c r="N295" s="201">
        <v>1</v>
      </c>
      <c r="O295" s="201">
        <v>0</v>
      </c>
      <c r="P295" s="201">
        <v>0</v>
      </c>
      <c r="Q295" s="201">
        <v>0</v>
      </c>
      <c r="R295" s="201">
        <v>0</v>
      </c>
      <c r="S295" s="201">
        <v>0</v>
      </c>
      <c r="T295" s="201">
        <v>0</v>
      </c>
      <c r="U295" s="201">
        <v>0</v>
      </c>
      <c r="V295" s="201"/>
      <c r="W295" s="201"/>
      <c r="X295" s="201"/>
      <c r="Y295" s="845">
        <v>1</v>
      </c>
      <c r="Z295" s="139"/>
    </row>
    <row r="296" spans="1:26" hidden="1" x14ac:dyDescent="0.2">
      <c r="A296" s="243"/>
      <c r="B296" s="190"/>
      <c r="C296" s="214" t="s">
        <v>1134</v>
      </c>
      <c r="D296" s="215" t="s">
        <v>65</v>
      </c>
      <c r="E296" s="201">
        <v>0</v>
      </c>
      <c r="F296" s="201">
        <v>0</v>
      </c>
      <c r="G296" s="201">
        <v>0</v>
      </c>
      <c r="H296" s="201">
        <v>0</v>
      </c>
      <c r="I296" s="201">
        <v>0</v>
      </c>
      <c r="J296" s="201">
        <v>0</v>
      </c>
      <c r="K296" s="201">
        <v>0</v>
      </c>
      <c r="L296" s="201">
        <v>0</v>
      </c>
      <c r="M296" s="201">
        <v>0</v>
      </c>
      <c r="N296" s="201">
        <v>0</v>
      </c>
      <c r="O296" s="201">
        <v>0</v>
      </c>
      <c r="P296" s="201">
        <v>0</v>
      </c>
      <c r="Q296" s="201">
        <v>0</v>
      </c>
      <c r="R296" s="201">
        <v>0</v>
      </c>
      <c r="S296" s="201">
        <v>1</v>
      </c>
      <c r="T296" s="201">
        <v>0</v>
      </c>
      <c r="U296" s="201">
        <v>0</v>
      </c>
      <c r="V296" s="201"/>
      <c r="W296" s="201"/>
      <c r="X296" s="201"/>
      <c r="Y296" s="845">
        <v>1</v>
      </c>
      <c r="Z296" s="139"/>
    </row>
    <row r="297" spans="1:26" hidden="1" x14ac:dyDescent="0.2">
      <c r="A297" s="190"/>
      <c r="B297" s="190"/>
      <c r="C297" s="222" t="s">
        <v>1493</v>
      </c>
      <c r="D297" s="223" t="s">
        <v>1494</v>
      </c>
      <c r="E297" s="204">
        <v>0</v>
      </c>
      <c r="F297" s="204">
        <v>0</v>
      </c>
      <c r="G297" s="204">
        <v>0</v>
      </c>
      <c r="H297" s="204">
        <v>0</v>
      </c>
      <c r="I297" s="204">
        <v>0</v>
      </c>
      <c r="J297" s="204">
        <v>0</v>
      </c>
      <c r="K297" s="204">
        <v>0</v>
      </c>
      <c r="L297" s="204">
        <v>0</v>
      </c>
      <c r="M297" s="204"/>
      <c r="N297" s="204">
        <v>0</v>
      </c>
      <c r="O297" s="204">
        <v>0</v>
      </c>
      <c r="P297" s="204">
        <v>0</v>
      </c>
      <c r="Q297" s="204">
        <v>0</v>
      </c>
      <c r="R297" s="204">
        <v>0</v>
      </c>
      <c r="S297" s="204">
        <v>1</v>
      </c>
      <c r="T297" s="204">
        <v>0</v>
      </c>
      <c r="U297" s="204">
        <v>0</v>
      </c>
      <c r="V297" s="204"/>
      <c r="W297" s="204"/>
      <c r="X297" s="204"/>
      <c r="Y297" s="846">
        <v>1</v>
      </c>
      <c r="Z297" s="139"/>
    </row>
    <row r="298" spans="1:26" hidden="1" x14ac:dyDescent="0.2">
      <c r="A298" s="198"/>
      <c r="B298" s="198"/>
      <c r="C298" s="191" t="s">
        <v>1495</v>
      </c>
      <c r="D298" s="192" t="s">
        <v>1496</v>
      </c>
      <c r="E298" s="193">
        <v>0</v>
      </c>
      <c r="F298" s="193">
        <v>0</v>
      </c>
      <c r="G298" s="193">
        <v>0</v>
      </c>
      <c r="H298" s="193">
        <v>0</v>
      </c>
      <c r="I298" s="193">
        <v>0</v>
      </c>
      <c r="J298" s="193">
        <v>0</v>
      </c>
      <c r="K298" s="193">
        <v>0</v>
      </c>
      <c r="L298" s="193">
        <v>1</v>
      </c>
      <c r="M298" s="193"/>
      <c r="N298" s="193">
        <v>0</v>
      </c>
      <c r="O298" s="193">
        <v>0</v>
      </c>
      <c r="P298" s="193">
        <v>0</v>
      </c>
      <c r="Q298" s="193">
        <v>0</v>
      </c>
      <c r="R298" s="193">
        <v>0</v>
      </c>
      <c r="S298" s="193">
        <v>0</v>
      </c>
      <c r="T298" s="193">
        <v>0</v>
      </c>
      <c r="U298" s="193">
        <v>0</v>
      </c>
      <c r="V298" s="193"/>
      <c r="W298" s="193"/>
      <c r="X298" s="193"/>
      <c r="Y298" s="843">
        <v>1</v>
      </c>
      <c r="Z298" s="139"/>
    </row>
    <row r="299" spans="1:26" hidden="1" x14ac:dyDescent="0.2">
      <c r="A299" s="198"/>
      <c r="B299" s="198"/>
      <c r="C299" s="205" t="s">
        <v>1680</v>
      </c>
      <c r="D299" s="206" t="s">
        <v>1681</v>
      </c>
      <c r="E299" s="193">
        <v>0</v>
      </c>
      <c r="F299" s="193">
        <v>3.2763053101135574E-3</v>
      </c>
      <c r="G299" s="193">
        <v>1.1649183600874236E-2</v>
      </c>
      <c r="H299" s="193">
        <v>0</v>
      </c>
      <c r="I299" s="193">
        <v>0</v>
      </c>
      <c r="J299" s="193">
        <v>1.8201706026554968E-2</v>
      </c>
      <c r="K299" s="193">
        <v>0</v>
      </c>
      <c r="L299" s="193">
        <v>0</v>
      </c>
      <c r="M299" s="193">
        <v>4.4881864281423552E-2</v>
      </c>
      <c r="N299" s="193">
        <v>0.20989105682978293</v>
      </c>
      <c r="O299" s="193">
        <v>0</v>
      </c>
      <c r="P299" s="193">
        <v>3.6862094917594485E-2</v>
      </c>
      <c r="Q299" s="193">
        <v>0</v>
      </c>
      <c r="R299" s="193">
        <v>0</v>
      </c>
      <c r="S299" s="193">
        <v>4.3538482180642324E-2</v>
      </c>
      <c r="T299" s="193">
        <v>0.63169930685301379</v>
      </c>
      <c r="U299" s="193">
        <v>0</v>
      </c>
      <c r="V299" s="193">
        <v>0</v>
      </c>
      <c r="W299" s="193">
        <v>0</v>
      </c>
      <c r="X299" s="193"/>
      <c r="Y299" s="193">
        <v>0.99999999999999978</v>
      </c>
      <c r="Z299" s="139"/>
    </row>
    <row r="300" spans="1:26" hidden="1" x14ac:dyDescent="0.2">
      <c r="A300" s="190"/>
      <c r="B300" s="190"/>
      <c r="C300" s="199" t="s">
        <v>1497</v>
      </c>
      <c r="D300" s="200" t="s">
        <v>1498</v>
      </c>
      <c r="E300" s="201">
        <v>0</v>
      </c>
      <c r="F300" s="201">
        <v>0</v>
      </c>
      <c r="G300" s="201">
        <v>1</v>
      </c>
      <c r="H300" s="201">
        <v>0</v>
      </c>
      <c r="I300" s="201">
        <v>0</v>
      </c>
      <c r="J300" s="201">
        <v>0</v>
      </c>
      <c r="K300" s="201">
        <v>0</v>
      </c>
      <c r="L300" s="201">
        <v>0</v>
      </c>
      <c r="M300" s="201"/>
      <c r="N300" s="201">
        <v>0</v>
      </c>
      <c r="O300" s="201">
        <v>0</v>
      </c>
      <c r="P300" s="201">
        <v>0</v>
      </c>
      <c r="Q300" s="201">
        <v>0</v>
      </c>
      <c r="R300" s="201">
        <v>0</v>
      </c>
      <c r="S300" s="201">
        <v>0</v>
      </c>
      <c r="T300" s="201">
        <v>0</v>
      </c>
      <c r="U300" s="201">
        <v>0</v>
      </c>
      <c r="V300" s="201"/>
      <c r="W300" s="201"/>
      <c r="X300" s="201"/>
      <c r="Y300" s="845">
        <v>1</v>
      </c>
      <c r="Z300" s="139"/>
    </row>
    <row r="301" spans="1:26" hidden="1" x14ac:dyDescent="0.2">
      <c r="A301" s="190"/>
      <c r="B301" s="190"/>
      <c r="C301" s="191" t="s">
        <v>1499</v>
      </c>
      <c r="D301" s="192" t="s">
        <v>1500</v>
      </c>
      <c r="E301" s="193">
        <v>0</v>
      </c>
      <c r="F301" s="193">
        <v>0</v>
      </c>
      <c r="G301" s="193">
        <v>1</v>
      </c>
      <c r="H301" s="193">
        <v>0</v>
      </c>
      <c r="I301" s="193">
        <v>0</v>
      </c>
      <c r="J301" s="193">
        <v>0</v>
      </c>
      <c r="K301" s="193">
        <v>0</v>
      </c>
      <c r="L301" s="193">
        <v>0</v>
      </c>
      <c r="M301" s="193"/>
      <c r="N301" s="193">
        <v>0</v>
      </c>
      <c r="O301" s="193">
        <v>0</v>
      </c>
      <c r="P301" s="193">
        <v>0</v>
      </c>
      <c r="Q301" s="193">
        <v>0</v>
      </c>
      <c r="R301" s="193">
        <v>0</v>
      </c>
      <c r="S301" s="193">
        <v>0</v>
      </c>
      <c r="T301" s="193">
        <v>0</v>
      </c>
      <c r="U301" s="193">
        <v>0</v>
      </c>
      <c r="V301" s="193"/>
      <c r="W301" s="193"/>
      <c r="X301" s="193"/>
      <c r="Y301" s="843">
        <v>1</v>
      </c>
      <c r="Z301" s="139"/>
    </row>
    <row r="302" spans="1:26" hidden="1" x14ac:dyDescent="0.2">
      <c r="A302" s="190"/>
      <c r="B302" s="190"/>
      <c r="C302" s="205" t="s">
        <v>1682</v>
      </c>
      <c r="D302" s="206" t="s">
        <v>1683</v>
      </c>
      <c r="E302" s="207">
        <v>0</v>
      </c>
      <c r="F302" s="207">
        <v>0.43137903679280726</v>
      </c>
      <c r="G302" s="207">
        <v>0.49499481829534525</v>
      </c>
      <c r="H302" s="207">
        <v>0</v>
      </c>
      <c r="I302" s="207">
        <v>0</v>
      </c>
      <c r="J302" s="207">
        <v>0</v>
      </c>
      <c r="K302" s="207">
        <v>0</v>
      </c>
      <c r="L302" s="207">
        <v>0</v>
      </c>
      <c r="M302" s="207">
        <v>0</v>
      </c>
      <c r="N302" s="207">
        <v>0</v>
      </c>
      <c r="O302" s="207">
        <v>7.362614491184756E-2</v>
      </c>
      <c r="P302" s="207">
        <v>0</v>
      </c>
      <c r="Q302" s="207">
        <v>0</v>
      </c>
      <c r="R302" s="207">
        <v>0</v>
      </c>
      <c r="S302" s="207">
        <v>0</v>
      </c>
      <c r="T302" s="207">
        <v>0</v>
      </c>
      <c r="U302" s="207">
        <v>0</v>
      </c>
      <c r="V302" s="207">
        <v>0</v>
      </c>
      <c r="W302" s="207">
        <v>0</v>
      </c>
      <c r="X302" s="207"/>
      <c r="Y302" s="193">
        <v>1</v>
      </c>
      <c r="Z302" s="139"/>
    </row>
    <row r="303" spans="1:26" hidden="1" x14ac:dyDescent="0.2">
      <c r="A303" s="190"/>
      <c r="B303" s="190"/>
      <c r="C303" s="222" t="s">
        <v>1501</v>
      </c>
      <c r="D303" s="223" t="s">
        <v>1502</v>
      </c>
      <c r="E303" s="204">
        <v>0</v>
      </c>
      <c r="F303" s="204">
        <v>0</v>
      </c>
      <c r="G303" s="204">
        <v>1</v>
      </c>
      <c r="H303" s="204">
        <v>0</v>
      </c>
      <c r="I303" s="204">
        <v>0</v>
      </c>
      <c r="J303" s="204">
        <v>0</v>
      </c>
      <c r="K303" s="204">
        <v>0</v>
      </c>
      <c r="L303" s="204">
        <v>0</v>
      </c>
      <c r="M303" s="204"/>
      <c r="N303" s="204">
        <v>0</v>
      </c>
      <c r="O303" s="204">
        <v>0</v>
      </c>
      <c r="P303" s="204">
        <v>0</v>
      </c>
      <c r="Q303" s="204">
        <v>0</v>
      </c>
      <c r="R303" s="204">
        <v>0</v>
      </c>
      <c r="S303" s="204">
        <v>0</v>
      </c>
      <c r="T303" s="204">
        <v>0</v>
      </c>
      <c r="U303" s="204">
        <v>0</v>
      </c>
      <c r="V303" s="204"/>
      <c r="W303" s="204"/>
      <c r="X303" s="204"/>
      <c r="Y303" s="846">
        <v>1</v>
      </c>
      <c r="Z303" s="139"/>
    </row>
    <row r="304" spans="1:26" hidden="1" x14ac:dyDescent="0.2">
      <c r="A304" s="198"/>
      <c r="B304" s="198"/>
      <c r="C304" s="191" t="s">
        <v>1503</v>
      </c>
      <c r="D304" s="192" t="s">
        <v>1504</v>
      </c>
      <c r="E304" s="193">
        <v>0</v>
      </c>
      <c r="F304" s="193">
        <v>0</v>
      </c>
      <c r="G304" s="193">
        <v>1</v>
      </c>
      <c r="H304" s="193">
        <v>0</v>
      </c>
      <c r="I304" s="193">
        <v>0</v>
      </c>
      <c r="J304" s="193">
        <v>0</v>
      </c>
      <c r="K304" s="193">
        <v>0</v>
      </c>
      <c r="L304" s="193">
        <v>0</v>
      </c>
      <c r="M304" s="193"/>
      <c r="N304" s="193">
        <v>0</v>
      </c>
      <c r="O304" s="193">
        <v>0</v>
      </c>
      <c r="P304" s="193">
        <v>0</v>
      </c>
      <c r="Q304" s="193">
        <v>0</v>
      </c>
      <c r="R304" s="193">
        <v>0</v>
      </c>
      <c r="S304" s="193">
        <v>0</v>
      </c>
      <c r="T304" s="193">
        <v>0</v>
      </c>
      <c r="U304" s="193">
        <v>0</v>
      </c>
      <c r="V304" s="193"/>
      <c r="W304" s="193"/>
      <c r="X304" s="193"/>
      <c r="Y304" s="843">
        <v>1</v>
      </c>
      <c r="Z304" s="139"/>
    </row>
    <row r="305" spans="1:26" hidden="1" x14ac:dyDescent="0.2">
      <c r="A305" s="244" t="s">
        <v>1101</v>
      </c>
      <c r="B305" s="245">
        <v>42247</v>
      </c>
      <c r="C305" s="191" t="s">
        <v>1505</v>
      </c>
      <c r="D305" s="192" t="s">
        <v>1506</v>
      </c>
      <c r="E305" s="193">
        <v>0</v>
      </c>
      <c r="F305" s="193">
        <v>0</v>
      </c>
      <c r="G305" s="193">
        <v>0</v>
      </c>
      <c r="H305" s="193">
        <v>1</v>
      </c>
      <c r="I305" s="193">
        <v>0</v>
      </c>
      <c r="J305" s="193">
        <v>0</v>
      </c>
      <c r="K305" s="193">
        <v>0</v>
      </c>
      <c r="L305" s="193">
        <v>0</v>
      </c>
      <c r="M305" s="193"/>
      <c r="N305" s="193">
        <v>0</v>
      </c>
      <c r="O305" s="193">
        <v>0</v>
      </c>
      <c r="P305" s="193">
        <v>0</v>
      </c>
      <c r="Q305" s="193">
        <v>0</v>
      </c>
      <c r="R305" s="193">
        <v>0</v>
      </c>
      <c r="S305" s="193">
        <v>0</v>
      </c>
      <c r="T305" s="193">
        <v>0</v>
      </c>
      <c r="U305" s="193">
        <v>0</v>
      </c>
      <c r="V305" s="193"/>
      <c r="W305" s="193"/>
      <c r="X305" s="193"/>
      <c r="Y305" s="843">
        <v>1</v>
      </c>
      <c r="Z305" s="139"/>
    </row>
    <row r="306" spans="1:26" hidden="1" x14ac:dyDescent="0.2">
      <c r="A306" s="190"/>
      <c r="B306" s="190"/>
      <c r="C306" s="199" t="s">
        <v>1507</v>
      </c>
      <c r="D306" s="200" t="s">
        <v>140</v>
      </c>
      <c r="E306" s="201">
        <v>0</v>
      </c>
      <c r="F306" s="201">
        <v>0</v>
      </c>
      <c r="G306" s="201">
        <v>0</v>
      </c>
      <c r="H306" s="201">
        <v>0</v>
      </c>
      <c r="I306" s="201">
        <v>0</v>
      </c>
      <c r="J306" s="201">
        <v>0</v>
      </c>
      <c r="K306" s="201">
        <v>1</v>
      </c>
      <c r="L306" s="201">
        <v>0</v>
      </c>
      <c r="M306" s="201"/>
      <c r="N306" s="201">
        <v>0</v>
      </c>
      <c r="O306" s="201">
        <v>0</v>
      </c>
      <c r="P306" s="201">
        <v>0</v>
      </c>
      <c r="Q306" s="201">
        <v>0</v>
      </c>
      <c r="R306" s="201">
        <v>0</v>
      </c>
      <c r="S306" s="201">
        <v>0</v>
      </c>
      <c r="T306" s="201">
        <v>0</v>
      </c>
      <c r="U306" s="201">
        <v>0</v>
      </c>
      <c r="V306" s="201"/>
      <c r="W306" s="201"/>
      <c r="X306" s="201"/>
      <c r="Y306" s="845">
        <v>1</v>
      </c>
      <c r="Z306" s="139"/>
    </row>
    <row r="307" spans="1:26" hidden="1" x14ac:dyDescent="0.2">
      <c r="A307" s="190"/>
      <c r="B307" s="190"/>
      <c r="C307" s="191" t="s">
        <v>1508</v>
      </c>
      <c r="D307" s="192" t="s">
        <v>1509</v>
      </c>
      <c r="E307" s="193">
        <v>0</v>
      </c>
      <c r="F307" s="193">
        <v>0</v>
      </c>
      <c r="G307" s="193">
        <v>0</v>
      </c>
      <c r="H307" s="193">
        <v>0</v>
      </c>
      <c r="I307" s="193">
        <v>0</v>
      </c>
      <c r="J307" s="193">
        <v>0</v>
      </c>
      <c r="K307" s="193">
        <v>1</v>
      </c>
      <c r="L307" s="193">
        <v>0</v>
      </c>
      <c r="M307" s="193"/>
      <c r="N307" s="193">
        <v>0</v>
      </c>
      <c r="O307" s="193">
        <v>0</v>
      </c>
      <c r="P307" s="193">
        <v>0</v>
      </c>
      <c r="Q307" s="193">
        <v>0</v>
      </c>
      <c r="R307" s="193">
        <v>0</v>
      </c>
      <c r="S307" s="193">
        <v>0</v>
      </c>
      <c r="T307" s="193">
        <v>0</v>
      </c>
      <c r="U307" s="193">
        <v>0</v>
      </c>
      <c r="V307" s="193"/>
      <c r="W307" s="193"/>
      <c r="X307" s="193"/>
      <c r="Y307" s="843">
        <v>1</v>
      </c>
      <c r="Z307" s="139"/>
    </row>
    <row r="308" spans="1:26" hidden="1" x14ac:dyDescent="0.2">
      <c r="A308" s="190"/>
      <c r="B308" s="190"/>
      <c r="C308" s="202" t="s">
        <v>1141</v>
      </c>
      <c r="D308" s="203" t="s">
        <v>66</v>
      </c>
      <c r="E308" s="204">
        <v>0</v>
      </c>
      <c r="F308" s="204">
        <v>0</v>
      </c>
      <c r="G308" s="204">
        <v>0</v>
      </c>
      <c r="H308" s="204">
        <v>0</v>
      </c>
      <c r="I308" s="204">
        <v>0</v>
      </c>
      <c r="J308" s="204">
        <v>0</v>
      </c>
      <c r="K308" s="204">
        <v>0</v>
      </c>
      <c r="L308" s="204">
        <v>0</v>
      </c>
      <c r="M308" s="204">
        <v>0</v>
      </c>
      <c r="N308" s="204">
        <v>0</v>
      </c>
      <c r="O308" s="204">
        <v>0</v>
      </c>
      <c r="P308" s="204">
        <v>0</v>
      </c>
      <c r="Q308" s="204">
        <v>0</v>
      </c>
      <c r="R308" s="204">
        <v>0</v>
      </c>
      <c r="S308" s="204">
        <v>1</v>
      </c>
      <c r="T308" s="204">
        <v>0</v>
      </c>
      <c r="U308" s="204">
        <v>0</v>
      </c>
      <c r="V308" s="204"/>
      <c r="W308" s="204"/>
      <c r="X308" s="204"/>
      <c r="Y308" s="846">
        <v>1</v>
      </c>
      <c r="Z308" s="139"/>
    </row>
    <row r="309" spans="1:26" hidden="1" x14ac:dyDescent="0.2">
      <c r="A309" s="198"/>
      <c r="B309" s="198"/>
      <c r="C309" s="191" t="s">
        <v>1510</v>
      </c>
      <c r="D309" s="192" t="s">
        <v>1511</v>
      </c>
      <c r="E309" s="193">
        <v>1</v>
      </c>
      <c r="F309" s="193">
        <v>0</v>
      </c>
      <c r="G309" s="193">
        <v>0</v>
      </c>
      <c r="H309" s="193">
        <v>0</v>
      </c>
      <c r="I309" s="193">
        <v>0</v>
      </c>
      <c r="J309" s="193">
        <v>0</v>
      </c>
      <c r="K309" s="193">
        <v>0</v>
      </c>
      <c r="L309" s="193">
        <v>0</v>
      </c>
      <c r="M309" s="193"/>
      <c r="N309" s="193">
        <v>0</v>
      </c>
      <c r="O309" s="193">
        <v>0</v>
      </c>
      <c r="P309" s="193">
        <v>0</v>
      </c>
      <c r="Q309" s="193">
        <v>0</v>
      </c>
      <c r="R309" s="193">
        <v>0</v>
      </c>
      <c r="S309" s="193">
        <v>0</v>
      </c>
      <c r="T309" s="193">
        <v>0</v>
      </c>
      <c r="U309" s="193">
        <v>0</v>
      </c>
      <c r="V309" s="193"/>
      <c r="W309" s="193"/>
      <c r="X309" s="193"/>
      <c r="Y309" s="843">
        <v>1</v>
      </c>
      <c r="Z309" s="139"/>
    </row>
    <row r="310" spans="1:26" hidden="1" x14ac:dyDescent="0.2">
      <c r="A310" s="190"/>
      <c r="B310" s="190"/>
      <c r="C310" s="199" t="s">
        <v>1514</v>
      </c>
      <c r="D310" s="200" t="s">
        <v>1515</v>
      </c>
      <c r="E310" s="201">
        <v>0</v>
      </c>
      <c r="F310" s="201">
        <v>0</v>
      </c>
      <c r="G310" s="201">
        <v>0</v>
      </c>
      <c r="H310" s="201">
        <v>1</v>
      </c>
      <c r="I310" s="201">
        <v>0</v>
      </c>
      <c r="J310" s="201">
        <v>0</v>
      </c>
      <c r="K310" s="201">
        <v>0</v>
      </c>
      <c r="L310" s="201">
        <v>0</v>
      </c>
      <c r="M310" s="201"/>
      <c r="N310" s="201">
        <v>0</v>
      </c>
      <c r="O310" s="201">
        <v>0</v>
      </c>
      <c r="P310" s="201">
        <v>0</v>
      </c>
      <c r="Q310" s="201">
        <v>0</v>
      </c>
      <c r="R310" s="201">
        <v>0</v>
      </c>
      <c r="S310" s="201">
        <v>0</v>
      </c>
      <c r="T310" s="201">
        <v>0</v>
      </c>
      <c r="U310" s="201">
        <v>0</v>
      </c>
      <c r="V310" s="201"/>
      <c r="W310" s="201"/>
      <c r="X310" s="201"/>
      <c r="Y310" s="845">
        <v>1</v>
      </c>
      <c r="Z310" s="139"/>
    </row>
    <row r="311" spans="1:26" hidden="1" x14ac:dyDescent="0.2">
      <c r="A311" s="190"/>
      <c r="B311" s="190"/>
      <c r="C311" s="214" t="s">
        <v>1144</v>
      </c>
      <c r="D311" s="215" t="s">
        <v>1145</v>
      </c>
      <c r="E311" s="193">
        <v>0</v>
      </c>
      <c r="F311" s="193">
        <v>0</v>
      </c>
      <c r="G311" s="193">
        <v>0</v>
      </c>
      <c r="H311" s="193">
        <v>0</v>
      </c>
      <c r="I311" s="193">
        <v>0</v>
      </c>
      <c r="J311" s="193">
        <v>0</v>
      </c>
      <c r="K311" s="193">
        <v>0</v>
      </c>
      <c r="L311" s="193">
        <v>0</v>
      </c>
      <c r="M311" s="193">
        <v>0</v>
      </c>
      <c r="N311" s="193">
        <v>1</v>
      </c>
      <c r="O311" s="193">
        <v>0</v>
      </c>
      <c r="P311" s="193">
        <v>0</v>
      </c>
      <c r="Q311" s="193">
        <v>0</v>
      </c>
      <c r="R311" s="193">
        <v>0</v>
      </c>
      <c r="S311" s="193">
        <v>0</v>
      </c>
      <c r="T311" s="193">
        <v>0</v>
      </c>
      <c r="U311" s="193">
        <v>0</v>
      </c>
      <c r="V311" s="193"/>
      <c r="W311" s="193"/>
      <c r="X311" s="193"/>
      <c r="Y311" s="843">
        <v>1</v>
      </c>
      <c r="Z311" s="139"/>
    </row>
    <row r="312" spans="1:26" hidden="1" x14ac:dyDescent="0.2">
      <c r="A312" s="190"/>
      <c r="B312" s="190"/>
      <c r="C312" s="191" t="s">
        <v>1520</v>
      </c>
      <c r="D312" s="192" t="s">
        <v>1521</v>
      </c>
      <c r="E312" s="193">
        <v>0</v>
      </c>
      <c r="F312" s="193">
        <v>0</v>
      </c>
      <c r="G312" s="193">
        <v>0</v>
      </c>
      <c r="H312" s="193">
        <v>0</v>
      </c>
      <c r="I312" s="193">
        <v>0</v>
      </c>
      <c r="J312" s="193">
        <v>0</v>
      </c>
      <c r="K312" s="193">
        <v>0</v>
      </c>
      <c r="L312" s="193">
        <v>0</v>
      </c>
      <c r="M312" s="193"/>
      <c r="N312" s="193">
        <v>1</v>
      </c>
      <c r="O312" s="193">
        <v>0</v>
      </c>
      <c r="P312" s="193">
        <v>0</v>
      </c>
      <c r="Q312" s="193">
        <v>0</v>
      </c>
      <c r="R312" s="193">
        <v>0</v>
      </c>
      <c r="S312" s="193">
        <v>0</v>
      </c>
      <c r="T312" s="193">
        <v>0</v>
      </c>
      <c r="U312" s="193">
        <v>0</v>
      </c>
      <c r="V312" s="193"/>
      <c r="W312" s="193"/>
      <c r="X312" s="193"/>
      <c r="Y312" s="843">
        <v>1</v>
      </c>
      <c r="Z312" s="139"/>
    </row>
    <row r="313" spans="1:26" hidden="1" x14ac:dyDescent="0.2">
      <c r="A313" s="190"/>
      <c r="B313" s="190"/>
      <c r="C313" s="214" t="s">
        <v>1148</v>
      </c>
      <c r="D313" s="215" t="s">
        <v>2821</v>
      </c>
      <c r="E313" s="193">
        <v>0</v>
      </c>
      <c r="F313" s="193">
        <v>0</v>
      </c>
      <c r="G313" s="193">
        <v>0</v>
      </c>
      <c r="H313" s="193">
        <v>0</v>
      </c>
      <c r="I313" s="193">
        <v>0</v>
      </c>
      <c r="J313" s="193">
        <v>0</v>
      </c>
      <c r="K313" s="193">
        <v>0</v>
      </c>
      <c r="L313" s="193">
        <v>0</v>
      </c>
      <c r="M313" s="193">
        <v>0</v>
      </c>
      <c r="N313" s="193">
        <v>0.8</v>
      </c>
      <c r="O313" s="193">
        <v>0</v>
      </c>
      <c r="P313" s="193">
        <v>0</v>
      </c>
      <c r="Q313" s="193">
        <v>0</v>
      </c>
      <c r="R313" s="193">
        <v>0</v>
      </c>
      <c r="S313" s="193">
        <v>0.2</v>
      </c>
      <c r="T313" s="193">
        <v>0</v>
      </c>
      <c r="U313" s="193">
        <v>0</v>
      </c>
      <c r="V313" s="193"/>
      <c r="W313" s="193"/>
      <c r="X313" s="193"/>
      <c r="Y313" s="843">
        <v>1</v>
      </c>
      <c r="Z313" s="139"/>
    </row>
    <row r="314" spans="1:26" hidden="1" x14ac:dyDescent="0.2">
      <c r="A314" s="190"/>
      <c r="B314" s="243"/>
      <c r="C314" s="191" t="s">
        <v>1528</v>
      </c>
      <c r="D314" s="192" t="s">
        <v>2822</v>
      </c>
      <c r="E314" s="193">
        <v>0</v>
      </c>
      <c r="F314" s="193">
        <v>0</v>
      </c>
      <c r="G314" s="193">
        <v>0</v>
      </c>
      <c r="H314" s="193">
        <v>0</v>
      </c>
      <c r="I314" s="193">
        <v>0</v>
      </c>
      <c r="J314" s="193">
        <v>0</v>
      </c>
      <c r="K314" s="193">
        <v>0</v>
      </c>
      <c r="L314" s="193">
        <v>1</v>
      </c>
      <c r="M314" s="193"/>
      <c r="N314" s="193">
        <v>0</v>
      </c>
      <c r="O314" s="193">
        <v>0</v>
      </c>
      <c r="P314" s="193">
        <v>0</v>
      </c>
      <c r="Q314" s="193">
        <v>0</v>
      </c>
      <c r="R314" s="193">
        <v>0</v>
      </c>
      <c r="S314" s="193">
        <v>0</v>
      </c>
      <c r="T314" s="193">
        <v>0</v>
      </c>
      <c r="U314" s="193">
        <v>0</v>
      </c>
      <c r="V314" s="193"/>
      <c r="W314" s="193"/>
      <c r="X314" s="193"/>
      <c r="Y314" s="843">
        <v>1</v>
      </c>
      <c r="Z314" s="139"/>
    </row>
    <row r="315" spans="1:26" hidden="1" x14ac:dyDescent="0.2">
      <c r="A315" s="190"/>
      <c r="B315" s="246"/>
      <c r="C315" s="222" t="s">
        <v>1529</v>
      </c>
      <c r="D315" s="223" t="s">
        <v>2823</v>
      </c>
      <c r="E315" s="204">
        <v>0</v>
      </c>
      <c r="F315" s="204">
        <v>0</v>
      </c>
      <c r="G315" s="204">
        <v>0.05</v>
      </c>
      <c r="H315" s="204">
        <v>0</v>
      </c>
      <c r="I315" s="204">
        <v>0</v>
      </c>
      <c r="J315" s="204">
        <v>0</v>
      </c>
      <c r="K315" s="204">
        <v>0</v>
      </c>
      <c r="L315" s="204">
        <v>0</v>
      </c>
      <c r="M315" s="204"/>
      <c r="N315" s="204">
        <v>0.8</v>
      </c>
      <c r="O315" s="204">
        <v>0</v>
      </c>
      <c r="P315" s="204">
        <v>0</v>
      </c>
      <c r="Q315" s="204">
        <v>0</v>
      </c>
      <c r="R315" s="204">
        <v>0</v>
      </c>
      <c r="S315" s="204">
        <v>0.15</v>
      </c>
      <c r="T315" s="204">
        <v>0</v>
      </c>
      <c r="U315" s="204">
        <v>0</v>
      </c>
      <c r="V315" s="204"/>
      <c r="W315" s="204"/>
      <c r="X315" s="204"/>
      <c r="Y315" s="846">
        <v>1</v>
      </c>
      <c r="Z315" s="139"/>
    </row>
    <row r="316" spans="1:26" hidden="1" x14ac:dyDescent="0.2">
      <c r="A316" s="198"/>
      <c r="B316" s="198"/>
      <c r="C316" s="205" t="s">
        <v>1684</v>
      </c>
      <c r="D316" s="206" t="s">
        <v>1685</v>
      </c>
      <c r="E316" s="207">
        <v>0</v>
      </c>
      <c r="F316" s="207">
        <v>0</v>
      </c>
      <c r="G316" s="207">
        <v>0</v>
      </c>
      <c r="H316" s="207">
        <v>0</v>
      </c>
      <c r="I316" s="207">
        <v>0</v>
      </c>
      <c r="J316" s="207">
        <v>0</v>
      </c>
      <c r="K316" s="207">
        <v>0</v>
      </c>
      <c r="L316" s="207">
        <v>0</v>
      </c>
      <c r="M316" s="207">
        <v>0</v>
      </c>
      <c r="N316" s="207">
        <v>0.66770014258563126</v>
      </c>
      <c r="O316" s="207">
        <v>0</v>
      </c>
      <c r="P316" s="207">
        <v>0.16411197105840231</v>
      </c>
      <c r="Q316" s="207">
        <v>7.9254824578778704E-3</v>
      </c>
      <c r="R316" s="207">
        <v>0</v>
      </c>
      <c r="S316" s="207">
        <v>0.14121076337434355</v>
      </c>
      <c r="T316" s="207">
        <v>0</v>
      </c>
      <c r="U316" s="207">
        <v>1.9051640523744879E-2</v>
      </c>
      <c r="V316" s="207">
        <v>0</v>
      </c>
      <c r="W316" s="207">
        <v>0</v>
      </c>
      <c r="X316" s="207"/>
      <c r="Y316" s="193">
        <v>0.99999999999999978</v>
      </c>
      <c r="Z316" s="139"/>
    </row>
    <row r="317" spans="1:26" hidden="1" x14ac:dyDescent="0.2">
      <c r="A317" s="233" t="s">
        <v>2814</v>
      </c>
      <c r="B317" s="233"/>
      <c r="C317" s="234" t="s">
        <v>1686</v>
      </c>
      <c r="D317" s="235" t="s">
        <v>1687</v>
      </c>
      <c r="E317" s="240">
        <v>0</v>
      </c>
      <c r="F317" s="240">
        <v>0</v>
      </c>
      <c r="G317" s="240">
        <v>0</v>
      </c>
      <c r="H317" s="240">
        <v>0</v>
      </c>
      <c r="I317" s="240">
        <v>0</v>
      </c>
      <c r="J317" s="240">
        <v>0</v>
      </c>
      <c r="K317" s="240">
        <v>0</v>
      </c>
      <c r="L317" s="240">
        <v>0</v>
      </c>
      <c r="M317" s="240">
        <v>0</v>
      </c>
      <c r="N317" s="240">
        <v>0.76608834589304087</v>
      </c>
      <c r="O317" s="240">
        <v>0</v>
      </c>
      <c r="P317" s="240">
        <v>0.1319034972694752</v>
      </c>
      <c r="Q317" s="240">
        <v>1.9257458221303685E-2</v>
      </c>
      <c r="R317" s="240">
        <v>0</v>
      </c>
      <c r="S317" s="240">
        <v>8.275069861618034E-2</v>
      </c>
      <c r="T317" s="240">
        <v>0</v>
      </c>
      <c r="U317" s="240">
        <v>0</v>
      </c>
      <c r="V317" s="240">
        <v>0</v>
      </c>
      <c r="W317" s="240">
        <v>0</v>
      </c>
      <c r="X317" s="240"/>
      <c r="Y317" s="236">
        <v>1</v>
      </c>
      <c r="Z317" s="139"/>
    </row>
    <row r="318" spans="1:26" hidden="1" x14ac:dyDescent="0.2">
      <c r="A318" s="198"/>
      <c r="B318" s="198"/>
      <c r="C318" s="214" t="s">
        <v>1155</v>
      </c>
      <c r="D318" s="215" t="s">
        <v>71</v>
      </c>
      <c r="E318" s="193">
        <v>0</v>
      </c>
      <c r="F318" s="193">
        <v>0</v>
      </c>
      <c r="G318" s="193">
        <v>2.1739130434782608E-2</v>
      </c>
      <c r="H318" s="193">
        <v>0</v>
      </c>
      <c r="I318" s="193">
        <v>0</v>
      </c>
      <c r="J318" s="193">
        <v>0</v>
      </c>
      <c r="K318" s="193">
        <v>0</v>
      </c>
      <c r="L318" s="193">
        <v>0</v>
      </c>
      <c r="M318" s="193">
        <v>0</v>
      </c>
      <c r="N318" s="193">
        <v>0.60869565217391308</v>
      </c>
      <c r="O318" s="193">
        <v>0</v>
      </c>
      <c r="P318" s="193">
        <v>0</v>
      </c>
      <c r="Q318" s="193">
        <v>0</v>
      </c>
      <c r="R318" s="193">
        <v>0</v>
      </c>
      <c r="S318" s="193">
        <v>0.10869565217391304</v>
      </c>
      <c r="T318" s="193">
        <v>0</v>
      </c>
      <c r="U318" s="193">
        <v>0.2608695652173913</v>
      </c>
      <c r="V318" s="193"/>
      <c r="W318" s="193"/>
      <c r="X318" s="193"/>
      <c r="Y318" s="843">
        <v>1</v>
      </c>
      <c r="Z318" s="139"/>
    </row>
    <row r="319" spans="1:26" hidden="1" x14ac:dyDescent="0.2">
      <c r="A319" s="198"/>
      <c r="B319" s="198"/>
      <c r="C319" s="214" t="s">
        <v>1159</v>
      </c>
      <c r="D319" s="215" t="s">
        <v>1160</v>
      </c>
      <c r="E319" s="193">
        <v>0</v>
      </c>
      <c r="F319" s="193">
        <v>0</v>
      </c>
      <c r="G319" s="193">
        <v>0</v>
      </c>
      <c r="H319" s="193">
        <v>0</v>
      </c>
      <c r="I319" s="193">
        <v>1</v>
      </c>
      <c r="J319" s="193">
        <v>0</v>
      </c>
      <c r="K319" s="193">
        <v>0</v>
      </c>
      <c r="L319" s="193">
        <v>0</v>
      </c>
      <c r="M319" s="193">
        <v>0</v>
      </c>
      <c r="N319" s="193">
        <v>0</v>
      </c>
      <c r="O319" s="193">
        <v>0</v>
      </c>
      <c r="P319" s="193">
        <v>0</v>
      </c>
      <c r="Q319" s="193">
        <v>0</v>
      </c>
      <c r="R319" s="193">
        <v>0</v>
      </c>
      <c r="S319" s="193">
        <v>0</v>
      </c>
      <c r="T319" s="193">
        <v>0</v>
      </c>
      <c r="U319" s="193">
        <v>0</v>
      </c>
      <c r="V319" s="193"/>
      <c r="W319" s="193"/>
      <c r="X319" s="193"/>
      <c r="Y319" s="843">
        <v>1</v>
      </c>
      <c r="Z319" s="139"/>
    </row>
    <row r="320" spans="1:26" hidden="1" x14ac:dyDescent="0.2">
      <c r="A320" s="198"/>
      <c r="B320" s="198"/>
      <c r="C320" s="191" t="s">
        <v>1530</v>
      </c>
      <c r="D320" s="192" t="s">
        <v>1531</v>
      </c>
      <c r="E320" s="193">
        <v>0</v>
      </c>
      <c r="F320" s="193">
        <v>0</v>
      </c>
      <c r="G320" s="193">
        <v>1</v>
      </c>
      <c r="H320" s="193">
        <v>0</v>
      </c>
      <c r="I320" s="193">
        <v>0</v>
      </c>
      <c r="J320" s="193">
        <v>0</v>
      </c>
      <c r="K320" s="193">
        <v>0</v>
      </c>
      <c r="L320" s="193">
        <v>0</v>
      </c>
      <c r="M320" s="193"/>
      <c r="N320" s="193">
        <v>0</v>
      </c>
      <c r="O320" s="193">
        <v>0</v>
      </c>
      <c r="P320" s="193">
        <v>0</v>
      </c>
      <c r="Q320" s="193">
        <v>0</v>
      </c>
      <c r="R320" s="193">
        <v>0</v>
      </c>
      <c r="S320" s="193">
        <v>0</v>
      </c>
      <c r="T320" s="193">
        <v>0</v>
      </c>
      <c r="U320" s="193">
        <v>0</v>
      </c>
      <c r="V320" s="193"/>
      <c r="W320" s="193"/>
      <c r="X320" s="193"/>
      <c r="Y320" s="843">
        <v>1</v>
      </c>
      <c r="Z320" s="139"/>
    </row>
    <row r="321" spans="1:26" hidden="1" x14ac:dyDescent="0.2">
      <c r="A321" s="198"/>
      <c r="B321" s="198"/>
      <c r="C321" s="191" t="s">
        <v>1532</v>
      </c>
      <c r="D321" s="192" t="s">
        <v>1533</v>
      </c>
      <c r="E321" s="193">
        <v>0</v>
      </c>
      <c r="F321" s="193">
        <v>0</v>
      </c>
      <c r="G321" s="193">
        <v>1</v>
      </c>
      <c r="H321" s="193">
        <v>0</v>
      </c>
      <c r="I321" s="193">
        <v>0</v>
      </c>
      <c r="J321" s="193">
        <v>0</v>
      </c>
      <c r="K321" s="193">
        <v>0</v>
      </c>
      <c r="L321" s="193">
        <v>0</v>
      </c>
      <c r="M321" s="193"/>
      <c r="N321" s="193">
        <v>0</v>
      </c>
      <c r="O321" s="193">
        <v>0</v>
      </c>
      <c r="P321" s="193">
        <v>0</v>
      </c>
      <c r="Q321" s="193">
        <v>0</v>
      </c>
      <c r="R321" s="193">
        <v>0</v>
      </c>
      <c r="S321" s="193">
        <v>0</v>
      </c>
      <c r="T321" s="193">
        <v>0</v>
      </c>
      <c r="U321" s="193">
        <v>0</v>
      </c>
      <c r="V321" s="193"/>
      <c r="W321" s="193"/>
      <c r="X321" s="193"/>
      <c r="Y321" s="843">
        <v>1</v>
      </c>
      <c r="Z321" s="139"/>
    </row>
    <row r="322" spans="1:26" hidden="1" x14ac:dyDescent="0.2">
      <c r="A322" s="190"/>
      <c r="B322" s="190"/>
      <c r="C322" s="216" t="s">
        <v>1534</v>
      </c>
      <c r="D322" s="217" t="s">
        <v>1535</v>
      </c>
      <c r="E322" s="218">
        <v>0</v>
      </c>
      <c r="F322" s="218">
        <v>0</v>
      </c>
      <c r="G322" s="218">
        <v>0</v>
      </c>
      <c r="H322" s="218">
        <v>1</v>
      </c>
      <c r="I322" s="218">
        <v>0</v>
      </c>
      <c r="J322" s="218">
        <v>0</v>
      </c>
      <c r="K322" s="218">
        <v>0</v>
      </c>
      <c r="L322" s="218">
        <v>0</v>
      </c>
      <c r="M322" s="218"/>
      <c r="N322" s="218">
        <v>0</v>
      </c>
      <c r="O322" s="218">
        <v>0</v>
      </c>
      <c r="P322" s="218">
        <v>0</v>
      </c>
      <c r="Q322" s="218">
        <v>0</v>
      </c>
      <c r="R322" s="218">
        <v>0</v>
      </c>
      <c r="S322" s="218">
        <v>0</v>
      </c>
      <c r="T322" s="218">
        <v>0</v>
      </c>
      <c r="U322" s="218">
        <v>0</v>
      </c>
      <c r="V322" s="218"/>
      <c r="W322" s="218"/>
      <c r="X322" s="218"/>
      <c r="Y322" s="848">
        <v>1</v>
      </c>
      <c r="Z322" s="139"/>
    </row>
    <row r="323" spans="1:26" hidden="1" x14ac:dyDescent="0.2">
      <c r="A323" s="198"/>
      <c r="B323" s="198"/>
      <c r="C323" s="191" t="s">
        <v>1537</v>
      </c>
      <c r="D323" s="192" t="s">
        <v>1538</v>
      </c>
      <c r="E323" s="193">
        <v>0</v>
      </c>
      <c r="F323" s="193">
        <v>0</v>
      </c>
      <c r="G323" s="193">
        <v>0</v>
      </c>
      <c r="H323" s="193">
        <v>1</v>
      </c>
      <c r="I323" s="193">
        <v>0</v>
      </c>
      <c r="J323" s="193">
        <v>0</v>
      </c>
      <c r="K323" s="193">
        <v>0</v>
      </c>
      <c r="L323" s="193">
        <v>0</v>
      </c>
      <c r="M323" s="193"/>
      <c r="N323" s="193">
        <v>0</v>
      </c>
      <c r="O323" s="193">
        <v>0</v>
      </c>
      <c r="P323" s="193">
        <v>0</v>
      </c>
      <c r="Q323" s="193">
        <v>0</v>
      </c>
      <c r="R323" s="193">
        <v>0</v>
      </c>
      <c r="S323" s="193">
        <v>0</v>
      </c>
      <c r="T323" s="193">
        <v>0</v>
      </c>
      <c r="U323" s="193">
        <v>0</v>
      </c>
      <c r="V323" s="193"/>
      <c r="W323" s="193"/>
      <c r="X323" s="193"/>
      <c r="Y323" s="843">
        <v>1</v>
      </c>
      <c r="Z323" s="139"/>
    </row>
    <row r="324" spans="1:26" hidden="1" x14ac:dyDescent="0.2">
      <c r="A324" s="198"/>
      <c r="B324" s="198"/>
      <c r="C324" s="214" t="s">
        <v>1177</v>
      </c>
      <c r="D324" s="215" t="s">
        <v>1178</v>
      </c>
      <c r="E324" s="193">
        <v>0</v>
      </c>
      <c r="F324" s="193">
        <v>0</v>
      </c>
      <c r="G324" s="193">
        <v>0</v>
      </c>
      <c r="H324" s="193">
        <v>0</v>
      </c>
      <c r="I324" s="193">
        <v>0.95</v>
      </c>
      <c r="J324" s="193">
        <v>0.05</v>
      </c>
      <c r="K324" s="193">
        <v>0</v>
      </c>
      <c r="L324" s="193">
        <v>0</v>
      </c>
      <c r="M324" s="193">
        <v>0</v>
      </c>
      <c r="N324" s="193">
        <v>0</v>
      </c>
      <c r="O324" s="193">
        <v>0</v>
      </c>
      <c r="P324" s="193">
        <v>0</v>
      </c>
      <c r="Q324" s="193">
        <v>0</v>
      </c>
      <c r="R324" s="193">
        <v>0</v>
      </c>
      <c r="S324" s="193">
        <v>0</v>
      </c>
      <c r="T324" s="193">
        <v>0</v>
      </c>
      <c r="U324" s="193">
        <v>0</v>
      </c>
      <c r="V324" s="193"/>
      <c r="W324" s="193"/>
      <c r="X324" s="193"/>
      <c r="Y324" s="843">
        <v>1</v>
      </c>
      <c r="Z324" s="139"/>
    </row>
    <row r="325" spans="1:26" hidden="1" x14ac:dyDescent="0.2">
      <c r="A325" s="219" t="s">
        <v>2814</v>
      </c>
      <c r="B325" s="247"/>
      <c r="C325" s="248" t="s">
        <v>1179</v>
      </c>
      <c r="D325" s="249" t="s">
        <v>1180</v>
      </c>
      <c r="E325" s="220">
        <v>0</v>
      </c>
      <c r="F325" s="220">
        <v>0</v>
      </c>
      <c r="G325" s="220">
        <v>0</v>
      </c>
      <c r="H325" s="220">
        <v>1</v>
      </c>
      <c r="I325" s="220">
        <v>0</v>
      </c>
      <c r="J325" s="220">
        <v>0</v>
      </c>
      <c r="K325" s="220">
        <v>0</v>
      </c>
      <c r="L325" s="220">
        <v>0</v>
      </c>
      <c r="M325" s="220">
        <v>0</v>
      </c>
      <c r="N325" s="220">
        <v>0</v>
      </c>
      <c r="O325" s="220">
        <v>0</v>
      </c>
      <c r="P325" s="220">
        <v>0</v>
      </c>
      <c r="Q325" s="220">
        <v>0</v>
      </c>
      <c r="R325" s="220">
        <v>0</v>
      </c>
      <c r="S325" s="220">
        <v>0</v>
      </c>
      <c r="T325" s="220">
        <v>0</v>
      </c>
      <c r="U325" s="220">
        <v>0</v>
      </c>
      <c r="V325" s="220">
        <v>0</v>
      </c>
      <c r="W325" s="220">
        <v>0</v>
      </c>
      <c r="X325" s="220"/>
      <c r="Y325" s="220">
        <v>1</v>
      </c>
      <c r="Z325" s="139"/>
    </row>
    <row r="326" spans="1:26" hidden="1" x14ac:dyDescent="0.2">
      <c r="A326" s="198"/>
      <c r="B326" s="198"/>
      <c r="C326" s="250" t="s">
        <v>2591</v>
      </c>
      <c r="D326" s="251" t="s">
        <v>2268</v>
      </c>
      <c r="E326" s="193">
        <v>0</v>
      </c>
      <c r="F326" s="193">
        <v>0</v>
      </c>
      <c r="G326" s="193">
        <v>0</v>
      </c>
      <c r="H326" s="193">
        <v>1</v>
      </c>
      <c r="I326" s="193">
        <v>0</v>
      </c>
      <c r="J326" s="193">
        <v>0</v>
      </c>
      <c r="K326" s="193">
        <v>0</v>
      </c>
      <c r="L326" s="193">
        <v>0</v>
      </c>
      <c r="M326" s="193">
        <v>0</v>
      </c>
      <c r="N326" s="193">
        <v>0</v>
      </c>
      <c r="O326" s="193">
        <v>0</v>
      </c>
      <c r="P326" s="193">
        <v>0</v>
      </c>
      <c r="Q326" s="193">
        <v>0</v>
      </c>
      <c r="R326" s="193">
        <v>0</v>
      </c>
      <c r="S326" s="193">
        <v>0</v>
      </c>
      <c r="T326" s="193">
        <v>0</v>
      </c>
      <c r="U326" s="193">
        <v>0</v>
      </c>
      <c r="V326" s="193">
        <v>0</v>
      </c>
      <c r="W326" s="193">
        <v>0</v>
      </c>
      <c r="X326" s="193"/>
      <c r="Y326" s="843">
        <v>1</v>
      </c>
      <c r="Z326" s="139"/>
    </row>
    <row r="327" spans="1:26" hidden="1" x14ac:dyDescent="0.2">
      <c r="A327" s="252" t="s">
        <v>1101</v>
      </c>
      <c r="B327" s="198"/>
      <c r="C327" s="205" t="s">
        <v>1690</v>
      </c>
      <c r="D327" s="206" t="s">
        <v>1691</v>
      </c>
      <c r="E327" s="207">
        <v>0</v>
      </c>
      <c r="F327" s="207">
        <v>8.4897030931944104E-4</v>
      </c>
      <c r="G327" s="207">
        <v>3.425283513470974E-3</v>
      </c>
      <c r="H327" s="207">
        <v>0</v>
      </c>
      <c r="I327" s="207">
        <v>0</v>
      </c>
      <c r="J327" s="207">
        <v>9.8933283246155444E-4</v>
      </c>
      <c r="K327" s="207">
        <v>0</v>
      </c>
      <c r="L327" s="207">
        <v>0</v>
      </c>
      <c r="M327" s="207">
        <v>0</v>
      </c>
      <c r="N327" s="207">
        <v>0.11145871112366139</v>
      </c>
      <c r="O327" s="207">
        <v>3.2212957180222388E-3</v>
      </c>
      <c r="P327" s="207">
        <v>3.3295346485484864E-2</v>
      </c>
      <c r="Q327" s="207">
        <v>1.6907698106837219E-3</v>
      </c>
      <c r="R327" s="207">
        <v>0</v>
      </c>
      <c r="S327" s="207">
        <v>1.976345725093211E-2</v>
      </c>
      <c r="T327" s="207">
        <v>0.82530683295596374</v>
      </c>
      <c r="U327" s="207">
        <v>0</v>
      </c>
      <c r="V327" s="207">
        <v>0</v>
      </c>
      <c r="W327" s="207">
        <v>0</v>
      </c>
      <c r="X327" s="207"/>
      <c r="Y327" s="193">
        <v>1</v>
      </c>
      <c r="Z327" s="139"/>
    </row>
    <row r="328" spans="1:26" hidden="1" x14ac:dyDescent="0.2">
      <c r="A328" s="253"/>
      <c r="B328" s="253"/>
      <c r="C328" s="199" t="s">
        <v>1545</v>
      </c>
      <c r="D328" s="200" t="s">
        <v>1546</v>
      </c>
      <c r="E328" s="201">
        <v>0</v>
      </c>
      <c r="F328" s="201">
        <v>0</v>
      </c>
      <c r="G328" s="201">
        <v>2.865329512893983E-2</v>
      </c>
      <c r="H328" s="201">
        <v>0</v>
      </c>
      <c r="I328" s="201">
        <v>5.730659025787966E-2</v>
      </c>
      <c r="J328" s="201">
        <v>0</v>
      </c>
      <c r="K328" s="201">
        <v>0</v>
      </c>
      <c r="L328" s="201">
        <v>0</v>
      </c>
      <c r="M328" s="201"/>
      <c r="N328" s="201">
        <v>0.15873925501432665</v>
      </c>
      <c r="O328" s="201">
        <v>1.7191977077363897E-3</v>
      </c>
      <c r="P328" s="201">
        <v>0</v>
      </c>
      <c r="Q328" s="201">
        <v>0</v>
      </c>
      <c r="R328" s="201">
        <v>0</v>
      </c>
      <c r="S328" s="201">
        <v>8.5959885386819493E-2</v>
      </c>
      <c r="T328" s="201">
        <v>0.66762177650429799</v>
      </c>
      <c r="U328" s="201">
        <v>0</v>
      </c>
      <c r="V328" s="201"/>
      <c r="W328" s="201"/>
      <c r="X328" s="201"/>
      <c r="Y328" s="845">
        <v>1</v>
      </c>
      <c r="Z328" s="139"/>
    </row>
    <row r="329" spans="1:26" hidden="1" x14ac:dyDescent="0.2">
      <c r="A329" s="190"/>
      <c r="B329" s="246"/>
      <c r="C329" s="195" t="s">
        <v>1694</v>
      </c>
      <c r="D329" s="196" t="s">
        <v>1695</v>
      </c>
      <c r="E329" s="212">
        <v>0</v>
      </c>
      <c r="F329" s="212">
        <v>0</v>
      </c>
      <c r="G329" s="212">
        <v>6.6766658466398607E-3</v>
      </c>
      <c r="H329" s="212">
        <v>0</v>
      </c>
      <c r="I329" s="212">
        <v>0</v>
      </c>
      <c r="J329" s="212">
        <v>0</v>
      </c>
      <c r="K329" s="212">
        <v>0</v>
      </c>
      <c r="L329" s="212">
        <v>0</v>
      </c>
      <c r="M329" s="212">
        <v>0</v>
      </c>
      <c r="N329" s="212">
        <v>0.79407065176230185</v>
      </c>
      <c r="O329" s="212">
        <v>0</v>
      </c>
      <c r="P329" s="212">
        <v>5.5967158166864026E-2</v>
      </c>
      <c r="Q329" s="212">
        <v>0</v>
      </c>
      <c r="R329" s="212">
        <v>0</v>
      </c>
      <c r="S329" s="212">
        <v>0.10551135244056845</v>
      </c>
      <c r="T329" s="212">
        <v>3.004499632820682E-2</v>
      </c>
      <c r="U329" s="212">
        <v>7.7291754554189651E-3</v>
      </c>
      <c r="V329" s="212">
        <v>0</v>
      </c>
      <c r="W329" s="212">
        <v>0</v>
      </c>
      <c r="X329" s="212"/>
      <c r="Y329" s="204">
        <v>0.99999999999999989</v>
      </c>
      <c r="Z329" s="139"/>
    </row>
    <row r="330" spans="1:26" hidden="1" x14ac:dyDescent="0.2">
      <c r="A330" s="198"/>
      <c r="B330" s="198"/>
      <c r="C330" s="191" t="s">
        <v>1547</v>
      </c>
      <c r="D330" s="192" t="s">
        <v>1069</v>
      </c>
      <c r="E330" s="193">
        <v>0</v>
      </c>
      <c r="F330" s="193">
        <v>0</v>
      </c>
      <c r="G330" s="193">
        <v>1</v>
      </c>
      <c r="H330" s="193">
        <v>0</v>
      </c>
      <c r="I330" s="193">
        <v>0</v>
      </c>
      <c r="J330" s="193">
        <v>0</v>
      </c>
      <c r="K330" s="193">
        <v>0</v>
      </c>
      <c r="L330" s="193">
        <v>0</v>
      </c>
      <c r="M330" s="193"/>
      <c r="N330" s="193">
        <v>0</v>
      </c>
      <c r="O330" s="193">
        <v>0</v>
      </c>
      <c r="P330" s="193">
        <v>0</v>
      </c>
      <c r="Q330" s="193">
        <v>0</v>
      </c>
      <c r="R330" s="193">
        <v>0</v>
      </c>
      <c r="S330" s="193">
        <v>0</v>
      </c>
      <c r="T330" s="193">
        <v>0</v>
      </c>
      <c r="U330" s="193">
        <v>0</v>
      </c>
      <c r="V330" s="193"/>
      <c r="W330" s="193"/>
      <c r="X330" s="193"/>
      <c r="Y330" s="843">
        <v>1</v>
      </c>
      <c r="Z330" s="139"/>
    </row>
    <row r="331" spans="1:26" hidden="1" x14ac:dyDescent="0.2">
      <c r="A331" s="198"/>
      <c r="B331" s="198"/>
      <c r="C331" s="191" t="s">
        <v>1548</v>
      </c>
      <c r="D331" s="192" t="s">
        <v>1549</v>
      </c>
      <c r="E331" s="193">
        <v>0</v>
      </c>
      <c r="F331" s="193">
        <v>0</v>
      </c>
      <c r="G331" s="193">
        <v>1</v>
      </c>
      <c r="H331" s="193">
        <v>0</v>
      </c>
      <c r="I331" s="193">
        <v>0</v>
      </c>
      <c r="J331" s="193">
        <v>0</v>
      </c>
      <c r="K331" s="193">
        <v>0</v>
      </c>
      <c r="L331" s="193">
        <v>0</v>
      </c>
      <c r="M331" s="193"/>
      <c r="N331" s="193">
        <v>0</v>
      </c>
      <c r="O331" s="193">
        <v>0</v>
      </c>
      <c r="P331" s="193">
        <v>0</v>
      </c>
      <c r="Q331" s="193">
        <v>0</v>
      </c>
      <c r="R331" s="193">
        <v>0</v>
      </c>
      <c r="S331" s="193">
        <v>0</v>
      </c>
      <c r="T331" s="193">
        <v>0</v>
      </c>
      <c r="U331" s="193">
        <v>0</v>
      </c>
      <c r="V331" s="193"/>
      <c r="W331" s="193"/>
      <c r="X331" s="193"/>
      <c r="Y331" s="843">
        <v>1</v>
      </c>
      <c r="Z331" s="139"/>
    </row>
    <row r="332" spans="1:26" hidden="1" x14ac:dyDescent="0.2">
      <c r="A332" s="746" t="s">
        <v>2599</v>
      </c>
      <c r="B332" s="767"/>
      <c r="C332" s="768" t="s">
        <v>1196</v>
      </c>
      <c r="D332" s="769" t="s">
        <v>1197</v>
      </c>
      <c r="E332" s="744">
        <v>0</v>
      </c>
      <c r="F332" s="744">
        <v>0</v>
      </c>
      <c r="G332" s="744">
        <v>0</v>
      </c>
      <c r="H332" s="744">
        <v>1</v>
      </c>
      <c r="I332" s="744">
        <v>0</v>
      </c>
      <c r="J332" s="744">
        <v>0</v>
      </c>
      <c r="K332" s="744">
        <v>0</v>
      </c>
      <c r="L332" s="744">
        <v>0</v>
      </c>
      <c r="M332" s="744">
        <v>0</v>
      </c>
      <c r="N332" s="744">
        <v>0</v>
      </c>
      <c r="O332" s="744">
        <v>0</v>
      </c>
      <c r="P332" s="744">
        <v>0</v>
      </c>
      <c r="Q332" s="744">
        <v>0</v>
      </c>
      <c r="R332" s="744">
        <v>0</v>
      </c>
      <c r="S332" s="744">
        <v>0</v>
      </c>
      <c r="T332" s="744">
        <v>0</v>
      </c>
      <c r="U332" s="744">
        <v>0</v>
      </c>
      <c r="V332" s="744">
        <v>0</v>
      </c>
      <c r="W332" s="744">
        <v>0</v>
      </c>
      <c r="X332" s="744">
        <v>0</v>
      </c>
      <c r="Y332" s="849">
        <v>1</v>
      </c>
      <c r="Z332" s="139"/>
    </row>
    <row r="333" spans="1:26" hidden="1" x14ac:dyDescent="0.2">
      <c r="A333" s="190"/>
      <c r="B333" s="243"/>
      <c r="C333" s="214" t="s">
        <v>1200</v>
      </c>
      <c r="D333" s="215" t="s">
        <v>96</v>
      </c>
      <c r="E333" s="770">
        <v>0</v>
      </c>
      <c r="F333" s="770">
        <v>0</v>
      </c>
      <c r="G333" s="770">
        <v>0</v>
      </c>
      <c r="H333" s="770">
        <v>1</v>
      </c>
      <c r="I333" s="770">
        <v>0</v>
      </c>
      <c r="J333" s="770">
        <v>0</v>
      </c>
      <c r="K333" s="770">
        <v>0</v>
      </c>
      <c r="L333" s="770">
        <v>0</v>
      </c>
      <c r="M333" s="770">
        <v>0</v>
      </c>
      <c r="N333" s="770">
        <v>0</v>
      </c>
      <c r="O333" s="770">
        <v>0</v>
      </c>
      <c r="P333" s="770">
        <v>0</v>
      </c>
      <c r="Q333" s="770">
        <v>0</v>
      </c>
      <c r="R333" s="770">
        <v>0</v>
      </c>
      <c r="S333" s="770">
        <v>0</v>
      </c>
      <c r="T333" s="770">
        <v>0</v>
      </c>
      <c r="U333" s="770">
        <v>0</v>
      </c>
      <c r="V333" s="770">
        <v>0</v>
      </c>
      <c r="W333" s="770">
        <v>0</v>
      </c>
      <c r="X333" s="193"/>
      <c r="Y333" s="843">
        <v>1</v>
      </c>
      <c r="Z333" s="139"/>
    </row>
    <row r="334" spans="1:26" hidden="1" x14ac:dyDescent="0.2">
      <c r="A334" s="190"/>
      <c r="B334" s="243"/>
      <c r="C334" s="191" t="s">
        <v>1550</v>
      </c>
      <c r="D334" s="192" t="s">
        <v>1551</v>
      </c>
      <c r="E334" s="193">
        <v>0</v>
      </c>
      <c r="F334" s="193">
        <v>0</v>
      </c>
      <c r="G334" s="193">
        <v>0</v>
      </c>
      <c r="H334" s="193">
        <v>1</v>
      </c>
      <c r="I334" s="193">
        <v>0</v>
      </c>
      <c r="J334" s="193">
        <v>0</v>
      </c>
      <c r="K334" s="193">
        <v>0</v>
      </c>
      <c r="L334" s="193">
        <v>0</v>
      </c>
      <c r="M334" s="193"/>
      <c r="N334" s="193">
        <v>0</v>
      </c>
      <c r="O334" s="193">
        <v>0</v>
      </c>
      <c r="P334" s="193">
        <v>0</v>
      </c>
      <c r="Q334" s="193">
        <v>0</v>
      </c>
      <c r="R334" s="193">
        <v>0</v>
      </c>
      <c r="S334" s="193">
        <v>0</v>
      </c>
      <c r="T334" s="193">
        <v>0</v>
      </c>
      <c r="U334" s="193">
        <v>0</v>
      </c>
      <c r="V334" s="193"/>
      <c r="W334" s="193"/>
      <c r="X334" s="193"/>
      <c r="Y334" s="843">
        <v>1</v>
      </c>
      <c r="Z334" s="139"/>
    </row>
    <row r="335" spans="1:26" hidden="1" x14ac:dyDescent="0.2">
      <c r="A335" s="190"/>
      <c r="B335" s="243"/>
      <c r="C335" s="191" t="s">
        <v>1554</v>
      </c>
      <c r="D335" s="192" t="s">
        <v>1070</v>
      </c>
      <c r="E335" s="193">
        <v>0</v>
      </c>
      <c r="F335" s="193">
        <v>0</v>
      </c>
      <c r="G335" s="193">
        <v>0</v>
      </c>
      <c r="H335" s="193">
        <v>1</v>
      </c>
      <c r="I335" s="193">
        <v>0</v>
      </c>
      <c r="J335" s="193">
        <v>0</v>
      </c>
      <c r="K335" s="193">
        <v>0</v>
      </c>
      <c r="L335" s="193">
        <v>0</v>
      </c>
      <c r="M335" s="193"/>
      <c r="N335" s="193">
        <v>0</v>
      </c>
      <c r="O335" s="193">
        <v>0</v>
      </c>
      <c r="P335" s="193">
        <v>0</v>
      </c>
      <c r="Q335" s="193">
        <v>0</v>
      </c>
      <c r="R335" s="193">
        <v>0</v>
      </c>
      <c r="S335" s="193">
        <v>0</v>
      </c>
      <c r="T335" s="193">
        <v>0</v>
      </c>
      <c r="U335" s="193">
        <v>0</v>
      </c>
      <c r="V335" s="193"/>
      <c r="W335" s="193"/>
      <c r="X335" s="193"/>
      <c r="Y335" s="843">
        <v>1</v>
      </c>
      <c r="Z335" s="139"/>
    </row>
    <row r="336" spans="1:26" hidden="1" x14ac:dyDescent="0.2">
      <c r="A336" s="243"/>
      <c r="B336" s="190"/>
      <c r="C336" s="214" t="s">
        <v>1213</v>
      </c>
      <c r="D336" s="215" t="s">
        <v>1214</v>
      </c>
      <c r="E336" s="201">
        <v>0</v>
      </c>
      <c r="F336" s="201">
        <v>0</v>
      </c>
      <c r="G336" s="201">
        <v>0</v>
      </c>
      <c r="H336" s="201">
        <v>1</v>
      </c>
      <c r="I336" s="201">
        <v>0</v>
      </c>
      <c r="J336" s="201">
        <v>0</v>
      </c>
      <c r="K336" s="201">
        <v>0</v>
      </c>
      <c r="L336" s="201">
        <v>0</v>
      </c>
      <c r="M336" s="201">
        <v>0</v>
      </c>
      <c r="N336" s="201">
        <v>0</v>
      </c>
      <c r="O336" s="201">
        <v>0</v>
      </c>
      <c r="P336" s="201">
        <v>0</v>
      </c>
      <c r="Q336" s="201">
        <v>0</v>
      </c>
      <c r="R336" s="201">
        <v>0</v>
      </c>
      <c r="S336" s="201">
        <v>0</v>
      </c>
      <c r="T336" s="201">
        <v>0</v>
      </c>
      <c r="U336" s="201">
        <v>0</v>
      </c>
      <c r="V336" s="201"/>
      <c r="W336" s="201"/>
      <c r="X336" s="201"/>
      <c r="Y336" s="845">
        <v>1</v>
      </c>
      <c r="Z336" s="139"/>
    </row>
    <row r="337" spans="1:26" hidden="1" x14ac:dyDescent="0.2">
      <c r="A337" s="243"/>
      <c r="B337" s="243"/>
      <c r="C337" s="214" t="s">
        <v>1215</v>
      </c>
      <c r="D337" s="215" t="s">
        <v>101</v>
      </c>
      <c r="E337" s="201">
        <v>0</v>
      </c>
      <c r="F337" s="201">
        <v>0</v>
      </c>
      <c r="G337" s="201">
        <v>0</v>
      </c>
      <c r="H337" s="201">
        <v>1</v>
      </c>
      <c r="I337" s="201">
        <v>0</v>
      </c>
      <c r="J337" s="201">
        <v>0</v>
      </c>
      <c r="K337" s="201">
        <v>0</v>
      </c>
      <c r="L337" s="201">
        <v>0</v>
      </c>
      <c r="M337" s="201">
        <v>0</v>
      </c>
      <c r="N337" s="201">
        <v>0</v>
      </c>
      <c r="O337" s="201">
        <v>0</v>
      </c>
      <c r="P337" s="201">
        <v>0</v>
      </c>
      <c r="Q337" s="201">
        <v>0</v>
      </c>
      <c r="R337" s="201">
        <v>0</v>
      </c>
      <c r="S337" s="201">
        <v>0</v>
      </c>
      <c r="T337" s="201">
        <v>0</v>
      </c>
      <c r="U337" s="201">
        <v>0</v>
      </c>
      <c r="V337" s="201"/>
      <c r="W337" s="201"/>
      <c r="X337" s="201"/>
      <c r="Y337" s="845">
        <v>1</v>
      </c>
      <c r="Z337" s="139"/>
    </row>
    <row r="338" spans="1:26" hidden="1" x14ac:dyDescent="0.2">
      <c r="A338" s="243"/>
      <c r="B338" s="243"/>
      <c r="C338" s="214" t="s">
        <v>1216</v>
      </c>
      <c r="D338" s="215" t="s">
        <v>1217</v>
      </c>
      <c r="E338" s="201">
        <v>2.2136929460580913E-2</v>
      </c>
      <c r="F338" s="201">
        <v>5.3813816325222377E-2</v>
      </c>
      <c r="G338" s="201">
        <v>0.11134319172125574</v>
      </c>
      <c r="H338" s="201">
        <v>9.0968890737851332E-2</v>
      </c>
      <c r="I338" s="201">
        <v>7.4541536858258553E-2</v>
      </c>
      <c r="J338" s="201">
        <v>1.1751232220950061E-2</v>
      </c>
      <c r="K338" s="201">
        <v>0</v>
      </c>
      <c r="L338" s="201">
        <v>6.8464730290456431E-4</v>
      </c>
      <c r="M338" s="201">
        <v>0</v>
      </c>
      <c r="N338" s="201">
        <v>0.17341498239445721</v>
      </c>
      <c r="O338" s="201">
        <v>1.7950403456968127E-2</v>
      </c>
      <c r="P338" s="201">
        <v>6.5339859349486357E-2</v>
      </c>
      <c r="Q338" s="201">
        <v>5.6745630269864544E-3</v>
      </c>
      <c r="R338" s="201">
        <v>0</v>
      </c>
      <c r="S338" s="201">
        <v>0.18794046685627466</v>
      </c>
      <c r="T338" s="201">
        <v>4.4902024194389448E-2</v>
      </c>
      <c r="U338" s="201">
        <v>1.1915879815256323E-2</v>
      </c>
      <c r="V338" s="201">
        <v>0</v>
      </c>
      <c r="W338" s="201">
        <v>0.12762157627915785</v>
      </c>
      <c r="X338" s="201"/>
      <c r="Y338" s="845">
        <v>0.99999999999999989</v>
      </c>
      <c r="Z338" s="139"/>
    </row>
    <row r="339" spans="1:26" hidden="1" x14ac:dyDescent="0.2">
      <c r="A339" s="255" t="s">
        <v>2594</v>
      </c>
      <c r="B339" s="257"/>
      <c r="C339" s="258" t="s">
        <v>1218</v>
      </c>
      <c r="D339" s="259" t="s">
        <v>1219</v>
      </c>
      <c r="E339" s="260"/>
      <c r="F339" s="260"/>
      <c r="G339" s="260"/>
      <c r="H339" s="260"/>
      <c r="I339" s="260"/>
      <c r="J339" s="260"/>
      <c r="K339" s="260"/>
      <c r="L339" s="260">
        <v>1</v>
      </c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850">
        <v>1</v>
      </c>
      <c r="Z339" s="139"/>
    </row>
    <row r="340" spans="1:26" hidden="1" x14ac:dyDescent="0.2">
      <c r="A340" s="243"/>
      <c r="B340" s="243"/>
      <c r="C340" s="261" t="s">
        <v>1634</v>
      </c>
      <c r="D340" s="262" t="s">
        <v>2824</v>
      </c>
      <c r="E340" s="224">
        <v>0</v>
      </c>
      <c r="F340" s="224">
        <v>0</v>
      </c>
      <c r="G340" s="224">
        <v>0</v>
      </c>
      <c r="H340" s="224">
        <v>0</v>
      </c>
      <c r="I340" s="224">
        <v>0</v>
      </c>
      <c r="J340" s="224">
        <v>0</v>
      </c>
      <c r="K340" s="224">
        <v>0</v>
      </c>
      <c r="L340" s="224">
        <v>1</v>
      </c>
      <c r="M340" s="224">
        <v>0</v>
      </c>
      <c r="N340" s="224">
        <v>0</v>
      </c>
      <c r="O340" s="224">
        <v>0</v>
      </c>
      <c r="P340" s="224">
        <v>0</v>
      </c>
      <c r="Q340" s="224">
        <v>0</v>
      </c>
      <c r="R340" s="224">
        <v>0</v>
      </c>
      <c r="S340" s="224">
        <v>0</v>
      </c>
      <c r="T340" s="224">
        <v>0</v>
      </c>
      <c r="U340" s="224">
        <v>0</v>
      </c>
      <c r="V340" s="224">
        <v>0</v>
      </c>
      <c r="W340" s="263">
        <v>0</v>
      </c>
      <c r="X340" s="263"/>
      <c r="Y340" s="851">
        <v>1</v>
      </c>
      <c r="Z340" s="139"/>
    </row>
    <row r="341" spans="1:26" hidden="1" x14ac:dyDescent="0.2">
      <c r="A341" s="190"/>
      <c r="B341" s="243"/>
      <c r="C341" s="225" t="s">
        <v>1635</v>
      </c>
      <c r="D341" s="226" t="s">
        <v>109</v>
      </c>
      <c r="E341" s="227">
        <v>0</v>
      </c>
      <c r="F341" s="227">
        <v>0</v>
      </c>
      <c r="G341" s="227">
        <v>0</v>
      </c>
      <c r="H341" s="227">
        <v>0</v>
      </c>
      <c r="I341" s="227">
        <v>0</v>
      </c>
      <c r="J341" s="227">
        <v>0</v>
      </c>
      <c r="K341" s="227">
        <v>0</v>
      </c>
      <c r="L341" s="227">
        <v>0</v>
      </c>
      <c r="M341" s="227">
        <v>0</v>
      </c>
      <c r="N341" s="227">
        <v>1</v>
      </c>
      <c r="O341" s="227">
        <v>0</v>
      </c>
      <c r="P341" s="227">
        <v>0</v>
      </c>
      <c r="Q341" s="227">
        <v>0</v>
      </c>
      <c r="R341" s="227">
        <v>0</v>
      </c>
      <c r="S341" s="227">
        <v>0</v>
      </c>
      <c r="T341" s="227">
        <v>0</v>
      </c>
      <c r="U341" s="227">
        <v>0</v>
      </c>
      <c r="V341" s="227"/>
      <c r="W341" s="227">
        <v>0</v>
      </c>
      <c r="X341" s="227"/>
      <c r="Y341" s="843">
        <v>1</v>
      </c>
      <c r="Z341" s="139"/>
    </row>
    <row r="342" spans="1:26" hidden="1" x14ac:dyDescent="0.2">
      <c r="A342" s="190"/>
      <c r="B342" s="243"/>
      <c r="C342" s="205" t="s">
        <v>1696</v>
      </c>
      <c r="D342" s="206" t="s">
        <v>1697</v>
      </c>
      <c r="E342" s="264">
        <v>0</v>
      </c>
      <c r="F342" s="264">
        <v>9.9683830629455333E-3</v>
      </c>
      <c r="G342" s="264">
        <v>4.9942538232427849E-2</v>
      </c>
      <c r="H342" s="264">
        <v>0</v>
      </c>
      <c r="I342" s="264">
        <v>0</v>
      </c>
      <c r="J342" s="264">
        <v>2.4146604711283267E-2</v>
      </c>
      <c r="K342" s="264">
        <v>0</v>
      </c>
      <c r="L342" s="264">
        <v>0</v>
      </c>
      <c r="M342" s="264">
        <v>0</v>
      </c>
      <c r="N342" s="264">
        <v>0.30116366436574848</v>
      </c>
      <c r="O342" s="264">
        <v>3.4642876534645366E-2</v>
      </c>
      <c r="P342" s="264">
        <v>0.2131726793894691</v>
      </c>
      <c r="Q342" s="264">
        <v>2.6206390261278949E-2</v>
      </c>
      <c r="R342" s="264">
        <v>0</v>
      </c>
      <c r="S342" s="264">
        <v>0.1896933457324706</v>
      </c>
      <c r="T342" s="264">
        <v>0.12593266498787981</v>
      </c>
      <c r="U342" s="264">
        <v>2.5130852721850956E-2</v>
      </c>
      <c r="V342" s="264">
        <v>0</v>
      </c>
      <c r="W342" s="264">
        <v>0</v>
      </c>
      <c r="X342" s="264"/>
      <c r="Y342" s="852">
        <v>1</v>
      </c>
      <c r="Z342" s="139"/>
    </row>
    <row r="343" spans="1:26" hidden="1" x14ac:dyDescent="0.2">
      <c r="A343" s="243"/>
      <c r="B343" s="190"/>
      <c r="C343" s="191" t="s">
        <v>1555</v>
      </c>
      <c r="D343" s="192" t="s">
        <v>1556</v>
      </c>
      <c r="E343" s="201">
        <v>0</v>
      </c>
      <c r="F343" s="201">
        <v>0</v>
      </c>
      <c r="G343" s="201">
        <v>0</v>
      </c>
      <c r="H343" s="201">
        <v>0</v>
      </c>
      <c r="I343" s="201">
        <v>0</v>
      </c>
      <c r="J343" s="201">
        <v>0</v>
      </c>
      <c r="K343" s="201">
        <v>0</v>
      </c>
      <c r="L343" s="201">
        <v>0</v>
      </c>
      <c r="M343" s="201"/>
      <c r="N343" s="201">
        <v>0.73770491803278693</v>
      </c>
      <c r="O343" s="201">
        <v>0</v>
      </c>
      <c r="P343" s="201">
        <v>0</v>
      </c>
      <c r="Q343" s="201">
        <v>0</v>
      </c>
      <c r="R343" s="201">
        <v>0</v>
      </c>
      <c r="S343" s="201">
        <v>0.26229508196721313</v>
      </c>
      <c r="T343" s="201">
        <v>0</v>
      </c>
      <c r="U343" s="201">
        <v>0</v>
      </c>
      <c r="V343" s="201"/>
      <c r="W343" s="201"/>
      <c r="X343" s="201"/>
      <c r="Y343" s="845">
        <v>1</v>
      </c>
      <c r="Z343" s="139"/>
    </row>
    <row r="344" spans="1:26" hidden="1" x14ac:dyDescent="0.2">
      <c r="A344" s="190"/>
      <c r="B344" s="246"/>
      <c r="C344" s="195" t="s">
        <v>1698</v>
      </c>
      <c r="D344" s="196" t="s">
        <v>1699</v>
      </c>
      <c r="E344" s="204">
        <v>0</v>
      </c>
      <c r="F344" s="204">
        <v>0</v>
      </c>
      <c r="G344" s="204">
        <v>5.4513452229346469E-2</v>
      </c>
      <c r="H344" s="204">
        <v>0</v>
      </c>
      <c r="I344" s="204">
        <v>0</v>
      </c>
      <c r="J344" s="204">
        <v>0</v>
      </c>
      <c r="K344" s="204">
        <v>0</v>
      </c>
      <c r="L344" s="204">
        <v>0</v>
      </c>
      <c r="M344" s="204">
        <v>0</v>
      </c>
      <c r="N344" s="204">
        <v>0.61130976003767989</v>
      </c>
      <c r="O344" s="204">
        <v>0</v>
      </c>
      <c r="P344" s="204">
        <v>0.122010427439805</v>
      </c>
      <c r="Q344" s="204">
        <v>0</v>
      </c>
      <c r="R344" s="204">
        <v>0</v>
      </c>
      <c r="S344" s="204">
        <v>0.21216636029316854</v>
      </c>
      <c r="T344" s="204">
        <v>0</v>
      </c>
      <c r="U344" s="204">
        <v>0</v>
      </c>
      <c r="V344" s="204">
        <v>0</v>
      </c>
      <c r="W344" s="204">
        <v>0</v>
      </c>
      <c r="X344" s="204"/>
      <c r="Y344" s="204">
        <v>0.99999999999999978</v>
      </c>
      <c r="Z344" s="139"/>
    </row>
    <row r="345" spans="1:26" hidden="1" x14ac:dyDescent="0.2">
      <c r="A345" s="198"/>
      <c r="B345" s="198"/>
      <c r="C345" s="205" t="s">
        <v>1700</v>
      </c>
      <c r="D345" s="206" t="s">
        <v>1701</v>
      </c>
      <c r="E345" s="193">
        <v>0</v>
      </c>
      <c r="F345" s="193">
        <v>0</v>
      </c>
      <c r="G345" s="193">
        <v>5.4329826432567105E-2</v>
      </c>
      <c r="H345" s="193">
        <v>0</v>
      </c>
      <c r="I345" s="193">
        <v>0</v>
      </c>
      <c r="J345" s="193">
        <v>0</v>
      </c>
      <c r="K345" s="193">
        <v>0</v>
      </c>
      <c r="L345" s="193">
        <v>0</v>
      </c>
      <c r="M345" s="193">
        <v>0</v>
      </c>
      <c r="N345" s="193">
        <v>0.61261904338141615</v>
      </c>
      <c r="O345" s="193">
        <v>0</v>
      </c>
      <c r="P345" s="193">
        <v>0.12159944150811666</v>
      </c>
      <c r="Q345" s="193">
        <v>0</v>
      </c>
      <c r="R345" s="193">
        <v>0</v>
      </c>
      <c r="S345" s="193">
        <v>0.21145168867790001</v>
      </c>
      <c r="T345" s="193">
        <v>0</v>
      </c>
      <c r="U345" s="193">
        <v>0</v>
      </c>
      <c r="V345" s="193">
        <v>0</v>
      </c>
      <c r="W345" s="193">
        <v>0</v>
      </c>
      <c r="X345" s="193"/>
      <c r="Y345" s="193">
        <v>0.99999999999999989</v>
      </c>
      <c r="Z345" s="139"/>
    </row>
    <row r="346" spans="1:26" hidden="1" x14ac:dyDescent="0.2">
      <c r="A346" s="190"/>
      <c r="B346" s="253"/>
      <c r="C346" s="208" t="s">
        <v>1702</v>
      </c>
      <c r="D346" s="209" t="s">
        <v>1703</v>
      </c>
      <c r="E346" s="201">
        <v>0</v>
      </c>
      <c r="F346" s="201">
        <v>0</v>
      </c>
      <c r="G346" s="201">
        <v>0</v>
      </c>
      <c r="H346" s="201">
        <v>0</v>
      </c>
      <c r="I346" s="201">
        <v>0</v>
      </c>
      <c r="J346" s="201">
        <v>1.3359509428691005E-2</v>
      </c>
      <c r="K346" s="201">
        <v>0</v>
      </c>
      <c r="L346" s="201">
        <v>0</v>
      </c>
      <c r="M346" s="201">
        <v>0</v>
      </c>
      <c r="N346" s="201">
        <v>0.73473282796518991</v>
      </c>
      <c r="O346" s="201">
        <v>0</v>
      </c>
      <c r="P346" s="201">
        <v>0.12129013578014138</v>
      </c>
      <c r="Q346" s="201">
        <v>1.0687607543487186E-2</v>
      </c>
      <c r="R346" s="201">
        <v>0</v>
      </c>
      <c r="S346" s="201">
        <v>1.264700225916082E-2</v>
      </c>
      <c r="T346" s="201">
        <v>0</v>
      </c>
      <c r="U346" s="201">
        <v>0.10728291702332979</v>
      </c>
      <c r="V346" s="201">
        <v>0</v>
      </c>
      <c r="W346" s="201">
        <v>0</v>
      </c>
      <c r="X346" s="201"/>
      <c r="Y346" s="201">
        <v>1</v>
      </c>
      <c r="Z346" s="139"/>
    </row>
    <row r="347" spans="1:26" hidden="1" x14ac:dyDescent="0.2">
      <c r="A347" s="190"/>
      <c r="B347" s="243"/>
      <c r="C347" s="205" t="s">
        <v>1704</v>
      </c>
      <c r="D347" s="206" t="s">
        <v>1705</v>
      </c>
      <c r="E347" s="207">
        <v>0</v>
      </c>
      <c r="F347" s="207">
        <v>6.9203446682999201E-2</v>
      </c>
      <c r="G347" s="207">
        <v>0.19477009306659837</v>
      </c>
      <c r="H347" s="207">
        <v>0</v>
      </c>
      <c r="I347" s="207">
        <v>0</v>
      </c>
      <c r="J347" s="207">
        <v>4.5840159806984346E-2</v>
      </c>
      <c r="K347" s="207">
        <v>0</v>
      </c>
      <c r="L347" s="207">
        <v>0</v>
      </c>
      <c r="M347" s="207">
        <v>0</v>
      </c>
      <c r="N347" s="207">
        <v>0.26773999942595578</v>
      </c>
      <c r="O347" s="207">
        <v>3.9457587680766119E-2</v>
      </c>
      <c r="P347" s="207">
        <v>0.13509624896791425</v>
      </c>
      <c r="Q347" s="207">
        <v>8.3053638110284333E-3</v>
      </c>
      <c r="R347" s="207">
        <v>0</v>
      </c>
      <c r="S347" s="207">
        <v>0.20519365509780024</v>
      </c>
      <c r="T347" s="207">
        <v>3.4393445459953154E-2</v>
      </c>
      <c r="U347" s="207">
        <v>0</v>
      </c>
      <c r="V347" s="207">
        <v>0</v>
      </c>
      <c r="W347" s="207">
        <v>0</v>
      </c>
      <c r="X347" s="207"/>
      <c r="Y347" s="193">
        <v>0.99999999999999989</v>
      </c>
      <c r="Z347" s="139"/>
    </row>
    <row r="348" spans="1:26" hidden="1" x14ac:dyDescent="0.2">
      <c r="A348" s="190"/>
      <c r="B348" s="243"/>
      <c r="C348" s="205" t="s">
        <v>1706</v>
      </c>
      <c r="D348" s="206" t="s">
        <v>1707</v>
      </c>
      <c r="E348" s="207">
        <v>0</v>
      </c>
      <c r="F348" s="207">
        <v>0</v>
      </c>
      <c r="G348" s="207">
        <v>0</v>
      </c>
      <c r="H348" s="207">
        <v>0</v>
      </c>
      <c r="I348" s="207">
        <v>0</v>
      </c>
      <c r="J348" s="207">
        <v>5.6402244723873451E-2</v>
      </c>
      <c r="K348" s="207">
        <v>0</v>
      </c>
      <c r="L348" s="207">
        <v>0</v>
      </c>
      <c r="M348" s="207">
        <v>0</v>
      </c>
      <c r="N348" s="207">
        <v>0.46424096347842336</v>
      </c>
      <c r="O348" s="207">
        <v>3.3277324387698939E-2</v>
      </c>
      <c r="P348" s="207">
        <v>0.22992932871168764</v>
      </c>
      <c r="Q348" s="207">
        <v>1.3950838858497639E-2</v>
      </c>
      <c r="R348" s="207">
        <v>0</v>
      </c>
      <c r="S348" s="207">
        <v>0.1395289020804063</v>
      </c>
      <c r="T348" s="207">
        <v>6.2670397759412494E-2</v>
      </c>
      <c r="U348" s="207">
        <v>0</v>
      </c>
      <c r="V348" s="207">
        <v>0</v>
      </c>
      <c r="W348" s="207">
        <v>0</v>
      </c>
      <c r="X348" s="207"/>
      <c r="Y348" s="193">
        <v>0.99999999999999978</v>
      </c>
      <c r="Z348" s="139"/>
    </row>
    <row r="349" spans="1:26" hidden="1" x14ac:dyDescent="0.2">
      <c r="A349" s="190"/>
      <c r="B349" s="243"/>
      <c r="C349" s="205" t="s">
        <v>1708</v>
      </c>
      <c r="D349" s="206" t="s">
        <v>1709</v>
      </c>
      <c r="E349" s="207">
        <v>0</v>
      </c>
      <c r="F349" s="207">
        <v>0</v>
      </c>
      <c r="G349" s="207">
        <v>0</v>
      </c>
      <c r="H349" s="207">
        <v>0</v>
      </c>
      <c r="I349" s="207">
        <v>0</v>
      </c>
      <c r="J349" s="207">
        <v>8.0528749958959339E-2</v>
      </c>
      <c r="K349" s="207">
        <v>0</v>
      </c>
      <c r="L349" s="207">
        <v>0</v>
      </c>
      <c r="M349" s="207">
        <v>0</v>
      </c>
      <c r="N349" s="207">
        <v>0.40629214272543784</v>
      </c>
      <c r="O349" s="207">
        <v>4.3552632270273575E-2</v>
      </c>
      <c r="P349" s="207">
        <v>0.24255920365509243</v>
      </c>
      <c r="Q349" s="207">
        <v>1.2766491160012718E-2</v>
      </c>
      <c r="R349" s="207">
        <v>0</v>
      </c>
      <c r="S349" s="207">
        <v>0.1614333047749254</v>
      </c>
      <c r="T349" s="207">
        <v>5.2867475455298671E-2</v>
      </c>
      <c r="U349" s="207">
        <v>0</v>
      </c>
      <c r="V349" s="207">
        <v>0</v>
      </c>
      <c r="W349" s="207">
        <v>0</v>
      </c>
      <c r="X349" s="207"/>
      <c r="Y349" s="193">
        <v>1</v>
      </c>
      <c r="Z349" s="139"/>
    </row>
    <row r="350" spans="1:26" hidden="1" x14ac:dyDescent="0.2">
      <c r="A350" s="746" t="s">
        <v>2599</v>
      </c>
      <c r="B350" s="771"/>
      <c r="C350" s="772" t="s">
        <v>1710</v>
      </c>
      <c r="D350" s="773" t="s">
        <v>1711</v>
      </c>
      <c r="E350" s="744">
        <v>0</v>
      </c>
      <c r="F350" s="744">
        <v>0</v>
      </c>
      <c r="G350" s="744">
        <v>4.2610903643802676E-2</v>
      </c>
      <c r="H350" s="744">
        <v>0</v>
      </c>
      <c r="I350" s="744">
        <v>0</v>
      </c>
      <c r="J350" s="744">
        <v>0</v>
      </c>
      <c r="K350" s="744">
        <v>0</v>
      </c>
      <c r="L350" s="744">
        <v>0</v>
      </c>
      <c r="M350" s="744">
        <v>0</v>
      </c>
      <c r="N350" s="744">
        <v>0.35304650929528858</v>
      </c>
      <c r="O350" s="744">
        <v>0</v>
      </c>
      <c r="P350" s="744">
        <v>0.36888532689853604</v>
      </c>
      <c r="Q350" s="744">
        <v>0</v>
      </c>
      <c r="R350" s="744">
        <v>0</v>
      </c>
      <c r="S350" s="744">
        <v>0.13982504383279828</v>
      </c>
      <c r="T350" s="744">
        <v>9.563221632957461E-2</v>
      </c>
      <c r="U350" s="744">
        <v>0</v>
      </c>
      <c r="V350" s="744">
        <v>0</v>
      </c>
      <c r="W350" s="744">
        <v>0</v>
      </c>
      <c r="X350" s="744">
        <v>0</v>
      </c>
      <c r="Y350" s="236">
        <v>1</v>
      </c>
      <c r="Z350" s="139"/>
    </row>
    <row r="351" spans="1:26" hidden="1" x14ac:dyDescent="0.2">
      <c r="A351" s="190"/>
      <c r="B351" s="246"/>
      <c r="C351" s="195" t="s">
        <v>1712</v>
      </c>
      <c r="D351" s="196" t="s">
        <v>1713</v>
      </c>
      <c r="E351" s="212">
        <v>0</v>
      </c>
      <c r="F351" s="212">
        <v>0</v>
      </c>
      <c r="G351" s="212">
        <v>0</v>
      </c>
      <c r="H351" s="212">
        <v>0</v>
      </c>
      <c r="I351" s="212">
        <v>0</v>
      </c>
      <c r="J351" s="212">
        <v>5.6989963682958299E-2</v>
      </c>
      <c r="K351" s="212">
        <v>0</v>
      </c>
      <c r="L351" s="212">
        <v>0</v>
      </c>
      <c r="M351" s="212">
        <v>0</v>
      </c>
      <c r="N351" s="212">
        <v>0.43035208014790061</v>
      </c>
      <c r="O351" s="212">
        <v>3.188490209562235E-2</v>
      </c>
      <c r="P351" s="212">
        <v>0.21776772974847031</v>
      </c>
      <c r="Q351" s="212">
        <v>1.3367094240287859E-2</v>
      </c>
      <c r="R351" s="212">
        <v>0</v>
      </c>
      <c r="S351" s="212">
        <v>0.13369059755260759</v>
      </c>
      <c r="T351" s="212">
        <v>0.1159476325321529</v>
      </c>
      <c r="U351" s="212">
        <v>0</v>
      </c>
      <c r="V351" s="212">
        <v>0</v>
      </c>
      <c r="W351" s="212">
        <v>0</v>
      </c>
      <c r="X351" s="212"/>
      <c r="Y351" s="204">
        <v>0.99999999999999978</v>
      </c>
      <c r="Z351" s="139"/>
    </row>
    <row r="352" spans="1:26" hidden="1" x14ac:dyDescent="0.2">
      <c r="A352" s="198"/>
      <c r="B352" s="198"/>
      <c r="C352" s="205" t="s">
        <v>1714</v>
      </c>
      <c r="D352" s="206" t="s">
        <v>1715</v>
      </c>
      <c r="E352" s="207">
        <v>0</v>
      </c>
      <c r="F352" s="207">
        <v>0</v>
      </c>
      <c r="G352" s="207">
        <v>0</v>
      </c>
      <c r="H352" s="207">
        <v>0</v>
      </c>
      <c r="I352" s="207">
        <v>0</v>
      </c>
      <c r="J352" s="207">
        <v>7.5037714995641477E-2</v>
      </c>
      <c r="K352" s="207">
        <v>0</v>
      </c>
      <c r="L352" s="207">
        <v>0</v>
      </c>
      <c r="M352" s="207">
        <v>0</v>
      </c>
      <c r="N352" s="207">
        <v>0.40462010234379442</v>
      </c>
      <c r="O352" s="207">
        <v>4.058289752755774E-2</v>
      </c>
      <c r="P352" s="207">
        <v>0.19656128814337034</v>
      </c>
      <c r="Q352" s="207">
        <v>1.2361212916811104E-2</v>
      </c>
      <c r="R352" s="207">
        <v>0</v>
      </c>
      <c r="S352" s="207">
        <v>0.15042560974408459</v>
      </c>
      <c r="T352" s="207">
        <v>0.12041117432874018</v>
      </c>
      <c r="U352" s="207">
        <v>0</v>
      </c>
      <c r="V352" s="207">
        <v>0</v>
      </c>
      <c r="W352" s="207">
        <v>0</v>
      </c>
      <c r="X352" s="207"/>
      <c r="Y352" s="193">
        <v>0.99999999999999989</v>
      </c>
      <c r="Z352" s="139"/>
    </row>
    <row r="353" spans="1:26" hidden="1" x14ac:dyDescent="0.2">
      <c r="A353" s="190"/>
      <c r="B353" s="253"/>
      <c r="C353" s="208" t="s">
        <v>1716</v>
      </c>
      <c r="D353" s="209" t="s">
        <v>1717</v>
      </c>
      <c r="E353" s="224">
        <v>0</v>
      </c>
      <c r="F353" s="224">
        <v>0</v>
      </c>
      <c r="G353" s="224">
        <v>0</v>
      </c>
      <c r="H353" s="224">
        <v>0</v>
      </c>
      <c r="I353" s="224">
        <v>0</v>
      </c>
      <c r="J353" s="224">
        <v>7.2706124972228905E-2</v>
      </c>
      <c r="K353" s="224">
        <v>0</v>
      </c>
      <c r="L353" s="224">
        <v>0</v>
      </c>
      <c r="M353" s="224">
        <v>0</v>
      </c>
      <c r="N353" s="224">
        <v>0.39679778219048273</v>
      </c>
      <c r="O353" s="224">
        <v>3.9321895923205522E-2</v>
      </c>
      <c r="P353" s="224">
        <v>0.19045368827241435</v>
      </c>
      <c r="Q353" s="224">
        <v>1.1977122320291881E-2</v>
      </c>
      <c r="R353" s="224">
        <v>0</v>
      </c>
      <c r="S353" s="224">
        <v>0.14575154882731184</v>
      </c>
      <c r="T353" s="224">
        <v>0.14299183749406472</v>
      </c>
      <c r="U353" s="224">
        <v>0</v>
      </c>
      <c r="V353" s="224">
        <v>0</v>
      </c>
      <c r="W353" s="224">
        <v>0</v>
      </c>
      <c r="X353" s="224"/>
      <c r="Y353" s="201">
        <v>1</v>
      </c>
      <c r="Z353" s="139"/>
    </row>
    <row r="354" spans="1:26" hidden="1" x14ac:dyDescent="0.2">
      <c r="A354" s="190"/>
      <c r="B354" s="243"/>
      <c r="C354" s="191" t="s">
        <v>1557</v>
      </c>
      <c r="D354" s="192" t="s">
        <v>1558</v>
      </c>
      <c r="E354" s="193">
        <v>0</v>
      </c>
      <c r="F354" s="193">
        <v>0</v>
      </c>
      <c r="G354" s="193">
        <v>1</v>
      </c>
      <c r="H354" s="193">
        <v>0</v>
      </c>
      <c r="I354" s="193">
        <v>0</v>
      </c>
      <c r="J354" s="193">
        <v>0</v>
      </c>
      <c r="K354" s="193">
        <v>0</v>
      </c>
      <c r="L354" s="193">
        <v>0</v>
      </c>
      <c r="M354" s="193"/>
      <c r="N354" s="193">
        <v>0</v>
      </c>
      <c r="O354" s="193">
        <v>0</v>
      </c>
      <c r="P354" s="193">
        <v>0</v>
      </c>
      <c r="Q354" s="193">
        <v>0</v>
      </c>
      <c r="R354" s="193">
        <v>0</v>
      </c>
      <c r="S354" s="193">
        <v>0</v>
      </c>
      <c r="T354" s="193">
        <v>0</v>
      </c>
      <c r="U354" s="193">
        <v>0</v>
      </c>
      <c r="V354" s="193"/>
      <c r="W354" s="193"/>
      <c r="X354" s="193"/>
      <c r="Y354" s="843">
        <v>1</v>
      </c>
      <c r="Z354" s="139"/>
    </row>
    <row r="355" spans="1:26" hidden="1" x14ac:dyDescent="0.2">
      <c r="A355" s="190"/>
      <c r="B355" s="243"/>
      <c r="C355" s="191" t="s">
        <v>1559</v>
      </c>
      <c r="D355" s="192" t="s">
        <v>1560</v>
      </c>
      <c r="E355" s="193">
        <v>0</v>
      </c>
      <c r="F355" s="193">
        <v>0</v>
      </c>
      <c r="G355" s="193">
        <v>1</v>
      </c>
      <c r="H355" s="193">
        <v>0</v>
      </c>
      <c r="I355" s="193">
        <v>0</v>
      </c>
      <c r="J355" s="193">
        <v>0</v>
      </c>
      <c r="K355" s="193">
        <v>0</v>
      </c>
      <c r="L355" s="193">
        <v>0</v>
      </c>
      <c r="M355" s="193"/>
      <c r="N355" s="193">
        <v>0</v>
      </c>
      <c r="O355" s="193">
        <v>0</v>
      </c>
      <c r="P355" s="193">
        <v>0</v>
      </c>
      <c r="Q355" s="193">
        <v>0</v>
      </c>
      <c r="R355" s="193">
        <v>0</v>
      </c>
      <c r="S355" s="193">
        <v>0</v>
      </c>
      <c r="T355" s="193">
        <v>0</v>
      </c>
      <c r="U355" s="193">
        <v>0</v>
      </c>
      <c r="V355" s="193"/>
      <c r="W355" s="193"/>
      <c r="X355" s="193"/>
      <c r="Y355" s="843">
        <v>1</v>
      </c>
      <c r="Z355" s="139"/>
    </row>
    <row r="356" spans="1:26" hidden="1" x14ac:dyDescent="0.2">
      <c r="A356" s="190"/>
      <c r="B356" s="243"/>
      <c r="C356" s="191" t="s">
        <v>1561</v>
      </c>
      <c r="D356" s="192" t="s">
        <v>1562</v>
      </c>
      <c r="E356" s="193">
        <v>0</v>
      </c>
      <c r="F356" s="193">
        <v>0</v>
      </c>
      <c r="G356" s="193">
        <v>1</v>
      </c>
      <c r="H356" s="193">
        <v>0</v>
      </c>
      <c r="I356" s="193">
        <v>0</v>
      </c>
      <c r="J356" s="193">
        <v>0</v>
      </c>
      <c r="K356" s="193">
        <v>0</v>
      </c>
      <c r="L356" s="193">
        <v>0</v>
      </c>
      <c r="M356" s="193"/>
      <c r="N356" s="193">
        <v>0</v>
      </c>
      <c r="O356" s="193">
        <v>0</v>
      </c>
      <c r="P356" s="193">
        <v>0</v>
      </c>
      <c r="Q356" s="193">
        <v>0</v>
      </c>
      <c r="R356" s="193">
        <v>0</v>
      </c>
      <c r="S356" s="193">
        <v>0</v>
      </c>
      <c r="T356" s="193">
        <v>0</v>
      </c>
      <c r="U356" s="193">
        <v>0</v>
      </c>
      <c r="V356" s="193"/>
      <c r="W356" s="193"/>
      <c r="X356" s="193"/>
      <c r="Y356" s="843">
        <v>1</v>
      </c>
      <c r="Z356" s="139"/>
    </row>
    <row r="357" spans="1:26" hidden="1" x14ac:dyDescent="0.2">
      <c r="A357" s="190"/>
      <c r="B357" s="243"/>
      <c r="C357" s="191" t="s">
        <v>1563</v>
      </c>
      <c r="D357" s="192" t="s">
        <v>1564</v>
      </c>
      <c r="E357" s="193">
        <v>0</v>
      </c>
      <c r="F357" s="193">
        <v>0</v>
      </c>
      <c r="G357" s="193">
        <v>1</v>
      </c>
      <c r="H357" s="193">
        <v>0</v>
      </c>
      <c r="I357" s="193">
        <v>0</v>
      </c>
      <c r="J357" s="193">
        <v>0</v>
      </c>
      <c r="K357" s="193">
        <v>0</v>
      </c>
      <c r="L357" s="193">
        <v>0</v>
      </c>
      <c r="M357" s="193"/>
      <c r="N357" s="193">
        <v>0</v>
      </c>
      <c r="O357" s="193">
        <v>0</v>
      </c>
      <c r="P357" s="193">
        <v>0</v>
      </c>
      <c r="Q357" s="193">
        <v>0</v>
      </c>
      <c r="R357" s="193">
        <v>0</v>
      </c>
      <c r="S357" s="193">
        <v>0</v>
      </c>
      <c r="T357" s="193">
        <v>0</v>
      </c>
      <c r="U357" s="193">
        <v>0</v>
      </c>
      <c r="V357" s="193"/>
      <c r="W357" s="193"/>
      <c r="X357" s="193"/>
      <c r="Y357" s="843">
        <v>1</v>
      </c>
      <c r="Z357" s="139"/>
    </row>
    <row r="358" spans="1:26" hidden="1" x14ac:dyDescent="0.2">
      <c r="A358" s="190"/>
      <c r="B358" s="243"/>
      <c r="C358" s="191" t="s">
        <v>1565</v>
      </c>
      <c r="D358" s="192" t="s">
        <v>1566</v>
      </c>
      <c r="E358" s="193">
        <v>0</v>
      </c>
      <c r="F358" s="193">
        <v>0</v>
      </c>
      <c r="G358" s="193">
        <v>1</v>
      </c>
      <c r="H358" s="193">
        <v>0</v>
      </c>
      <c r="I358" s="193">
        <v>0</v>
      </c>
      <c r="J358" s="193">
        <v>0</v>
      </c>
      <c r="K358" s="193">
        <v>0</v>
      </c>
      <c r="L358" s="193">
        <v>0</v>
      </c>
      <c r="M358" s="193"/>
      <c r="N358" s="193">
        <v>0</v>
      </c>
      <c r="O358" s="193">
        <v>0</v>
      </c>
      <c r="P358" s="193">
        <v>0</v>
      </c>
      <c r="Q358" s="193">
        <v>0</v>
      </c>
      <c r="R358" s="193">
        <v>0</v>
      </c>
      <c r="S358" s="193">
        <v>0</v>
      </c>
      <c r="T358" s="193">
        <v>0</v>
      </c>
      <c r="U358" s="193">
        <v>0</v>
      </c>
      <c r="V358" s="193"/>
      <c r="W358" s="193"/>
      <c r="X358" s="193"/>
      <c r="Y358" s="843">
        <v>1</v>
      </c>
      <c r="Z358" s="139"/>
    </row>
    <row r="359" spans="1:26" hidden="1" x14ac:dyDescent="0.2">
      <c r="A359" s="190"/>
      <c r="B359" s="243"/>
      <c r="C359" s="191" t="s">
        <v>1567</v>
      </c>
      <c r="D359" s="192" t="s">
        <v>1568</v>
      </c>
      <c r="E359" s="193">
        <v>0</v>
      </c>
      <c r="F359" s="193">
        <v>0</v>
      </c>
      <c r="G359" s="193">
        <v>1</v>
      </c>
      <c r="H359" s="193">
        <v>0</v>
      </c>
      <c r="I359" s="193">
        <v>0</v>
      </c>
      <c r="J359" s="193">
        <v>0</v>
      </c>
      <c r="K359" s="193">
        <v>0</v>
      </c>
      <c r="L359" s="193">
        <v>0</v>
      </c>
      <c r="M359" s="193"/>
      <c r="N359" s="193">
        <v>0</v>
      </c>
      <c r="O359" s="193">
        <v>0</v>
      </c>
      <c r="P359" s="193">
        <v>0</v>
      </c>
      <c r="Q359" s="193">
        <v>0</v>
      </c>
      <c r="R359" s="193">
        <v>0</v>
      </c>
      <c r="S359" s="193">
        <v>0</v>
      </c>
      <c r="T359" s="193">
        <v>0</v>
      </c>
      <c r="U359" s="193">
        <v>0</v>
      </c>
      <c r="V359" s="193"/>
      <c r="W359" s="193"/>
      <c r="X359" s="193"/>
      <c r="Y359" s="843">
        <v>1</v>
      </c>
      <c r="Z359" s="139"/>
    </row>
    <row r="360" spans="1:26" hidden="1" x14ac:dyDescent="0.2">
      <c r="A360" s="746" t="s">
        <v>2599</v>
      </c>
      <c r="B360" s="771"/>
      <c r="C360" s="765" t="s">
        <v>1718</v>
      </c>
      <c r="D360" s="766" t="s">
        <v>1719</v>
      </c>
      <c r="E360" s="744">
        <v>0</v>
      </c>
      <c r="F360" s="744">
        <v>0</v>
      </c>
      <c r="G360" s="744">
        <v>0</v>
      </c>
      <c r="H360" s="744">
        <v>2.1800002666080419E-2</v>
      </c>
      <c r="I360" s="744">
        <v>0</v>
      </c>
      <c r="J360" s="744">
        <v>0</v>
      </c>
      <c r="K360" s="744">
        <v>0.97819999733391949</v>
      </c>
      <c r="L360" s="744">
        <v>0</v>
      </c>
      <c r="M360" s="744">
        <v>0</v>
      </c>
      <c r="N360" s="744">
        <v>0</v>
      </c>
      <c r="O360" s="744">
        <v>0</v>
      </c>
      <c r="P360" s="744">
        <v>0</v>
      </c>
      <c r="Q360" s="744">
        <v>0</v>
      </c>
      <c r="R360" s="744">
        <v>0</v>
      </c>
      <c r="S360" s="744">
        <v>0</v>
      </c>
      <c r="T360" s="744">
        <v>0</v>
      </c>
      <c r="U360" s="744">
        <v>0</v>
      </c>
      <c r="V360" s="744">
        <v>0</v>
      </c>
      <c r="W360" s="744">
        <v>0</v>
      </c>
      <c r="X360" s="744">
        <v>0</v>
      </c>
      <c r="Y360" s="260">
        <v>1</v>
      </c>
      <c r="Z360" s="139"/>
    </row>
    <row r="361" spans="1:26" hidden="1" x14ac:dyDescent="0.2">
      <c r="A361" s="190"/>
      <c r="B361" s="243"/>
      <c r="C361" s="191" t="s">
        <v>1569</v>
      </c>
      <c r="D361" s="192" t="s">
        <v>1570</v>
      </c>
      <c r="E361" s="193">
        <v>0</v>
      </c>
      <c r="F361" s="193">
        <v>0</v>
      </c>
      <c r="G361" s="193">
        <v>0</v>
      </c>
      <c r="H361" s="193">
        <v>0</v>
      </c>
      <c r="I361" s="193">
        <v>0</v>
      </c>
      <c r="J361" s="193">
        <v>0</v>
      </c>
      <c r="K361" s="193">
        <v>0</v>
      </c>
      <c r="L361" s="193">
        <v>0</v>
      </c>
      <c r="M361" s="193"/>
      <c r="N361" s="193">
        <v>0</v>
      </c>
      <c r="O361" s="193">
        <v>0</v>
      </c>
      <c r="P361" s="193">
        <v>0</v>
      </c>
      <c r="Q361" s="193">
        <v>0</v>
      </c>
      <c r="R361" s="193">
        <v>0</v>
      </c>
      <c r="S361" s="193">
        <v>1</v>
      </c>
      <c r="T361" s="193">
        <v>0</v>
      </c>
      <c r="U361" s="193">
        <v>0</v>
      </c>
      <c r="V361" s="193"/>
      <c r="W361" s="193"/>
      <c r="X361" s="193"/>
      <c r="Y361" s="843">
        <v>1</v>
      </c>
      <c r="Z361" s="139"/>
    </row>
    <row r="362" spans="1:26" hidden="1" x14ac:dyDescent="0.2">
      <c r="A362" s="190"/>
      <c r="B362" s="243"/>
      <c r="C362" s="191" t="s">
        <v>1571</v>
      </c>
      <c r="D362" s="192" t="s">
        <v>1572</v>
      </c>
      <c r="E362" s="193">
        <v>0</v>
      </c>
      <c r="F362" s="193">
        <v>0</v>
      </c>
      <c r="G362" s="193">
        <v>0</v>
      </c>
      <c r="H362" s="193">
        <v>0</v>
      </c>
      <c r="I362" s="193">
        <v>0</v>
      </c>
      <c r="J362" s="193">
        <v>0</v>
      </c>
      <c r="K362" s="193">
        <v>0</v>
      </c>
      <c r="L362" s="193">
        <v>0</v>
      </c>
      <c r="M362" s="193"/>
      <c r="N362" s="193">
        <v>0</v>
      </c>
      <c r="O362" s="193">
        <v>0</v>
      </c>
      <c r="P362" s="193">
        <v>0</v>
      </c>
      <c r="Q362" s="193">
        <v>0</v>
      </c>
      <c r="R362" s="193">
        <v>0</v>
      </c>
      <c r="S362" s="193">
        <v>1</v>
      </c>
      <c r="T362" s="193">
        <v>0</v>
      </c>
      <c r="U362" s="193">
        <v>0</v>
      </c>
      <c r="V362" s="193"/>
      <c r="W362" s="193"/>
      <c r="X362" s="193"/>
      <c r="Y362" s="843">
        <v>1</v>
      </c>
      <c r="Z362" s="139"/>
    </row>
    <row r="363" spans="1:26" hidden="1" x14ac:dyDescent="0.2">
      <c r="A363" s="190"/>
      <c r="B363" s="246"/>
      <c r="C363" s="222" t="s">
        <v>1573</v>
      </c>
      <c r="D363" s="223" t="s">
        <v>1574</v>
      </c>
      <c r="E363" s="204">
        <v>0</v>
      </c>
      <c r="F363" s="204">
        <v>0</v>
      </c>
      <c r="G363" s="204">
        <v>0</v>
      </c>
      <c r="H363" s="204">
        <v>1</v>
      </c>
      <c r="I363" s="204">
        <v>0</v>
      </c>
      <c r="J363" s="204">
        <v>0</v>
      </c>
      <c r="K363" s="204">
        <v>0</v>
      </c>
      <c r="L363" s="204">
        <v>0</v>
      </c>
      <c r="M363" s="204"/>
      <c r="N363" s="204">
        <v>0</v>
      </c>
      <c r="O363" s="204">
        <v>0</v>
      </c>
      <c r="P363" s="204">
        <v>0</v>
      </c>
      <c r="Q363" s="204">
        <v>0</v>
      </c>
      <c r="R363" s="204">
        <v>0</v>
      </c>
      <c r="S363" s="204">
        <v>0</v>
      </c>
      <c r="T363" s="204">
        <v>0</v>
      </c>
      <c r="U363" s="204">
        <v>0</v>
      </c>
      <c r="V363" s="204"/>
      <c r="W363" s="204"/>
      <c r="X363" s="204"/>
      <c r="Y363" s="846">
        <v>1</v>
      </c>
      <c r="Z363" s="139"/>
    </row>
    <row r="364" spans="1:26" hidden="1" x14ac:dyDescent="0.2">
      <c r="A364" s="198"/>
      <c r="B364" s="198"/>
      <c r="C364" s="191" t="s">
        <v>1575</v>
      </c>
      <c r="D364" s="192" t="s">
        <v>1576</v>
      </c>
      <c r="E364" s="193">
        <v>0</v>
      </c>
      <c r="F364" s="193">
        <v>0</v>
      </c>
      <c r="G364" s="193">
        <v>0</v>
      </c>
      <c r="H364" s="193">
        <v>0</v>
      </c>
      <c r="I364" s="193">
        <v>0</v>
      </c>
      <c r="J364" s="193">
        <v>0</v>
      </c>
      <c r="K364" s="193">
        <v>1</v>
      </c>
      <c r="L364" s="193">
        <v>0</v>
      </c>
      <c r="M364" s="193"/>
      <c r="N364" s="193">
        <v>0</v>
      </c>
      <c r="O364" s="193">
        <v>0</v>
      </c>
      <c r="P364" s="193">
        <v>0</v>
      </c>
      <c r="Q364" s="193">
        <v>0</v>
      </c>
      <c r="R364" s="193">
        <v>0</v>
      </c>
      <c r="S364" s="193">
        <v>0</v>
      </c>
      <c r="T364" s="193">
        <v>0</v>
      </c>
      <c r="U364" s="193">
        <v>0</v>
      </c>
      <c r="V364" s="193"/>
      <c r="W364" s="193"/>
      <c r="X364" s="193"/>
      <c r="Y364" s="843">
        <v>1</v>
      </c>
      <c r="Z364" s="139"/>
    </row>
    <row r="365" spans="1:26" hidden="1" x14ac:dyDescent="0.2">
      <c r="A365" s="198"/>
      <c r="B365" s="198"/>
      <c r="C365" s="191" t="s">
        <v>1577</v>
      </c>
      <c r="D365" s="192" t="s">
        <v>1578</v>
      </c>
      <c r="E365" s="193">
        <v>0</v>
      </c>
      <c r="F365" s="193">
        <v>0</v>
      </c>
      <c r="G365" s="193">
        <v>0</v>
      </c>
      <c r="H365" s="193">
        <v>0</v>
      </c>
      <c r="I365" s="193">
        <v>0</v>
      </c>
      <c r="J365" s="193">
        <v>0</v>
      </c>
      <c r="K365" s="193">
        <v>1</v>
      </c>
      <c r="L365" s="193">
        <v>0</v>
      </c>
      <c r="M365" s="193"/>
      <c r="N365" s="193">
        <v>0</v>
      </c>
      <c r="O365" s="193">
        <v>0</v>
      </c>
      <c r="P365" s="193">
        <v>0</v>
      </c>
      <c r="Q365" s="193">
        <v>0</v>
      </c>
      <c r="R365" s="193">
        <v>0</v>
      </c>
      <c r="S365" s="193">
        <v>0</v>
      </c>
      <c r="T365" s="193">
        <v>0</v>
      </c>
      <c r="U365" s="193">
        <v>0</v>
      </c>
      <c r="V365" s="193"/>
      <c r="W365" s="193"/>
      <c r="X365" s="193"/>
      <c r="Y365" s="843">
        <v>1</v>
      </c>
      <c r="Z365" s="139"/>
    </row>
    <row r="366" spans="1:26" hidden="1" x14ac:dyDescent="0.2">
      <c r="A366" s="190"/>
      <c r="B366" s="190"/>
      <c r="C366" s="199" t="s">
        <v>1579</v>
      </c>
      <c r="D366" s="200" t="s">
        <v>1580</v>
      </c>
      <c r="E366" s="201">
        <v>0</v>
      </c>
      <c r="F366" s="201">
        <v>0</v>
      </c>
      <c r="G366" s="201">
        <v>0</v>
      </c>
      <c r="H366" s="201">
        <v>1</v>
      </c>
      <c r="I366" s="201">
        <v>0</v>
      </c>
      <c r="J366" s="201">
        <v>0</v>
      </c>
      <c r="K366" s="201">
        <v>0</v>
      </c>
      <c r="L366" s="201">
        <v>0</v>
      </c>
      <c r="M366" s="201"/>
      <c r="N366" s="201">
        <v>0</v>
      </c>
      <c r="O366" s="201">
        <v>0</v>
      </c>
      <c r="P366" s="201">
        <v>0</v>
      </c>
      <c r="Q366" s="201">
        <v>0</v>
      </c>
      <c r="R366" s="201">
        <v>0</v>
      </c>
      <c r="S366" s="201">
        <v>0</v>
      </c>
      <c r="T366" s="201">
        <v>0</v>
      </c>
      <c r="U366" s="201">
        <v>0</v>
      </c>
      <c r="V366" s="201"/>
      <c r="W366" s="201"/>
      <c r="X366" s="201"/>
      <c r="Y366" s="845">
        <v>1</v>
      </c>
      <c r="Z366" s="139"/>
    </row>
    <row r="367" spans="1:26" hidden="1" x14ac:dyDescent="0.2">
      <c r="A367" s="190"/>
      <c r="B367" s="190"/>
      <c r="C367" s="222" t="s">
        <v>1581</v>
      </c>
      <c r="D367" s="223" t="s">
        <v>1582</v>
      </c>
      <c r="E367" s="204">
        <v>0</v>
      </c>
      <c r="F367" s="204">
        <v>0</v>
      </c>
      <c r="G367" s="204">
        <v>0</v>
      </c>
      <c r="H367" s="204">
        <v>1</v>
      </c>
      <c r="I367" s="204">
        <v>0</v>
      </c>
      <c r="J367" s="204">
        <v>0</v>
      </c>
      <c r="K367" s="204">
        <v>0</v>
      </c>
      <c r="L367" s="204">
        <v>0</v>
      </c>
      <c r="M367" s="204"/>
      <c r="N367" s="204">
        <v>0</v>
      </c>
      <c r="O367" s="204">
        <v>0</v>
      </c>
      <c r="P367" s="204">
        <v>0</v>
      </c>
      <c r="Q367" s="204">
        <v>0</v>
      </c>
      <c r="R367" s="204">
        <v>0</v>
      </c>
      <c r="S367" s="204">
        <v>0</v>
      </c>
      <c r="T367" s="204">
        <v>0</v>
      </c>
      <c r="U367" s="204">
        <v>0</v>
      </c>
      <c r="V367" s="204"/>
      <c r="W367" s="204"/>
      <c r="X367" s="204"/>
      <c r="Y367" s="846">
        <v>1</v>
      </c>
      <c r="Z367" s="139"/>
    </row>
    <row r="368" spans="1:26" hidden="1" x14ac:dyDescent="0.2">
      <c r="A368" s="198"/>
      <c r="B368" s="198"/>
      <c r="C368" s="191" t="s">
        <v>1583</v>
      </c>
      <c r="D368" s="192" t="s">
        <v>1071</v>
      </c>
      <c r="E368" s="193">
        <v>0</v>
      </c>
      <c r="F368" s="193">
        <v>0</v>
      </c>
      <c r="G368" s="193">
        <v>0</v>
      </c>
      <c r="H368" s="193">
        <v>1</v>
      </c>
      <c r="I368" s="193">
        <v>0</v>
      </c>
      <c r="J368" s="193">
        <v>0</v>
      </c>
      <c r="K368" s="193">
        <v>0</v>
      </c>
      <c r="L368" s="193">
        <v>0</v>
      </c>
      <c r="M368" s="193"/>
      <c r="N368" s="193">
        <v>0</v>
      </c>
      <c r="O368" s="193">
        <v>0</v>
      </c>
      <c r="P368" s="193">
        <v>0</v>
      </c>
      <c r="Q368" s="193">
        <v>0</v>
      </c>
      <c r="R368" s="193">
        <v>0</v>
      </c>
      <c r="S368" s="193">
        <v>0</v>
      </c>
      <c r="T368" s="193">
        <v>0</v>
      </c>
      <c r="U368" s="193">
        <v>0</v>
      </c>
      <c r="V368" s="193"/>
      <c r="W368" s="193"/>
      <c r="X368" s="193"/>
      <c r="Y368" s="843">
        <v>1</v>
      </c>
      <c r="Z368" s="139"/>
    </row>
    <row r="369" spans="1:26" hidden="1" x14ac:dyDescent="0.2">
      <c r="A369" s="253"/>
      <c r="B369" s="190"/>
      <c r="C369" s="199" t="s">
        <v>1584</v>
      </c>
      <c r="D369" s="200" t="s">
        <v>1585</v>
      </c>
      <c r="E369" s="201">
        <v>0</v>
      </c>
      <c r="F369" s="201">
        <v>0</v>
      </c>
      <c r="G369" s="201">
        <v>0</v>
      </c>
      <c r="H369" s="201">
        <v>0</v>
      </c>
      <c r="I369" s="201">
        <v>0</v>
      </c>
      <c r="J369" s="201">
        <v>0</v>
      </c>
      <c r="K369" s="201">
        <v>1</v>
      </c>
      <c r="L369" s="201">
        <v>0</v>
      </c>
      <c r="M369" s="201"/>
      <c r="N369" s="201">
        <v>0</v>
      </c>
      <c r="O369" s="201">
        <v>0</v>
      </c>
      <c r="P369" s="201">
        <v>0</v>
      </c>
      <c r="Q369" s="201">
        <v>0</v>
      </c>
      <c r="R369" s="201">
        <v>0</v>
      </c>
      <c r="S369" s="201">
        <v>0</v>
      </c>
      <c r="T369" s="201">
        <v>0</v>
      </c>
      <c r="U369" s="201">
        <v>0</v>
      </c>
      <c r="V369" s="201"/>
      <c r="W369" s="201"/>
      <c r="X369" s="201"/>
      <c r="Y369" s="845">
        <v>1</v>
      </c>
      <c r="Z369" s="139"/>
    </row>
    <row r="370" spans="1:26" hidden="1" x14ac:dyDescent="0.2">
      <c r="A370" s="243"/>
      <c r="B370" s="190"/>
      <c r="C370" s="191" t="s">
        <v>1586</v>
      </c>
      <c r="D370" s="192" t="s">
        <v>1072</v>
      </c>
      <c r="E370" s="201">
        <v>0</v>
      </c>
      <c r="F370" s="201">
        <v>0</v>
      </c>
      <c r="G370" s="201">
        <v>0</v>
      </c>
      <c r="H370" s="201">
        <v>1</v>
      </c>
      <c r="I370" s="201">
        <v>0</v>
      </c>
      <c r="J370" s="201">
        <v>0</v>
      </c>
      <c r="K370" s="201">
        <v>0</v>
      </c>
      <c r="L370" s="201">
        <v>0</v>
      </c>
      <c r="M370" s="201"/>
      <c r="N370" s="201">
        <v>0</v>
      </c>
      <c r="O370" s="201">
        <v>0</v>
      </c>
      <c r="P370" s="201">
        <v>0</v>
      </c>
      <c r="Q370" s="201">
        <v>0</v>
      </c>
      <c r="R370" s="201">
        <v>0</v>
      </c>
      <c r="S370" s="201">
        <v>0</v>
      </c>
      <c r="T370" s="201">
        <v>0</v>
      </c>
      <c r="U370" s="201">
        <v>0</v>
      </c>
      <c r="V370" s="201"/>
      <c r="W370" s="201"/>
      <c r="X370" s="201"/>
      <c r="Y370" s="845">
        <v>1</v>
      </c>
      <c r="Z370" s="139"/>
    </row>
    <row r="371" spans="1:26" hidden="1" x14ac:dyDescent="0.2">
      <c r="A371" s="246"/>
      <c r="B371" s="246"/>
      <c r="C371" s="222" t="s">
        <v>1587</v>
      </c>
      <c r="D371" s="223" t="s">
        <v>1073</v>
      </c>
      <c r="E371" s="201">
        <v>0</v>
      </c>
      <c r="F371" s="201">
        <v>0</v>
      </c>
      <c r="G371" s="201">
        <v>0</v>
      </c>
      <c r="H371" s="201">
        <v>1</v>
      </c>
      <c r="I371" s="201">
        <v>0</v>
      </c>
      <c r="J371" s="201">
        <v>0</v>
      </c>
      <c r="K371" s="201">
        <v>0</v>
      </c>
      <c r="L371" s="201">
        <v>0</v>
      </c>
      <c r="M371" s="201"/>
      <c r="N371" s="201">
        <v>0</v>
      </c>
      <c r="O371" s="201">
        <v>0</v>
      </c>
      <c r="P371" s="201">
        <v>0</v>
      </c>
      <c r="Q371" s="201">
        <v>0</v>
      </c>
      <c r="R371" s="201">
        <v>0</v>
      </c>
      <c r="S371" s="201">
        <v>0</v>
      </c>
      <c r="T371" s="201">
        <v>0</v>
      </c>
      <c r="U371" s="201">
        <v>0</v>
      </c>
      <c r="V371" s="201"/>
      <c r="W371" s="201"/>
      <c r="X371" s="201"/>
      <c r="Y371" s="845">
        <v>1</v>
      </c>
      <c r="Z371" s="139"/>
    </row>
    <row r="372" spans="1:26" hidden="1" x14ac:dyDescent="0.2">
      <c r="A372" s="198"/>
      <c r="B372" s="198"/>
      <c r="C372" s="214" t="s">
        <v>1248</v>
      </c>
      <c r="D372" s="215" t="s">
        <v>1249</v>
      </c>
      <c r="E372" s="193">
        <v>0</v>
      </c>
      <c r="F372" s="193">
        <v>0</v>
      </c>
      <c r="G372" s="193">
        <v>0</v>
      </c>
      <c r="H372" s="193">
        <v>0</v>
      </c>
      <c r="I372" s="193">
        <v>0</v>
      </c>
      <c r="J372" s="193">
        <v>0</v>
      </c>
      <c r="K372" s="193">
        <v>0</v>
      </c>
      <c r="L372" s="193">
        <v>0</v>
      </c>
      <c r="M372" s="193">
        <v>0</v>
      </c>
      <c r="N372" s="193">
        <v>1</v>
      </c>
      <c r="O372" s="193">
        <v>0</v>
      </c>
      <c r="P372" s="193">
        <v>0</v>
      </c>
      <c r="Q372" s="193">
        <v>0</v>
      </c>
      <c r="R372" s="193">
        <v>0</v>
      </c>
      <c r="S372" s="193">
        <v>0</v>
      </c>
      <c r="T372" s="193">
        <v>0</v>
      </c>
      <c r="U372" s="193">
        <v>0</v>
      </c>
      <c r="V372" s="193"/>
      <c r="W372" s="193"/>
      <c r="X372" s="193"/>
      <c r="Y372" s="843">
        <v>1</v>
      </c>
      <c r="Z372" s="139"/>
    </row>
    <row r="373" spans="1:26" hidden="1" x14ac:dyDescent="0.2">
      <c r="A373" s="190"/>
      <c r="B373" s="253"/>
      <c r="C373" s="230" t="s">
        <v>1252</v>
      </c>
      <c r="D373" s="231" t="s">
        <v>119</v>
      </c>
      <c r="E373" s="201">
        <v>0</v>
      </c>
      <c r="F373" s="201">
        <v>0</v>
      </c>
      <c r="G373" s="201">
        <v>0</v>
      </c>
      <c r="H373" s="201">
        <v>0</v>
      </c>
      <c r="I373" s="201">
        <v>0</v>
      </c>
      <c r="J373" s="201">
        <v>0</v>
      </c>
      <c r="K373" s="201">
        <v>0</v>
      </c>
      <c r="L373" s="201">
        <v>0</v>
      </c>
      <c r="M373" s="201">
        <v>0</v>
      </c>
      <c r="N373" s="201">
        <v>0</v>
      </c>
      <c r="O373" s="201">
        <v>0</v>
      </c>
      <c r="P373" s="201">
        <v>0</v>
      </c>
      <c r="Q373" s="201">
        <v>0</v>
      </c>
      <c r="R373" s="201">
        <v>0</v>
      </c>
      <c r="S373" s="201">
        <v>1</v>
      </c>
      <c r="T373" s="201">
        <v>0</v>
      </c>
      <c r="U373" s="201">
        <v>0</v>
      </c>
      <c r="V373" s="201"/>
      <c r="W373" s="201"/>
      <c r="X373" s="201"/>
      <c r="Y373" s="845">
        <v>1</v>
      </c>
      <c r="Z373" s="139"/>
    </row>
    <row r="374" spans="1:26" hidden="1" x14ac:dyDescent="0.2">
      <c r="A374" s="243"/>
      <c r="B374" s="243"/>
      <c r="C374" s="191" t="s">
        <v>1590</v>
      </c>
      <c r="D374" s="192" t="s">
        <v>1591</v>
      </c>
      <c r="E374" s="201">
        <v>0</v>
      </c>
      <c r="F374" s="201">
        <v>0</v>
      </c>
      <c r="G374" s="201">
        <v>0</v>
      </c>
      <c r="H374" s="201">
        <v>0</v>
      </c>
      <c r="I374" s="201">
        <v>0</v>
      </c>
      <c r="J374" s="201">
        <v>0</v>
      </c>
      <c r="K374" s="201">
        <v>0</v>
      </c>
      <c r="L374" s="201">
        <v>0</v>
      </c>
      <c r="M374" s="201"/>
      <c r="N374" s="201">
        <v>1</v>
      </c>
      <c r="O374" s="201">
        <v>0</v>
      </c>
      <c r="P374" s="201">
        <v>0</v>
      </c>
      <c r="Q374" s="201">
        <v>0</v>
      </c>
      <c r="R374" s="201">
        <v>0</v>
      </c>
      <c r="S374" s="201">
        <v>0</v>
      </c>
      <c r="T374" s="201">
        <v>0</v>
      </c>
      <c r="U374" s="201">
        <v>0</v>
      </c>
      <c r="V374" s="201"/>
      <c r="W374" s="201"/>
      <c r="X374" s="201"/>
      <c r="Y374" s="845">
        <v>1</v>
      </c>
      <c r="Z374" s="139"/>
    </row>
    <row r="375" spans="1:26" hidden="1" x14ac:dyDescent="0.2">
      <c r="A375" s="190"/>
      <c r="B375" s="246"/>
      <c r="C375" s="202" t="s">
        <v>1263</v>
      </c>
      <c r="D375" s="203" t="s">
        <v>1074</v>
      </c>
      <c r="E375" s="204">
        <v>1</v>
      </c>
      <c r="F375" s="204">
        <v>0</v>
      </c>
      <c r="G375" s="204">
        <v>0</v>
      </c>
      <c r="H375" s="204">
        <v>0</v>
      </c>
      <c r="I375" s="204">
        <v>0</v>
      </c>
      <c r="J375" s="204">
        <v>0</v>
      </c>
      <c r="K375" s="204">
        <v>0</v>
      </c>
      <c r="L375" s="204">
        <v>0</v>
      </c>
      <c r="M375" s="204">
        <v>0</v>
      </c>
      <c r="N375" s="204">
        <v>0</v>
      </c>
      <c r="O375" s="204">
        <v>0</v>
      </c>
      <c r="P375" s="204">
        <v>0</v>
      </c>
      <c r="Q375" s="204">
        <v>0</v>
      </c>
      <c r="R375" s="204">
        <v>0</v>
      </c>
      <c r="S375" s="204">
        <v>0</v>
      </c>
      <c r="T375" s="204">
        <v>0</v>
      </c>
      <c r="U375" s="204">
        <v>0</v>
      </c>
      <c r="V375" s="204"/>
      <c r="W375" s="204"/>
      <c r="X375" s="204"/>
      <c r="Y375" s="846">
        <v>1</v>
      </c>
      <c r="Z375" s="139"/>
    </row>
    <row r="376" spans="1:26" hidden="1" x14ac:dyDescent="0.2">
      <c r="A376" s="198"/>
      <c r="B376" s="198"/>
      <c r="C376" s="214" t="s">
        <v>1266</v>
      </c>
      <c r="D376" s="215" t="s">
        <v>1075</v>
      </c>
      <c r="E376" s="193">
        <v>1</v>
      </c>
      <c r="F376" s="193">
        <v>0</v>
      </c>
      <c r="G376" s="193">
        <v>0</v>
      </c>
      <c r="H376" s="193">
        <v>0</v>
      </c>
      <c r="I376" s="193">
        <v>0</v>
      </c>
      <c r="J376" s="193">
        <v>0</v>
      </c>
      <c r="K376" s="193">
        <v>0</v>
      </c>
      <c r="L376" s="193">
        <v>0</v>
      </c>
      <c r="M376" s="193">
        <v>0</v>
      </c>
      <c r="N376" s="193">
        <v>0</v>
      </c>
      <c r="O376" s="193">
        <v>0</v>
      </c>
      <c r="P376" s="193">
        <v>0</v>
      </c>
      <c r="Q376" s="193">
        <v>0</v>
      </c>
      <c r="R376" s="193">
        <v>0</v>
      </c>
      <c r="S376" s="193">
        <v>0</v>
      </c>
      <c r="T376" s="193">
        <v>0</v>
      </c>
      <c r="U376" s="193">
        <v>0</v>
      </c>
      <c r="V376" s="193"/>
      <c r="W376" s="193"/>
      <c r="X376" s="193"/>
      <c r="Y376" s="843">
        <v>1</v>
      </c>
      <c r="Z376" s="139"/>
    </row>
    <row r="377" spans="1:26" hidden="1" x14ac:dyDescent="0.2">
      <c r="A377" s="219" t="s">
        <v>2814</v>
      </c>
      <c r="B377" s="271"/>
      <c r="C377" s="272" t="s">
        <v>2233</v>
      </c>
      <c r="D377" s="273" t="s">
        <v>125</v>
      </c>
      <c r="E377" s="240">
        <v>0</v>
      </c>
      <c r="F377" s="240">
        <v>0</v>
      </c>
      <c r="G377" s="240">
        <v>0</v>
      </c>
      <c r="H377" s="240">
        <v>1</v>
      </c>
      <c r="I377" s="240">
        <v>0</v>
      </c>
      <c r="J377" s="240">
        <v>0</v>
      </c>
      <c r="K377" s="240">
        <v>0</v>
      </c>
      <c r="L377" s="240">
        <v>0</v>
      </c>
      <c r="M377" s="240">
        <v>0</v>
      </c>
      <c r="N377" s="240">
        <v>0</v>
      </c>
      <c r="O377" s="240">
        <v>0</v>
      </c>
      <c r="P377" s="240">
        <v>0</v>
      </c>
      <c r="Q377" s="240">
        <v>0</v>
      </c>
      <c r="R377" s="240">
        <v>0</v>
      </c>
      <c r="S377" s="240">
        <v>0</v>
      </c>
      <c r="T377" s="240">
        <v>0</v>
      </c>
      <c r="U377" s="240">
        <v>0</v>
      </c>
      <c r="V377" s="240">
        <v>0</v>
      </c>
      <c r="W377" s="240">
        <v>0</v>
      </c>
      <c r="X377" s="240"/>
      <c r="Y377" s="240">
        <v>1</v>
      </c>
      <c r="Z377" s="139"/>
    </row>
    <row r="378" spans="1:26" hidden="1" x14ac:dyDescent="0.2">
      <c r="A378" s="746" t="s">
        <v>2599</v>
      </c>
      <c r="B378" s="771"/>
      <c r="C378" s="774" t="s">
        <v>1309</v>
      </c>
      <c r="D378" s="775" t="s">
        <v>1310</v>
      </c>
      <c r="E378" s="744">
        <v>0</v>
      </c>
      <c r="F378" s="744">
        <v>0</v>
      </c>
      <c r="G378" s="744">
        <v>0</v>
      </c>
      <c r="H378" s="744">
        <v>0</v>
      </c>
      <c r="I378" s="744">
        <v>1</v>
      </c>
      <c r="J378" s="744">
        <v>0</v>
      </c>
      <c r="K378" s="744">
        <v>0</v>
      </c>
      <c r="L378" s="744">
        <v>0</v>
      </c>
      <c r="M378" s="744">
        <v>0</v>
      </c>
      <c r="N378" s="744">
        <v>0</v>
      </c>
      <c r="O378" s="744">
        <v>0</v>
      </c>
      <c r="P378" s="744">
        <v>0</v>
      </c>
      <c r="Q378" s="744">
        <v>0</v>
      </c>
      <c r="R378" s="744">
        <v>0</v>
      </c>
      <c r="S378" s="744">
        <v>0</v>
      </c>
      <c r="T378" s="744">
        <v>0</v>
      </c>
      <c r="U378" s="744">
        <v>0</v>
      </c>
      <c r="V378" s="744">
        <v>0</v>
      </c>
      <c r="W378" s="744">
        <v>0</v>
      </c>
      <c r="X378" s="744">
        <v>0</v>
      </c>
      <c r="Y378" s="849">
        <v>1</v>
      </c>
      <c r="Z378" s="139"/>
    </row>
    <row r="379" spans="1:26" hidden="1" x14ac:dyDescent="0.2">
      <c r="A379" s="255" t="s">
        <v>2594</v>
      </c>
      <c r="B379" s="275"/>
      <c r="C379" s="267" t="s">
        <v>1722</v>
      </c>
      <c r="D379" s="268" t="s">
        <v>1723</v>
      </c>
      <c r="E379" s="276"/>
      <c r="F379" s="276"/>
      <c r="G379" s="276"/>
      <c r="H379" s="276">
        <v>1</v>
      </c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56">
        <v>1</v>
      </c>
      <c r="Z379" s="139"/>
    </row>
    <row r="380" spans="1:26" hidden="1" x14ac:dyDescent="0.2">
      <c r="A380" s="243"/>
      <c r="B380" s="243"/>
      <c r="C380" s="205" t="s">
        <v>1724</v>
      </c>
      <c r="D380" s="206" t="s">
        <v>1725</v>
      </c>
      <c r="E380" s="201">
        <v>0</v>
      </c>
      <c r="F380" s="201">
        <v>0</v>
      </c>
      <c r="G380" s="201">
        <v>0</v>
      </c>
      <c r="H380" s="201">
        <v>0</v>
      </c>
      <c r="I380" s="201">
        <v>0</v>
      </c>
      <c r="J380" s="201">
        <v>0</v>
      </c>
      <c r="K380" s="201">
        <v>0</v>
      </c>
      <c r="L380" s="201">
        <v>0</v>
      </c>
      <c r="M380" s="201">
        <v>0</v>
      </c>
      <c r="N380" s="201">
        <v>0.99249812453113273</v>
      </c>
      <c r="O380" s="201">
        <v>0</v>
      </c>
      <c r="P380" s="201">
        <v>7.5018754688672175E-3</v>
      </c>
      <c r="Q380" s="201">
        <v>0</v>
      </c>
      <c r="R380" s="201">
        <v>0</v>
      </c>
      <c r="S380" s="201">
        <v>0</v>
      </c>
      <c r="T380" s="201">
        <v>0</v>
      </c>
      <c r="U380" s="201">
        <v>0</v>
      </c>
      <c r="V380" s="201">
        <v>0</v>
      </c>
      <c r="W380" s="201">
        <v>0</v>
      </c>
      <c r="X380" s="201"/>
      <c r="Y380" s="201">
        <v>1</v>
      </c>
      <c r="Z380" s="139"/>
    </row>
    <row r="381" spans="1:26" hidden="1" x14ac:dyDescent="0.2">
      <c r="A381" s="190"/>
      <c r="B381" s="246"/>
      <c r="C381" s="202" t="s">
        <v>1275</v>
      </c>
      <c r="D381" s="203" t="s">
        <v>1276</v>
      </c>
      <c r="E381" s="204">
        <v>0</v>
      </c>
      <c r="F381" s="204">
        <v>0</v>
      </c>
      <c r="G381" s="204">
        <v>0</v>
      </c>
      <c r="H381" s="204">
        <v>0</v>
      </c>
      <c r="I381" s="204">
        <v>0</v>
      </c>
      <c r="J381" s="204">
        <v>0</v>
      </c>
      <c r="K381" s="204">
        <v>0</v>
      </c>
      <c r="L381" s="204">
        <v>0</v>
      </c>
      <c r="M381" s="204">
        <v>0</v>
      </c>
      <c r="N381" s="204">
        <v>0.59118170190655106</v>
      </c>
      <c r="O381" s="204">
        <v>0</v>
      </c>
      <c r="P381" s="204">
        <v>2.538071065989848E-2</v>
      </c>
      <c r="Q381" s="204">
        <v>0</v>
      </c>
      <c r="R381" s="204">
        <v>0</v>
      </c>
      <c r="S381" s="204">
        <v>0.3834375874335505</v>
      </c>
      <c r="T381" s="204">
        <v>0</v>
      </c>
      <c r="U381" s="204">
        <v>0</v>
      </c>
      <c r="V381" s="204"/>
      <c r="W381" s="204"/>
      <c r="X381" s="204"/>
      <c r="Y381" s="846">
        <v>1</v>
      </c>
      <c r="Z381" s="139"/>
    </row>
    <row r="382" spans="1:26" hidden="1" x14ac:dyDescent="0.2">
      <c r="A382" s="198"/>
      <c r="B382" s="198"/>
      <c r="C382" s="214" t="s">
        <v>1277</v>
      </c>
      <c r="D382" s="215" t="s">
        <v>136</v>
      </c>
      <c r="E382" s="193">
        <v>0</v>
      </c>
      <c r="F382" s="193">
        <v>0</v>
      </c>
      <c r="G382" s="193">
        <v>4.1172164849715615E-2</v>
      </c>
      <c r="H382" s="193">
        <v>0</v>
      </c>
      <c r="I382" s="193">
        <v>0</v>
      </c>
      <c r="J382" s="193">
        <v>2.9609763655503319E-3</v>
      </c>
      <c r="K382" s="193">
        <v>0</v>
      </c>
      <c r="L382" s="193">
        <v>0</v>
      </c>
      <c r="M382" s="193">
        <v>0</v>
      </c>
      <c r="N382" s="193">
        <v>0.57416904544016645</v>
      </c>
      <c r="O382" s="193">
        <v>1.3551641566230765E-2</v>
      </c>
      <c r="P382" s="193">
        <v>6.2685080268676655E-2</v>
      </c>
      <c r="Q382" s="193">
        <v>1.8144437504855337E-3</v>
      </c>
      <c r="R382" s="193">
        <v>0</v>
      </c>
      <c r="S382" s="193">
        <v>0.2290627297392871</v>
      </c>
      <c r="T382" s="193">
        <v>7.2137405696851564E-2</v>
      </c>
      <c r="U382" s="193">
        <v>2.4465123230358859E-3</v>
      </c>
      <c r="V382" s="193"/>
      <c r="W382" s="193"/>
      <c r="X382" s="193"/>
      <c r="Y382" s="843">
        <v>0.99999999999999989</v>
      </c>
      <c r="Z382" s="139"/>
    </row>
    <row r="383" spans="1:26" hidden="1" x14ac:dyDescent="0.2">
      <c r="A383" s="277" t="s">
        <v>1101</v>
      </c>
      <c r="B383" s="278"/>
      <c r="C383" s="208" t="s">
        <v>1734</v>
      </c>
      <c r="D383" s="209" t="s">
        <v>1735</v>
      </c>
      <c r="E383" s="224">
        <v>0</v>
      </c>
      <c r="F383" s="224">
        <v>0</v>
      </c>
      <c r="G383" s="224">
        <v>0</v>
      </c>
      <c r="H383" s="224">
        <v>0</v>
      </c>
      <c r="I383" s="224">
        <v>0</v>
      </c>
      <c r="J383" s="224">
        <v>0</v>
      </c>
      <c r="K383" s="224">
        <v>0</v>
      </c>
      <c r="L383" s="224">
        <v>0</v>
      </c>
      <c r="M383" s="224">
        <v>0</v>
      </c>
      <c r="N383" s="224">
        <v>0.37277847689320553</v>
      </c>
      <c r="O383" s="224">
        <v>0</v>
      </c>
      <c r="P383" s="224">
        <v>7.7112472157981601E-2</v>
      </c>
      <c r="Q383" s="224">
        <v>2.5016687160223537E-3</v>
      </c>
      <c r="R383" s="224">
        <v>0</v>
      </c>
      <c r="S383" s="224">
        <v>9.3077291615405247E-2</v>
      </c>
      <c r="T383" s="224">
        <v>0.45453009061738525</v>
      </c>
      <c r="U383" s="224">
        <v>0</v>
      </c>
      <c r="V383" s="224">
        <v>0</v>
      </c>
      <c r="W383" s="224">
        <v>0</v>
      </c>
      <c r="X383" s="224"/>
      <c r="Y383" s="201">
        <v>1</v>
      </c>
      <c r="Z383" s="139"/>
    </row>
    <row r="384" spans="1:26" ht="22.5" hidden="1" x14ac:dyDescent="0.2">
      <c r="A384" s="277" t="s">
        <v>1101</v>
      </c>
      <c r="B384" s="279"/>
      <c r="C384" s="222" t="s">
        <v>1592</v>
      </c>
      <c r="D384" s="223" t="s">
        <v>1593</v>
      </c>
      <c r="E384" s="204">
        <v>0</v>
      </c>
      <c r="F384" s="204">
        <v>0</v>
      </c>
      <c r="G384" s="204">
        <v>3.4364261168384883E-2</v>
      </c>
      <c r="H384" s="204">
        <v>0</v>
      </c>
      <c r="I384" s="204">
        <v>0</v>
      </c>
      <c r="J384" s="204">
        <v>0</v>
      </c>
      <c r="K384" s="204">
        <v>0</v>
      </c>
      <c r="L384" s="204">
        <v>0</v>
      </c>
      <c r="M384" s="204"/>
      <c r="N384" s="204">
        <v>0.60824742268041243</v>
      </c>
      <c r="O384" s="204">
        <v>0</v>
      </c>
      <c r="P384" s="204">
        <v>0</v>
      </c>
      <c r="Q384" s="204">
        <v>0</v>
      </c>
      <c r="R384" s="204">
        <v>0</v>
      </c>
      <c r="S384" s="204">
        <v>0.10996563573883163</v>
      </c>
      <c r="T384" s="204">
        <v>0.24742268041237117</v>
      </c>
      <c r="U384" s="204">
        <v>0</v>
      </c>
      <c r="V384" s="204"/>
      <c r="W384" s="204"/>
      <c r="X384" s="204"/>
      <c r="Y384" s="846">
        <v>1.0000000000000002</v>
      </c>
      <c r="Z384" s="139"/>
    </row>
    <row r="385" spans="1:26" hidden="1" x14ac:dyDescent="0.2">
      <c r="A385" s="244" t="s">
        <v>1101</v>
      </c>
      <c r="B385" s="244"/>
      <c r="C385" s="191" t="s">
        <v>1594</v>
      </c>
      <c r="D385" s="192" t="s">
        <v>1595</v>
      </c>
      <c r="E385" s="193">
        <v>0</v>
      </c>
      <c r="F385" s="193">
        <v>0</v>
      </c>
      <c r="G385" s="193">
        <v>6.0353672520972894E-2</v>
      </c>
      <c r="H385" s="193">
        <v>0</v>
      </c>
      <c r="I385" s="193">
        <v>0</v>
      </c>
      <c r="J385" s="193">
        <v>0</v>
      </c>
      <c r="K385" s="193">
        <v>0</v>
      </c>
      <c r="L385" s="193">
        <v>0</v>
      </c>
      <c r="M385" s="193"/>
      <c r="N385" s="193">
        <v>0.55012372502866791</v>
      </c>
      <c r="O385" s="193">
        <v>2.0037419276963002E-2</v>
      </c>
      <c r="P385" s="193">
        <v>0.11998310097169411</v>
      </c>
      <c r="Q385" s="193">
        <v>3.6212203512583732E-3</v>
      </c>
      <c r="R385" s="193">
        <v>0</v>
      </c>
      <c r="S385" s="193">
        <v>0.24588086185044356</v>
      </c>
      <c r="T385" s="193">
        <v>0</v>
      </c>
      <c r="U385" s="193">
        <v>0</v>
      </c>
      <c r="V385" s="193"/>
      <c r="W385" s="193"/>
      <c r="X385" s="193"/>
      <c r="Y385" s="843">
        <v>0.99999999999999978</v>
      </c>
      <c r="Z385" s="139"/>
    </row>
    <row r="386" spans="1:26" hidden="1" x14ac:dyDescent="0.2">
      <c r="A386" s="278" t="s">
        <v>1101</v>
      </c>
      <c r="B386" s="278"/>
      <c r="C386" s="199" t="s">
        <v>1596</v>
      </c>
      <c r="D386" s="200" t="s">
        <v>1597</v>
      </c>
      <c r="E386" s="201">
        <v>0</v>
      </c>
      <c r="F386" s="201">
        <v>0</v>
      </c>
      <c r="G386" s="201">
        <v>3.4722222222222224E-2</v>
      </c>
      <c r="H386" s="201">
        <v>0</v>
      </c>
      <c r="I386" s="201">
        <v>0</v>
      </c>
      <c r="J386" s="201">
        <v>0</v>
      </c>
      <c r="K386" s="201">
        <v>0</v>
      </c>
      <c r="L386" s="201">
        <v>0</v>
      </c>
      <c r="M386" s="201"/>
      <c r="N386" s="201">
        <v>0.57065972222222228</v>
      </c>
      <c r="O386" s="201">
        <v>0</v>
      </c>
      <c r="P386" s="201">
        <v>0</v>
      </c>
      <c r="Q386" s="201">
        <v>5.7291666666666671E-3</v>
      </c>
      <c r="R386" s="201">
        <v>0</v>
      </c>
      <c r="S386" s="201">
        <v>0.21180555555555555</v>
      </c>
      <c r="T386" s="201">
        <v>0.17708333333333334</v>
      </c>
      <c r="U386" s="201">
        <v>0</v>
      </c>
      <c r="V386" s="201"/>
      <c r="W386" s="201"/>
      <c r="X386" s="201"/>
      <c r="Y386" s="845">
        <v>1</v>
      </c>
      <c r="Z386" s="139"/>
    </row>
    <row r="387" spans="1:26" hidden="1" x14ac:dyDescent="0.2">
      <c r="A387" s="279" t="s">
        <v>1101</v>
      </c>
      <c r="B387" s="279"/>
      <c r="C387" s="222" t="s">
        <v>1598</v>
      </c>
      <c r="D387" s="223" t="s">
        <v>1599</v>
      </c>
      <c r="E387" s="201">
        <v>0</v>
      </c>
      <c r="F387" s="201">
        <v>0</v>
      </c>
      <c r="G387" s="201">
        <v>1.8740629685157426E-2</v>
      </c>
      <c r="H387" s="201">
        <v>0</v>
      </c>
      <c r="I387" s="201">
        <v>0</v>
      </c>
      <c r="J387" s="201">
        <v>5.6221889055472268E-3</v>
      </c>
      <c r="K387" s="201">
        <v>0</v>
      </c>
      <c r="L387" s="201">
        <v>0</v>
      </c>
      <c r="M387" s="201"/>
      <c r="N387" s="201">
        <v>0.95389805097451286</v>
      </c>
      <c r="O387" s="201">
        <v>0</v>
      </c>
      <c r="P387" s="201">
        <v>0</v>
      </c>
      <c r="Q387" s="201">
        <v>0</v>
      </c>
      <c r="R387" s="201">
        <v>0</v>
      </c>
      <c r="S387" s="201">
        <v>2.1739130434782612E-2</v>
      </c>
      <c r="T387" s="201">
        <v>0</v>
      </c>
      <c r="U387" s="201">
        <v>0</v>
      </c>
      <c r="V387" s="201"/>
      <c r="W387" s="201"/>
      <c r="X387" s="201"/>
      <c r="Y387" s="845">
        <v>1.0000000000000002</v>
      </c>
      <c r="Z387" s="139"/>
    </row>
    <row r="388" spans="1:26" hidden="1" x14ac:dyDescent="0.2">
      <c r="A388" s="244" t="s">
        <v>1101</v>
      </c>
      <c r="B388" s="244"/>
      <c r="C388" s="205" t="s">
        <v>1736</v>
      </c>
      <c r="D388" s="206" t="s">
        <v>1737</v>
      </c>
      <c r="E388" s="207">
        <v>0</v>
      </c>
      <c r="F388" s="207">
        <v>0</v>
      </c>
      <c r="G388" s="207">
        <v>2.0726626362263254E-3</v>
      </c>
      <c r="H388" s="207">
        <v>0</v>
      </c>
      <c r="I388" s="207">
        <v>0</v>
      </c>
      <c r="J388" s="207">
        <v>0</v>
      </c>
      <c r="K388" s="207">
        <v>0</v>
      </c>
      <c r="L388" s="207">
        <v>0</v>
      </c>
      <c r="M388" s="207">
        <v>0</v>
      </c>
      <c r="N388" s="207">
        <v>4.833676102637751E-2</v>
      </c>
      <c r="O388" s="207">
        <v>0</v>
      </c>
      <c r="P388" s="207">
        <v>1.990825963053923E-2</v>
      </c>
      <c r="Q388" s="207">
        <v>2.680864760177779E-3</v>
      </c>
      <c r="R388" s="207">
        <v>0</v>
      </c>
      <c r="S388" s="207">
        <v>2.0285149635416156E-2</v>
      </c>
      <c r="T388" s="207">
        <v>0.90671630231126299</v>
      </c>
      <c r="U388" s="207">
        <v>0</v>
      </c>
      <c r="V388" s="207">
        <v>0</v>
      </c>
      <c r="W388" s="207">
        <v>0</v>
      </c>
      <c r="X388" s="207"/>
      <c r="Y388" s="193">
        <v>1</v>
      </c>
      <c r="Z388" s="139"/>
    </row>
    <row r="389" spans="1:26" hidden="1" x14ac:dyDescent="0.2">
      <c r="A389" s="278" t="s">
        <v>1101</v>
      </c>
      <c r="B389" s="278"/>
      <c r="C389" s="199" t="s">
        <v>1600</v>
      </c>
      <c r="D389" s="200" t="s">
        <v>1601</v>
      </c>
      <c r="E389" s="201">
        <v>0</v>
      </c>
      <c r="F389" s="201">
        <v>0</v>
      </c>
      <c r="G389" s="201">
        <v>0</v>
      </c>
      <c r="H389" s="201">
        <v>0</v>
      </c>
      <c r="I389" s="201">
        <v>0</v>
      </c>
      <c r="J389" s="201">
        <v>0</v>
      </c>
      <c r="K389" s="201">
        <v>0</v>
      </c>
      <c r="L389" s="201">
        <v>0</v>
      </c>
      <c r="M389" s="201"/>
      <c r="N389" s="201">
        <v>0.81</v>
      </c>
      <c r="O389" s="201">
        <v>0</v>
      </c>
      <c r="P389" s="201">
        <v>5.6666666666666664E-2</v>
      </c>
      <c r="Q389" s="201">
        <v>0</v>
      </c>
      <c r="R389" s="201">
        <v>0</v>
      </c>
      <c r="S389" s="201">
        <v>0.13333333333333333</v>
      </c>
      <c r="T389" s="201">
        <v>0</v>
      </c>
      <c r="U389" s="201">
        <v>0</v>
      </c>
      <c r="V389" s="201"/>
      <c r="W389" s="201"/>
      <c r="X389" s="201"/>
      <c r="Y389" s="845">
        <v>1</v>
      </c>
      <c r="Z389" s="139"/>
    </row>
    <row r="390" spans="1:26" hidden="1" x14ac:dyDescent="0.2">
      <c r="A390" s="277" t="s">
        <v>1101</v>
      </c>
      <c r="B390" s="252"/>
      <c r="C390" s="239" t="s">
        <v>1608</v>
      </c>
      <c r="D390" s="228" t="s">
        <v>1609</v>
      </c>
      <c r="E390" s="229">
        <v>0</v>
      </c>
      <c r="F390" s="229">
        <v>0</v>
      </c>
      <c r="G390" s="229">
        <v>0</v>
      </c>
      <c r="H390" s="229">
        <v>0</v>
      </c>
      <c r="I390" s="229">
        <v>0</v>
      </c>
      <c r="J390" s="229">
        <v>0</v>
      </c>
      <c r="K390" s="229">
        <v>0</v>
      </c>
      <c r="L390" s="229">
        <v>0</v>
      </c>
      <c r="M390" s="229">
        <v>0</v>
      </c>
      <c r="N390" s="229">
        <v>1</v>
      </c>
      <c r="O390" s="229">
        <v>0</v>
      </c>
      <c r="P390" s="229">
        <v>0</v>
      </c>
      <c r="Q390" s="229">
        <v>0</v>
      </c>
      <c r="R390" s="229">
        <v>0</v>
      </c>
      <c r="S390" s="229">
        <v>0</v>
      </c>
      <c r="T390" s="229">
        <v>0</v>
      </c>
      <c r="U390" s="229">
        <v>0</v>
      </c>
      <c r="V390" s="229"/>
      <c r="W390" s="229"/>
      <c r="X390" s="229"/>
      <c r="Y390" s="843">
        <v>1</v>
      </c>
      <c r="Z390" s="139"/>
    </row>
    <row r="391" spans="1:26" hidden="1" x14ac:dyDescent="0.2">
      <c r="A391" s="277" t="s">
        <v>1101</v>
      </c>
      <c r="B391" s="252"/>
      <c r="C391" s="205" t="s">
        <v>1740</v>
      </c>
      <c r="D391" s="206" t="s">
        <v>1741</v>
      </c>
      <c r="E391" s="207">
        <v>0</v>
      </c>
      <c r="F391" s="207">
        <v>0</v>
      </c>
      <c r="G391" s="207">
        <v>0</v>
      </c>
      <c r="H391" s="207">
        <v>0</v>
      </c>
      <c r="I391" s="207">
        <v>0</v>
      </c>
      <c r="J391" s="207">
        <v>9.0436515560493744E-2</v>
      </c>
      <c r="K391" s="207">
        <v>0</v>
      </c>
      <c r="L391" s="207">
        <v>0</v>
      </c>
      <c r="M391" s="207">
        <v>0</v>
      </c>
      <c r="N391" s="207">
        <v>0</v>
      </c>
      <c r="O391" s="207">
        <v>0</v>
      </c>
      <c r="P391" s="207">
        <v>0</v>
      </c>
      <c r="Q391" s="207">
        <v>0</v>
      </c>
      <c r="R391" s="207">
        <v>0</v>
      </c>
      <c r="S391" s="207">
        <v>0</v>
      </c>
      <c r="T391" s="207">
        <v>0.9095634844395063</v>
      </c>
      <c r="U391" s="207">
        <v>0</v>
      </c>
      <c r="V391" s="207">
        <v>0</v>
      </c>
      <c r="W391" s="207">
        <v>0</v>
      </c>
      <c r="X391" s="207"/>
      <c r="Y391" s="193">
        <v>1</v>
      </c>
      <c r="Z391" s="139"/>
    </row>
    <row r="392" spans="1:26" hidden="1" x14ac:dyDescent="0.2">
      <c r="A392" s="277" t="s">
        <v>1101</v>
      </c>
      <c r="B392" s="252"/>
      <c r="C392" s="205" t="s">
        <v>1742</v>
      </c>
      <c r="D392" s="206" t="s">
        <v>1743</v>
      </c>
      <c r="E392" s="207">
        <v>0</v>
      </c>
      <c r="F392" s="207">
        <v>0</v>
      </c>
      <c r="G392" s="207">
        <v>0</v>
      </c>
      <c r="H392" s="207">
        <v>0</v>
      </c>
      <c r="I392" s="207">
        <v>0</v>
      </c>
      <c r="J392" s="207">
        <v>0</v>
      </c>
      <c r="K392" s="207">
        <v>0</v>
      </c>
      <c r="L392" s="207">
        <v>0</v>
      </c>
      <c r="M392" s="207">
        <v>0</v>
      </c>
      <c r="N392" s="207">
        <v>0.68764830481306605</v>
      </c>
      <c r="O392" s="207">
        <v>0</v>
      </c>
      <c r="P392" s="207">
        <v>0.17207414126131085</v>
      </c>
      <c r="Q392" s="207">
        <v>1.0762718804151597E-2</v>
      </c>
      <c r="R392" s="207">
        <v>0</v>
      </c>
      <c r="S392" s="207">
        <v>0.12951483512147152</v>
      </c>
      <c r="T392" s="207">
        <v>0</v>
      </c>
      <c r="U392" s="207">
        <v>0</v>
      </c>
      <c r="V392" s="207">
        <v>0</v>
      </c>
      <c r="W392" s="207">
        <v>0</v>
      </c>
      <c r="X392" s="207"/>
      <c r="Y392" s="193">
        <v>1</v>
      </c>
      <c r="Z392" s="139"/>
    </row>
    <row r="393" spans="1:26" hidden="1" x14ac:dyDescent="0.2">
      <c r="A393" s="221" t="s">
        <v>2814</v>
      </c>
      <c r="B393" s="221"/>
      <c r="C393" s="280" t="s">
        <v>2356</v>
      </c>
      <c r="D393" s="281" t="s">
        <v>144</v>
      </c>
      <c r="E393" s="240">
        <v>0</v>
      </c>
      <c r="F393" s="240">
        <v>0</v>
      </c>
      <c r="G393" s="240">
        <v>0</v>
      </c>
      <c r="H393" s="240">
        <v>0</v>
      </c>
      <c r="I393" s="240">
        <v>0</v>
      </c>
      <c r="J393" s="240">
        <v>0</v>
      </c>
      <c r="K393" s="240">
        <v>0</v>
      </c>
      <c r="L393" s="240">
        <v>0</v>
      </c>
      <c r="M393" s="240">
        <v>0</v>
      </c>
      <c r="N393" s="240">
        <v>5.3549782308786563E-2</v>
      </c>
      <c r="O393" s="240">
        <v>0</v>
      </c>
      <c r="P393" s="240">
        <v>0</v>
      </c>
      <c r="Q393" s="240">
        <v>0</v>
      </c>
      <c r="R393" s="240">
        <v>0</v>
      </c>
      <c r="S393" s="240">
        <v>3.2592685519650985E-2</v>
      </c>
      <c r="T393" s="240">
        <v>0.73088869790500288</v>
      </c>
      <c r="U393" s="240">
        <v>0</v>
      </c>
      <c r="V393" s="240">
        <v>0</v>
      </c>
      <c r="W393" s="240">
        <v>0.18296883426655944</v>
      </c>
      <c r="X393" s="240"/>
      <c r="Y393" s="240">
        <v>0.99999999999999978</v>
      </c>
      <c r="Z393" s="139"/>
    </row>
    <row r="394" spans="1:26" hidden="1" x14ac:dyDescent="0.2">
      <c r="A394" s="428" t="s">
        <v>2594</v>
      </c>
      <c r="B394" s="427"/>
      <c r="C394" s="267" t="s">
        <v>1746</v>
      </c>
      <c r="D394" s="268" t="s">
        <v>1747</v>
      </c>
      <c r="E394" s="276">
        <v>0</v>
      </c>
      <c r="F394" s="276">
        <v>0</v>
      </c>
      <c r="G394" s="276">
        <v>0</v>
      </c>
      <c r="H394" s="276">
        <v>1</v>
      </c>
      <c r="I394" s="276">
        <v>0</v>
      </c>
      <c r="J394" s="276">
        <v>0</v>
      </c>
      <c r="K394" s="276">
        <v>0</v>
      </c>
      <c r="L394" s="276">
        <v>0</v>
      </c>
      <c r="M394" s="276">
        <v>0</v>
      </c>
      <c r="N394" s="276">
        <v>0</v>
      </c>
      <c r="O394" s="276">
        <v>0</v>
      </c>
      <c r="P394" s="276">
        <v>0</v>
      </c>
      <c r="Q394" s="276">
        <v>0</v>
      </c>
      <c r="R394" s="276">
        <v>0</v>
      </c>
      <c r="S394" s="276">
        <v>0</v>
      </c>
      <c r="T394" s="276">
        <v>0</v>
      </c>
      <c r="U394" s="276">
        <v>0</v>
      </c>
      <c r="V394" s="276">
        <v>0</v>
      </c>
      <c r="W394" s="276">
        <v>0</v>
      </c>
      <c r="X394" s="276"/>
      <c r="Y394" s="256">
        <v>1</v>
      </c>
      <c r="Z394" s="139"/>
    </row>
    <row r="395" spans="1:26" hidden="1" x14ac:dyDescent="0.2">
      <c r="A395" s="428" t="s">
        <v>2594</v>
      </c>
      <c r="B395" s="427"/>
      <c r="C395" s="258" t="s">
        <v>1281</v>
      </c>
      <c r="D395" s="259" t="s">
        <v>148</v>
      </c>
      <c r="E395" s="256">
        <v>0</v>
      </c>
      <c r="F395" s="256">
        <v>0</v>
      </c>
      <c r="G395" s="256">
        <v>0</v>
      </c>
      <c r="H395" s="256">
        <v>1</v>
      </c>
      <c r="I395" s="256">
        <v>0</v>
      </c>
      <c r="J395" s="256">
        <v>0</v>
      </c>
      <c r="K395" s="256">
        <v>0</v>
      </c>
      <c r="L395" s="256">
        <v>0</v>
      </c>
      <c r="M395" s="256">
        <v>0</v>
      </c>
      <c r="N395" s="256">
        <v>0</v>
      </c>
      <c r="O395" s="256">
        <v>0</v>
      </c>
      <c r="P395" s="256">
        <v>0</v>
      </c>
      <c r="Q395" s="256">
        <v>0</v>
      </c>
      <c r="R395" s="256">
        <v>0</v>
      </c>
      <c r="S395" s="256">
        <v>0</v>
      </c>
      <c r="T395" s="256">
        <v>0</v>
      </c>
      <c r="U395" s="256">
        <v>0</v>
      </c>
      <c r="V395" s="256"/>
      <c r="W395" s="256"/>
      <c r="X395" s="256"/>
      <c r="Y395" s="849">
        <v>1</v>
      </c>
      <c r="Z395" s="139"/>
    </row>
    <row r="396" spans="1:26" hidden="1" x14ac:dyDescent="0.2">
      <c r="A396" s="746" t="s">
        <v>2599</v>
      </c>
      <c r="B396" s="776"/>
      <c r="C396" s="765" t="s">
        <v>1756</v>
      </c>
      <c r="D396" s="766" t="s">
        <v>1757</v>
      </c>
      <c r="E396" s="744">
        <v>0</v>
      </c>
      <c r="F396" s="744">
        <v>0</v>
      </c>
      <c r="G396" s="744">
        <v>0</v>
      </c>
      <c r="H396" s="744">
        <v>0</v>
      </c>
      <c r="I396" s="744">
        <v>0</v>
      </c>
      <c r="J396" s="744">
        <v>0</v>
      </c>
      <c r="K396" s="744">
        <v>0</v>
      </c>
      <c r="L396" s="744">
        <v>0</v>
      </c>
      <c r="M396" s="744">
        <v>0</v>
      </c>
      <c r="N396" s="744">
        <v>0</v>
      </c>
      <c r="O396" s="744">
        <v>0</v>
      </c>
      <c r="P396" s="744">
        <v>0</v>
      </c>
      <c r="Q396" s="744">
        <v>0</v>
      </c>
      <c r="R396" s="744">
        <v>0</v>
      </c>
      <c r="S396" s="744">
        <v>0</v>
      </c>
      <c r="T396" s="744">
        <v>0</v>
      </c>
      <c r="U396" s="744">
        <v>0</v>
      </c>
      <c r="V396" s="744">
        <v>0</v>
      </c>
      <c r="W396" s="744">
        <v>1</v>
      </c>
      <c r="X396" s="744">
        <v>0</v>
      </c>
      <c r="Y396" s="240">
        <v>1</v>
      </c>
      <c r="Z396" s="139"/>
    </row>
    <row r="397" spans="1:26" hidden="1" x14ac:dyDescent="0.2">
      <c r="A397" s="746" t="s">
        <v>2599</v>
      </c>
      <c r="B397" s="777"/>
      <c r="C397" s="765" t="s">
        <v>1758</v>
      </c>
      <c r="D397" s="766" t="s">
        <v>1759</v>
      </c>
      <c r="E397" s="744">
        <v>0</v>
      </c>
      <c r="F397" s="744">
        <v>0</v>
      </c>
      <c r="G397" s="744">
        <v>0</v>
      </c>
      <c r="H397" s="744">
        <v>0</v>
      </c>
      <c r="I397" s="744">
        <v>0</v>
      </c>
      <c r="J397" s="744">
        <v>0</v>
      </c>
      <c r="K397" s="744">
        <v>0</v>
      </c>
      <c r="L397" s="744">
        <v>0</v>
      </c>
      <c r="M397" s="744">
        <v>0</v>
      </c>
      <c r="N397" s="744">
        <v>0</v>
      </c>
      <c r="O397" s="744">
        <v>0</v>
      </c>
      <c r="P397" s="744">
        <v>0</v>
      </c>
      <c r="Q397" s="744">
        <v>0</v>
      </c>
      <c r="R397" s="744">
        <v>0</v>
      </c>
      <c r="S397" s="744">
        <v>0</v>
      </c>
      <c r="T397" s="744">
        <v>0</v>
      </c>
      <c r="U397" s="744">
        <v>0</v>
      </c>
      <c r="V397" s="744">
        <v>0</v>
      </c>
      <c r="W397" s="744">
        <v>1</v>
      </c>
      <c r="X397" s="744">
        <v>0</v>
      </c>
      <c r="Y397" s="236">
        <v>1</v>
      </c>
      <c r="Z397" s="139"/>
    </row>
    <row r="398" spans="1:26" hidden="1" x14ac:dyDescent="0.2">
      <c r="A398" s="221" t="s">
        <v>2814</v>
      </c>
      <c r="B398" s="221"/>
      <c r="C398" s="234" t="s">
        <v>1760</v>
      </c>
      <c r="D398" s="235" t="s">
        <v>1761</v>
      </c>
      <c r="E398" s="240">
        <v>0</v>
      </c>
      <c r="F398" s="240">
        <v>0</v>
      </c>
      <c r="G398" s="240">
        <v>0</v>
      </c>
      <c r="H398" s="240">
        <v>0</v>
      </c>
      <c r="I398" s="240">
        <v>0</v>
      </c>
      <c r="J398" s="240">
        <v>0</v>
      </c>
      <c r="K398" s="240">
        <v>0</v>
      </c>
      <c r="L398" s="240">
        <v>0</v>
      </c>
      <c r="M398" s="240">
        <v>0</v>
      </c>
      <c r="N398" s="240">
        <v>0</v>
      </c>
      <c r="O398" s="240">
        <v>0</v>
      </c>
      <c r="P398" s="240">
        <v>0</v>
      </c>
      <c r="Q398" s="240">
        <v>0</v>
      </c>
      <c r="R398" s="240">
        <v>0</v>
      </c>
      <c r="S398" s="240">
        <v>0</v>
      </c>
      <c r="T398" s="240">
        <v>0.57041210637773965</v>
      </c>
      <c r="U398" s="240">
        <v>0</v>
      </c>
      <c r="V398" s="240">
        <v>0</v>
      </c>
      <c r="W398" s="240">
        <v>0.42958789362226041</v>
      </c>
      <c r="X398" s="240"/>
      <c r="Y398" s="240">
        <v>1</v>
      </c>
      <c r="Z398" s="139"/>
    </row>
    <row r="399" spans="1:26" hidden="1" x14ac:dyDescent="0.2">
      <c r="A399" s="219" t="s">
        <v>2814</v>
      </c>
      <c r="B399" s="270"/>
      <c r="C399" s="282" t="s">
        <v>1764</v>
      </c>
      <c r="D399" s="283" t="s">
        <v>1765</v>
      </c>
      <c r="E399" s="284">
        <v>0</v>
      </c>
      <c r="F399" s="284">
        <v>0</v>
      </c>
      <c r="G399" s="284">
        <v>0</v>
      </c>
      <c r="H399" s="284">
        <v>0</v>
      </c>
      <c r="I399" s="284">
        <v>0</v>
      </c>
      <c r="J399" s="284">
        <v>0</v>
      </c>
      <c r="K399" s="284">
        <v>0</v>
      </c>
      <c r="L399" s="284">
        <v>0</v>
      </c>
      <c r="M399" s="284">
        <v>0</v>
      </c>
      <c r="N399" s="284">
        <v>0</v>
      </c>
      <c r="O399" s="284">
        <v>0</v>
      </c>
      <c r="P399" s="284">
        <v>0</v>
      </c>
      <c r="Q399" s="284">
        <v>0</v>
      </c>
      <c r="R399" s="284">
        <v>0</v>
      </c>
      <c r="S399" s="284">
        <v>0</v>
      </c>
      <c r="T399" s="284">
        <v>0</v>
      </c>
      <c r="U399" s="284">
        <v>0</v>
      </c>
      <c r="V399" s="284">
        <v>0</v>
      </c>
      <c r="W399" s="284">
        <v>1</v>
      </c>
      <c r="X399" s="284"/>
      <c r="Y399" s="284">
        <v>1</v>
      </c>
      <c r="Z399" s="139"/>
    </row>
    <row r="400" spans="1:26" x14ac:dyDescent="0.2">
      <c r="A400" s="232" t="s">
        <v>2814</v>
      </c>
      <c r="B400" s="285"/>
      <c r="C400" s="286" t="s">
        <v>1626</v>
      </c>
      <c r="D400" s="287" t="s">
        <v>1627</v>
      </c>
      <c r="E400" s="770">
        <v>0</v>
      </c>
      <c r="F400" s="770">
        <v>0</v>
      </c>
      <c r="G400" s="770">
        <v>0</v>
      </c>
      <c r="H400" s="778">
        <v>0</v>
      </c>
      <c r="I400" s="770">
        <v>0</v>
      </c>
      <c r="J400" s="770">
        <v>0</v>
      </c>
      <c r="K400" s="770">
        <v>0</v>
      </c>
      <c r="L400" s="778">
        <v>1</v>
      </c>
      <c r="M400" s="770">
        <v>0</v>
      </c>
      <c r="N400" s="770">
        <v>0</v>
      </c>
      <c r="O400" s="770">
        <v>0</v>
      </c>
      <c r="P400" s="770">
        <v>0</v>
      </c>
      <c r="Q400" s="770">
        <v>0</v>
      </c>
      <c r="R400" s="770">
        <v>0</v>
      </c>
      <c r="S400" s="770">
        <v>0</v>
      </c>
      <c r="T400" s="770">
        <v>0</v>
      </c>
      <c r="U400" s="770">
        <v>0</v>
      </c>
      <c r="V400" s="770">
        <v>0</v>
      </c>
      <c r="W400" s="770">
        <v>0</v>
      </c>
      <c r="X400" s="236"/>
      <c r="Y400" s="236">
        <v>1</v>
      </c>
      <c r="Z400" s="139"/>
    </row>
    <row r="401" spans="1:26" hidden="1" x14ac:dyDescent="0.2">
      <c r="A401" s="428" t="s">
        <v>2594</v>
      </c>
      <c r="B401" s="317"/>
      <c r="C401" s="429" t="s">
        <v>1645</v>
      </c>
      <c r="D401" s="430" t="s">
        <v>172</v>
      </c>
      <c r="E401" s="431">
        <v>0</v>
      </c>
      <c r="F401" s="431">
        <v>0</v>
      </c>
      <c r="G401" s="431">
        <v>0</v>
      </c>
      <c r="H401" s="431">
        <v>0</v>
      </c>
      <c r="I401" s="431">
        <v>0</v>
      </c>
      <c r="J401" s="431">
        <v>0</v>
      </c>
      <c r="K401" s="431">
        <v>0</v>
      </c>
      <c r="L401" s="431">
        <v>1</v>
      </c>
      <c r="M401" s="431">
        <v>0</v>
      </c>
      <c r="N401" s="431">
        <v>0</v>
      </c>
      <c r="O401" s="431">
        <v>0</v>
      </c>
      <c r="P401" s="431">
        <v>0</v>
      </c>
      <c r="Q401" s="431">
        <v>0</v>
      </c>
      <c r="R401" s="431">
        <v>0</v>
      </c>
      <c r="S401" s="431">
        <v>0</v>
      </c>
      <c r="T401" s="431">
        <v>0</v>
      </c>
      <c r="U401" s="431">
        <v>0</v>
      </c>
      <c r="V401" s="431"/>
      <c r="W401" s="431">
        <v>0</v>
      </c>
      <c r="X401" s="431"/>
      <c r="Y401" s="849">
        <v>1</v>
      </c>
      <c r="Z401" s="139"/>
    </row>
    <row r="402" spans="1:26" hidden="1" x14ac:dyDescent="0.2">
      <c r="A402" s="746" t="s">
        <v>2599</v>
      </c>
      <c r="B402" s="777"/>
      <c r="C402" s="774" t="s">
        <v>1316</v>
      </c>
      <c r="D402" s="775" t="s">
        <v>1317</v>
      </c>
      <c r="E402" s="744">
        <v>0</v>
      </c>
      <c r="F402" s="744">
        <v>0</v>
      </c>
      <c r="G402" s="744">
        <v>0</v>
      </c>
      <c r="H402" s="744">
        <v>0</v>
      </c>
      <c r="I402" s="744">
        <v>0</v>
      </c>
      <c r="J402" s="744">
        <v>1</v>
      </c>
      <c r="K402" s="744">
        <v>0</v>
      </c>
      <c r="L402" s="744">
        <v>0</v>
      </c>
      <c r="M402" s="744">
        <v>0</v>
      </c>
      <c r="N402" s="744">
        <v>0</v>
      </c>
      <c r="O402" s="744">
        <v>0</v>
      </c>
      <c r="P402" s="744">
        <v>0</v>
      </c>
      <c r="Q402" s="744">
        <v>0</v>
      </c>
      <c r="R402" s="744">
        <v>0</v>
      </c>
      <c r="S402" s="744">
        <v>0</v>
      </c>
      <c r="T402" s="744">
        <v>0</v>
      </c>
      <c r="U402" s="744">
        <v>0</v>
      </c>
      <c r="V402" s="744">
        <v>0</v>
      </c>
      <c r="W402" s="744">
        <v>0</v>
      </c>
      <c r="X402" s="744">
        <v>0</v>
      </c>
      <c r="Y402" s="850">
        <v>1</v>
      </c>
      <c r="Z402" s="139"/>
    </row>
    <row r="403" spans="1:26" hidden="1" x14ac:dyDescent="0.2">
      <c r="A403" s="277" t="s">
        <v>1101</v>
      </c>
      <c r="B403" s="288">
        <v>42247</v>
      </c>
      <c r="C403" s="195" t="s">
        <v>1784</v>
      </c>
      <c r="D403" s="196" t="s">
        <v>1785</v>
      </c>
      <c r="E403" s="212">
        <v>0</v>
      </c>
      <c r="F403" s="212">
        <v>1.3133304054576573E-2</v>
      </c>
      <c r="G403" s="212">
        <v>4.0341553145287201E-2</v>
      </c>
      <c r="H403" s="212">
        <v>0</v>
      </c>
      <c r="I403" s="212">
        <v>0</v>
      </c>
      <c r="J403" s="212">
        <v>2.8868237054057489E-2</v>
      </c>
      <c r="K403" s="212">
        <v>0</v>
      </c>
      <c r="L403" s="212">
        <v>0</v>
      </c>
      <c r="M403" s="212">
        <v>0</v>
      </c>
      <c r="N403" s="212">
        <v>0.44137858808860103</v>
      </c>
      <c r="O403" s="212">
        <v>2.6405857614723152E-2</v>
      </c>
      <c r="P403" s="212">
        <v>0.2291121671044728</v>
      </c>
      <c r="Q403" s="212">
        <v>2.4923762894767647E-2</v>
      </c>
      <c r="R403" s="212">
        <v>0</v>
      </c>
      <c r="S403" s="212">
        <v>0.10230085934009804</v>
      </c>
      <c r="T403" s="212">
        <v>7.3608923002385362E-2</v>
      </c>
      <c r="U403" s="212">
        <v>1.9926747701030832E-2</v>
      </c>
      <c r="V403" s="212">
        <v>0</v>
      </c>
      <c r="W403" s="212">
        <v>0</v>
      </c>
      <c r="X403" s="212"/>
      <c r="Y403" s="204">
        <v>1</v>
      </c>
      <c r="Z403" s="139"/>
    </row>
    <row r="404" spans="1:26" hidden="1" x14ac:dyDescent="0.2">
      <c r="A404" s="244" t="s">
        <v>1101</v>
      </c>
      <c r="B404" s="244"/>
      <c r="C404" s="205" t="s">
        <v>1786</v>
      </c>
      <c r="D404" s="206" t="s">
        <v>1787</v>
      </c>
      <c r="E404" s="207">
        <v>0</v>
      </c>
      <c r="F404" s="207">
        <v>0</v>
      </c>
      <c r="G404" s="207">
        <v>0</v>
      </c>
      <c r="H404" s="207">
        <v>0</v>
      </c>
      <c r="I404" s="207">
        <v>0</v>
      </c>
      <c r="J404" s="207">
        <v>0</v>
      </c>
      <c r="K404" s="207">
        <v>0</v>
      </c>
      <c r="L404" s="207">
        <v>0</v>
      </c>
      <c r="M404" s="207">
        <v>0</v>
      </c>
      <c r="N404" s="207">
        <v>0.81187441134059291</v>
      </c>
      <c r="O404" s="207">
        <v>0</v>
      </c>
      <c r="P404" s="207">
        <v>7.8209767094487168E-2</v>
      </c>
      <c r="Q404" s="207">
        <v>0</v>
      </c>
      <c r="R404" s="207">
        <v>0</v>
      </c>
      <c r="S404" s="207">
        <v>0.10545422800705585</v>
      </c>
      <c r="T404" s="207">
        <v>4.4615935578642381E-3</v>
      </c>
      <c r="U404" s="207">
        <v>0</v>
      </c>
      <c r="V404" s="207">
        <v>0</v>
      </c>
      <c r="W404" s="207">
        <v>0</v>
      </c>
      <c r="X404" s="207"/>
      <c r="Y404" s="193">
        <v>1</v>
      </c>
      <c r="Z404" s="139"/>
    </row>
    <row r="405" spans="1:26" hidden="1" x14ac:dyDescent="0.2">
      <c r="A405" s="289" t="s">
        <v>1101</v>
      </c>
      <c r="B405" s="290">
        <v>42247</v>
      </c>
      <c r="C405" s="291" t="s">
        <v>1284</v>
      </c>
      <c r="D405" s="292" t="s">
        <v>1076</v>
      </c>
      <c r="E405" s="201">
        <v>0</v>
      </c>
      <c r="F405" s="201">
        <v>0</v>
      </c>
      <c r="G405" s="201">
        <v>0</v>
      </c>
      <c r="H405" s="201">
        <v>1</v>
      </c>
      <c r="I405" s="201">
        <v>0</v>
      </c>
      <c r="J405" s="201">
        <v>0</v>
      </c>
      <c r="K405" s="201">
        <v>0</v>
      </c>
      <c r="L405" s="201">
        <v>0</v>
      </c>
      <c r="M405" s="201">
        <v>0</v>
      </c>
      <c r="N405" s="201">
        <v>0</v>
      </c>
      <c r="O405" s="201">
        <v>0</v>
      </c>
      <c r="P405" s="201">
        <v>0</v>
      </c>
      <c r="Q405" s="201">
        <v>0</v>
      </c>
      <c r="R405" s="201">
        <v>0</v>
      </c>
      <c r="S405" s="201">
        <v>0</v>
      </c>
      <c r="T405" s="201">
        <v>0</v>
      </c>
      <c r="U405" s="201">
        <v>0</v>
      </c>
      <c r="V405" s="201"/>
      <c r="W405" s="201"/>
      <c r="X405" s="201"/>
      <c r="Y405" s="845">
        <v>1</v>
      </c>
      <c r="Z405" s="139"/>
    </row>
    <row r="406" spans="1:26" hidden="1" x14ac:dyDescent="0.2">
      <c r="A406" s="232" t="s">
        <v>2814</v>
      </c>
      <c r="B406" s="285"/>
      <c r="C406" s="234" t="s">
        <v>1790</v>
      </c>
      <c r="D406" s="235" t="s">
        <v>942</v>
      </c>
      <c r="E406" s="236">
        <v>0</v>
      </c>
      <c r="F406" s="236">
        <v>0</v>
      </c>
      <c r="G406" s="236">
        <v>0</v>
      </c>
      <c r="H406" s="236">
        <v>1</v>
      </c>
      <c r="I406" s="236">
        <v>0</v>
      </c>
      <c r="J406" s="236">
        <v>0</v>
      </c>
      <c r="K406" s="236">
        <v>0</v>
      </c>
      <c r="L406" s="236">
        <v>0</v>
      </c>
      <c r="M406" s="236">
        <v>0</v>
      </c>
      <c r="N406" s="236">
        <v>0</v>
      </c>
      <c r="O406" s="236">
        <v>0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36">
        <v>0</v>
      </c>
      <c r="W406" s="236">
        <v>0</v>
      </c>
      <c r="X406" s="236"/>
      <c r="Y406" s="236">
        <v>1</v>
      </c>
      <c r="Z406" s="139"/>
    </row>
    <row r="407" spans="1:26" hidden="1" x14ac:dyDescent="0.2">
      <c r="A407" s="232" t="s">
        <v>2814</v>
      </c>
      <c r="B407" s="285"/>
      <c r="C407" s="234" t="s">
        <v>1791</v>
      </c>
      <c r="D407" s="235" t="s">
        <v>1792</v>
      </c>
      <c r="E407" s="236">
        <v>0</v>
      </c>
      <c r="F407" s="236">
        <v>0</v>
      </c>
      <c r="G407" s="236">
        <v>0</v>
      </c>
      <c r="H407" s="236">
        <v>1</v>
      </c>
      <c r="I407" s="236">
        <v>0</v>
      </c>
      <c r="J407" s="236">
        <v>0</v>
      </c>
      <c r="K407" s="236">
        <v>0</v>
      </c>
      <c r="L407" s="236">
        <v>0</v>
      </c>
      <c r="M407" s="236">
        <v>0</v>
      </c>
      <c r="N407" s="236">
        <v>0</v>
      </c>
      <c r="O407" s="236">
        <v>0</v>
      </c>
      <c r="P407" s="236">
        <v>0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36">
        <v>0</v>
      </c>
      <c r="W407" s="236">
        <v>0</v>
      </c>
      <c r="X407" s="236"/>
      <c r="Y407" s="236">
        <v>1</v>
      </c>
      <c r="Z407" s="139"/>
    </row>
    <row r="408" spans="1:26" hidden="1" x14ac:dyDescent="0.2">
      <c r="A408" s="254" t="s">
        <v>2814</v>
      </c>
      <c r="B408" s="254"/>
      <c r="C408" s="293" t="s">
        <v>1793</v>
      </c>
      <c r="D408" s="294" t="s">
        <v>938</v>
      </c>
      <c r="E408" s="240">
        <v>0</v>
      </c>
      <c r="F408" s="240">
        <v>0</v>
      </c>
      <c r="G408" s="240">
        <v>0</v>
      </c>
      <c r="H408" s="240">
        <v>1</v>
      </c>
      <c r="I408" s="240">
        <v>0</v>
      </c>
      <c r="J408" s="240">
        <v>0</v>
      </c>
      <c r="K408" s="240">
        <v>0</v>
      </c>
      <c r="L408" s="240">
        <v>0</v>
      </c>
      <c r="M408" s="240">
        <v>0</v>
      </c>
      <c r="N408" s="240">
        <v>0</v>
      </c>
      <c r="O408" s="240">
        <v>0</v>
      </c>
      <c r="P408" s="240">
        <v>0</v>
      </c>
      <c r="Q408" s="240">
        <v>0</v>
      </c>
      <c r="R408" s="240">
        <v>0</v>
      </c>
      <c r="S408" s="240">
        <v>0</v>
      </c>
      <c r="T408" s="240">
        <v>0</v>
      </c>
      <c r="U408" s="240">
        <v>0</v>
      </c>
      <c r="V408" s="240">
        <v>0</v>
      </c>
      <c r="W408" s="240">
        <v>0</v>
      </c>
      <c r="X408" s="240"/>
      <c r="Y408" s="240">
        <v>1</v>
      </c>
      <c r="Z408" s="139"/>
    </row>
    <row r="409" spans="1:26" hidden="1" x14ac:dyDescent="0.2">
      <c r="A409" s="279" t="s">
        <v>1101</v>
      </c>
      <c r="B409" s="279"/>
      <c r="C409" s="202" t="s">
        <v>1285</v>
      </c>
      <c r="D409" s="203" t="s">
        <v>1077</v>
      </c>
      <c r="E409" s="201">
        <v>0</v>
      </c>
      <c r="F409" s="201">
        <v>0</v>
      </c>
      <c r="G409" s="201">
        <v>0</v>
      </c>
      <c r="H409" s="201">
        <v>1</v>
      </c>
      <c r="I409" s="201">
        <v>0</v>
      </c>
      <c r="J409" s="201">
        <v>0</v>
      </c>
      <c r="K409" s="201">
        <v>0</v>
      </c>
      <c r="L409" s="201">
        <v>0</v>
      </c>
      <c r="M409" s="201">
        <v>0</v>
      </c>
      <c r="N409" s="201">
        <v>0</v>
      </c>
      <c r="O409" s="201">
        <v>0</v>
      </c>
      <c r="P409" s="201">
        <v>0</v>
      </c>
      <c r="Q409" s="201">
        <v>0</v>
      </c>
      <c r="R409" s="201">
        <v>0</v>
      </c>
      <c r="S409" s="201">
        <v>0</v>
      </c>
      <c r="T409" s="201">
        <v>0</v>
      </c>
      <c r="U409" s="201">
        <v>0</v>
      </c>
      <c r="V409" s="201"/>
      <c r="W409" s="201"/>
      <c r="X409" s="201"/>
      <c r="Y409" s="845">
        <v>1</v>
      </c>
      <c r="Z409" s="139"/>
    </row>
    <row r="410" spans="1:26" hidden="1" x14ac:dyDescent="0.2">
      <c r="A410" s="746" t="s">
        <v>2599</v>
      </c>
      <c r="B410" s="759"/>
      <c r="C410" s="765" t="s">
        <v>1796</v>
      </c>
      <c r="D410" s="766" t="s">
        <v>1797</v>
      </c>
      <c r="E410" s="744">
        <v>0</v>
      </c>
      <c r="F410" s="744">
        <v>0</v>
      </c>
      <c r="G410" s="744">
        <v>0</v>
      </c>
      <c r="H410" s="744">
        <v>1</v>
      </c>
      <c r="I410" s="744">
        <v>0</v>
      </c>
      <c r="J410" s="744">
        <v>0</v>
      </c>
      <c r="K410" s="744">
        <v>0</v>
      </c>
      <c r="L410" s="744">
        <v>0</v>
      </c>
      <c r="M410" s="744">
        <v>0</v>
      </c>
      <c r="N410" s="744">
        <v>0</v>
      </c>
      <c r="O410" s="744">
        <v>0</v>
      </c>
      <c r="P410" s="744">
        <v>0</v>
      </c>
      <c r="Q410" s="744">
        <v>0</v>
      </c>
      <c r="R410" s="744">
        <v>0</v>
      </c>
      <c r="S410" s="744">
        <v>0</v>
      </c>
      <c r="T410" s="744">
        <v>0</v>
      </c>
      <c r="U410" s="744">
        <v>0</v>
      </c>
      <c r="V410" s="744">
        <v>0</v>
      </c>
      <c r="W410" s="744">
        <v>0</v>
      </c>
      <c r="X410" s="744">
        <v>0</v>
      </c>
      <c r="Y410" s="236">
        <v>1</v>
      </c>
      <c r="Z410" s="139"/>
    </row>
    <row r="411" spans="1:26" hidden="1" x14ac:dyDescent="0.2">
      <c r="A411" s="428" t="s">
        <v>2594</v>
      </c>
      <c r="B411" s="364"/>
      <c r="C411" s="432" t="s">
        <v>1800</v>
      </c>
      <c r="D411" s="433" t="s">
        <v>1801</v>
      </c>
      <c r="E411" s="276">
        <v>0</v>
      </c>
      <c r="F411" s="276">
        <v>0</v>
      </c>
      <c r="G411" s="276">
        <v>0</v>
      </c>
      <c r="H411" s="276">
        <v>1</v>
      </c>
      <c r="I411" s="276">
        <v>0</v>
      </c>
      <c r="J411" s="276">
        <v>0</v>
      </c>
      <c r="K411" s="276">
        <v>0</v>
      </c>
      <c r="L411" s="276">
        <v>0</v>
      </c>
      <c r="M411" s="276">
        <v>0</v>
      </c>
      <c r="N411" s="276">
        <v>0</v>
      </c>
      <c r="O411" s="276">
        <v>0</v>
      </c>
      <c r="P411" s="276">
        <v>0</v>
      </c>
      <c r="Q411" s="276">
        <v>0</v>
      </c>
      <c r="R411" s="276">
        <v>0</v>
      </c>
      <c r="S411" s="276">
        <v>0</v>
      </c>
      <c r="T411" s="276">
        <v>0</v>
      </c>
      <c r="U411" s="276">
        <v>0</v>
      </c>
      <c r="V411" s="276">
        <v>0</v>
      </c>
      <c r="W411" s="276">
        <v>0</v>
      </c>
      <c r="X411" s="276"/>
      <c r="Y411" s="256">
        <v>1</v>
      </c>
      <c r="Z411" s="139"/>
    </row>
    <row r="412" spans="1:26" hidden="1" x14ac:dyDescent="0.2">
      <c r="A412" s="270" t="s">
        <v>2814</v>
      </c>
      <c r="B412" s="270"/>
      <c r="C412" s="282" t="s">
        <v>1802</v>
      </c>
      <c r="D412" s="283" t="s">
        <v>1803</v>
      </c>
      <c r="E412" s="240">
        <v>0.39999999999999997</v>
      </c>
      <c r="F412" s="240">
        <v>0</v>
      </c>
      <c r="G412" s="240">
        <v>0</v>
      </c>
      <c r="H412" s="240">
        <v>0</v>
      </c>
      <c r="I412" s="240">
        <v>0</v>
      </c>
      <c r="J412" s="240">
        <v>0</v>
      </c>
      <c r="K412" s="240">
        <v>0</v>
      </c>
      <c r="L412" s="240">
        <v>0.6</v>
      </c>
      <c r="M412" s="240">
        <v>0</v>
      </c>
      <c r="N412" s="240">
        <v>0</v>
      </c>
      <c r="O412" s="240">
        <v>0</v>
      </c>
      <c r="P412" s="240">
        <v>0</v>
      </c>
      <c r="Q412" s="240">
        <v>0</v>
      </c>
      <c r="R412" s="240">
        <v>0</v>
      </c>
      <c r="S412" s="240">
        <v>0</v>
      </c>
      <c r="T412" s="240">
        <v>0</v>
      </c>
      <c r="U412" s="240">
        <v>0</v>
      </c>
      <c r="V412" s="240">
        <v>0</v>
      </c>
      <c r="W412" s="240">
        <v>0</v>
      </c>
      <c r="X412" s="240"/>
      <c r="Y412" s="240">
        <v>1</v>
      </c>
      <c r="Z412" s="139"/>
    </row>
    <row r="413" spans="1:26" hidden="1" x14ac:dyDescent="0.2">
      <c r="A413" s="232" t="s">
        <v>2814</v>
      </c>
      <c r="B413" s="285"/>
      <c r="C413" s="234" t="s">
        <v>1804</v>
      </c>
      <c r="D413" s="235" t="s">
        <v>1805</v>
      </c>
      <c r="E413" s="236">
        <v>0</v>
      </c>
      <c r="F413" s="236">
        <v>0</v>
      </c>
      <c r="G413" s="236">
        <v>0</v>
      </c>
      <c r="H413" s="236">
        <v>1</v>
      </c>
      <c r="I413" s="236">
        <v>0</v>
      </c>
      <c r="J413" s="236">
        <v>0</v>
      </c>
      <c r="K413" s="236">
        <v>0</v>
      </c>
      <c r="L413" s="236">
        <v>0</v>
      </c>
      <c r="M413" s="236">
        <v>0</v>
      </c>
      <c r="N413" s="236">
        <v>0</v>
      </c>
      <c r="O413" s="236">
        <v>0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36">
        <v>0</v>
      </c>
      <c r="W413" s="236">
        <v>0</v>
      </c>
      <c r="X413" s="236"/>
      <c r="Y413" s="236">
        <v>1</v>
      </c>
      <c r="Z413" s="139"/>
    </row>
    <row r="414" spans="1:26" hidden="1" x14ac:dyDescent="0.2">
      <c r="A414" s="232" t="s">
        <v>2814</v>
      </c>
      <c r="B414" s="232"/>
      <c r="C414" s="234" t="s">
        <v>1806</v>
      </c>
      <c r="D414" s="235" t="s">
        <v>1807</v>
      </c>
      <c r="E414" s="236">
        <v>0</v>
      </c>
      <c r="F414" s="236">
        <v>0</v>
      </c>
      <c r="G414" s="236">
        <v>0</v>
      </c>
      <c r="H414" s="236">
        <v>1</v>
      </c>
      <c r="I414" s="236">
        <v>0</v>
      </c>
      <c r="J414" s="236">
        <v>0</v>
      </c>
      <c r="K414" s="236">
        <v>0</v>
      </c>
      <c r="L414" s="236">
        <v>0</v>
      </c>
      <c r="M414" s="236">
        <v>0</v>
      </c>
      <c r="N414" s="236">
        <v>0</v>
      </c>
      <c r="O414" s="236">
        <v>0</v>
      </c>
      <c r="P414" s="236">
        <v>0</v>
      </c>
      <c r="Q414" s="236">
        <v>0</v>
      </c>
      <c r="R414" s="236">
        <v>0</v>
      </c>
      <c r="S414" s="236">
        <v>0</v>
      </c>
      <c r="T414" s="236">
        <v>0</v>
      </c>
      <c r="U414" s="236">
        <v>0</v>
      </c>
      <c r="V414" s="236">
        <v>0</v>
      </c>
      <c r="W414" s="236">
        <v>0</v>
      </c>
      <c r="X414" s="236"/>
      <c r="Y414" s="236">
        <v>1</v>
      </c>
      <c r="Z414" s="139"/>
    </row>
    <row r="415" spans="1:26" hidden="1" x14ac:dyDescent="0.2">
      <c r="A415" s="244" t="s">
        <v>1101</v>
      </c>
      <c r="B415" s="244"/>
      <c r="C415" s="205" t="s">
        <v>1810</v>
      </c>
      <c r="D415" s="206" t="s">
        <v>1811</v>
      </c>
      <c r="E415" s="193">
        <v>0</v>
      </c>
      <c r="F415" s="193">
        <v>0.12681628465198042</v>
      </c>
      <c r="G415" s="193">
        <v>0.87318371534801964</v>
      </c>
      <c r="H415" s="193">
        <v>0</v>
      </c>
      <c r="I415" s="193">
        <v>0</v>
      </c>
      <c r="J415" s="193">
        <v>0</v>
      </c>
      <c r="K415" s="193">
        <v>0</v>
      </c>
      <c r="L415" s="193">
        <v>0</v>
      </c>
      <c r="M415" s="193">
        <v>0</v>
      </c>
      <c r="N415" s="193">
        <v>0</v>
      </c>
      <c r="O415" s="193">
        <v>0</v>
      </c>
      <c r="P415" s="193">
        <v>0</v>
      </c>
      <c r="Q415" s="193">
        <v>0</v>
      </c>
      <c r="R415" s="193">
        <v>0</v>
      </c>
      <c r="S415" s="193">
        <v>0</v>
      </c>
      <c r="T415" s="193">
        <v>0</v>
      </c>
      <c r="U415" s="193">
        <v>0</v>
      </c>
      <c r="V415" s="193">
        <v>0</v>
      </c>
      <c r="W415" s="193">
        <v>0</v>
      </c>
      <c r="X415" s="193"/>
      <c r="Y415" s="193">
        <v>1</v>
      </c>
      <c r="Z415" s="139"/>
    </row>
    <row r="416" spans="1:26" hidden="1" x14ac:dyDescent="0.2">
      <c r="A416" s="244" t="s">
        <v>1101</v>
      </c>
      <c r="B416" s="244"/>
      <c r="C416" s="205" t="s">
        <v>1812</v>
      </c>
      <c r="D416" s="206" t="s">
        <v>1813</v>
      </c>
      <c r="E416" s="193">
        <v>0</v>
      </c>
      <c r="F416" s="193">
        <v>5.9034429927200633E-3</v>
      </c>
      <c r="G416" s="193">
        <v>3.0650624254437955E-2</v>
      </c>
      <c r="H416" s="193">
        <v>0</v>
      </c>
      <c r="I416" s="193">
        <v>0</v>
      </c>
      <c r="J416" s="193">
        <v>0</v>
      </c>
      <c r="K416" s="193">
        <v>0</v>
      </c>
      <c r="L416" s="193">
        <v>0</v>
      </c>
      <c r="M416" s="193">
        <v>0</v>
      </c>
      <c r="N416" s="193">
        <v>0.30445628792765522</v>
      </c>
      <c r="O416" s="193">
        <v>1.8930136454525074E-2</v>
      </c>
      <c r="P416" s="193">
        <v>0.15705826869260814</v>
      </c>
      <c r="Q416" s="193">
        <v>8.5688610628844985E-3</v>
      </c>
      <c r="R416" s="193">
        <v>0</v>
      </c>
      <c r="S416" s="193">
        <v>8.498601081309029E-2</v>
      </c>
      <c r="T416" s="193">
        <v>0.19591844892203647</v>
      </c>
      <c r="U416" s="193">
        <v>0.19352791888004225</v>
      </c>
      <c r="V416" s="193">
        <v>0</v>
      </c>
      <c r="W416" s="193">
        <v>0</v>
      </c>
      <c r="X416" s="193"/>
      <c r="Y416" s="193">
        <v>1</v>
      </c>
      <c r="Z416" s="139"/>
    </row>
    <row r="417" spans="1:26" hidden="1" x14ac:dyDescent="0.2">
      <c r="A417" s="232" t="s">
        <v>2814</v>
      </c>
      <c r="B417" s="232"/>
      <c r="C417" s="234" t="s">
        <v>1814</v>
      </c>
      <c r="D417" s="235" t="s">
        <v>1815</v>
      </c>
      <c r="E417" s="236">
        <v>0</v>
      </c>
      <c r="F417" s="236">
        <v>0</v>
      </c>
      <c r="G417" s="236">
        <v>0</v>
      </c>
      <c r="H417" s="236">
        <v>1</v>
      </c>
      <c r="I417" s="236">
        <v>0</v>
      </c>
      <c r="J417" s="236">
        <v>0</v>
      </c>
      <c r="K417" s="236">
        <v>0</v>
      </c>
      <c r="L417" s="236">
        <v>0</v>
      </c>
      <c r="M417" s="236">
        <v>0</v>
      </c>
      <c r="N417" s="236">
        <v>0</v>
      </c>
      <c r="O417" s="236">
        <v>0</v>
      </c>
      <c r="P417" s="236">
        <v>0</v>
      </c>
      <c r="Q417" s="236">
        <v>0</v>
      </c>
      <c r="R417" s="236">
        <v>0</v>
      </c>
      <c r="S417" s="236">
        <v>0</v>
      </c>
      <c r="T417" s="236">
        <v>0</v>
      </c>
      <c r="U417" s="236">
        <v>0</v>
      </c>
      <c r="V417" s="236">
        <v>0</v>
      </c>
      <c r="W417" s="236">
        <v>0</v>
      </c>
      <c r="X417" s="236"/>
      <c r="Y417" s="236">
        <v>1</v>
      </c>
      <c r="Z417" s="139"/>
    </row>
    <row r="418" spans="1:26" hidden="1" x14ac:dyDescent="0.2">
      <c r="A418" s="232" t="s">
        <v>2814</v>
      </c>
      <c r="B418" s="232"/>
      <c r="C418" s="234" t="s">
        <v>1816</v>
      </c>
      <c r="D418" s="235" t="s">
        <v>1817</v>
      </c>
      <c r="E418" s="236">
        <v>0</v>
      </c>
      <c r="F418" s="236">
        <v>0</v>
      </c>
      <c r="G418" s="236">
        <v>0</v>
      </c>
      <c r="H418" s="366">
        <v>0.5</v>
      </c>
      <c r="I418" s="236">
        <v>0</v>
      </c>
      <c r="J418" s="236">
        <v>0</v>
      </c>
      <c r="K418" s="236">
        <v>0</v>
      </c>
      <c r="L418" s="366">
        <v>0.5</v>
      </c>
      <c r="M418" s="236">
        <v>0</v>
      </c>
      <c r="N418" s="236">
        <v>0</v>
      </c>
      <c r="O418" s="236">
        <v>0</v>
      </c>
      <c r="P418" s="236">
        <v>0</v>
      </c>
      <c r="Q418" s="236">
        <v>0</v>
      </c>
      <c r="R418" s="236">
        <v>0</v>
      </c>
      <c r="S418" s="236">
        <v>0</v>
      </c>
      <c r="T418" s="236">
        <v>0</v>
      </c>
      <c r="U418" s="236">
        <v>0</v>
      </c>
      <c r="V418" s="236">
        <v>0</v>
      </c>
      <c r="W418" s="236">
        <v>0</v>
      </c>
      <c r="X418" s="236"/>
      <c r="Y418" s="236">
        <v>1</v>
      </c>
      <c r="Z418" s="139"/>
    </row>
    <row r="419" spans="1:26" hidden="1" x14ac:dyDescent="0.2">
      <c r="A419" s="244" t="s">
        <v>1101</v>
      </c>
      <c r="B419" s="244"/>
      <c r="C419" s="205" t="s">
        <v>1818</v>
      </c>
      <c r="D419" s="206" t="s">
        <v>1819</v>
      </c>
      <c r="E419" s="193">
        <v>0</v>
      </c>
      <c r="F419" s="193">
        <v>0</v>
      </c>
      <c r="G419" s="193">
        <v>0</v>
      </c>
      <c r="H419" s="193">
        <v>0</v>
      </c>
      <c r="I419" s="193">
        <v>0.75000000000000011</v>
      </c>
      <c r="J419" s="193">
        <v>0.25</v>
      </c>
      <c r="K419" s="193">
        <v>0</v>
      </c>
      <c r="L419" s="193">
        <v>0</v>
      </c>
      <c r="M419" s="193">
        <v>0</v>
      </c>
      <c r="N419" s="193">
        <v>0</v>
      </c>
      <c r="O419" s="193">
        <v>0</v>
      </c>
      <c r="P419" s="193">
        <v>0</v>
      </c>
      <c r="Q419" s="193">
        <v>0</v>
      </c>
      <c r="R419" s="193">
        <v>0</v>
      </c>
      <c r="S419" s="193">
        <v>0</v>
      </c>
      <c r="T419" s="193">
        <v>0</v>
      </c>
      <c r="U419" s="193">
        <v>0</v>
      </c>
      <c r="V419" s="193">
        <v>0</v>
      </c>
      <c r="W419" s="193">
        <v>0</v>
      </c>
      <c r="X419" s="193"/>
      <c r="Y419" s="193">
        <v>1</v>
      </c>
      <c r="Z419" s="139"/>
    </row>
    <row r="420" spans="1:26" hidden="1" x14ac:dyDescent="0.2">
      <c r="A420" s="746" t="s">
        <v>2599</v>
      </c>
      <c r="B420" s="779"/>
      <c r="C420" s="780" t="s">
        <v>1820</v>
      </c>
      <c r="D420" s="781" t="s">
        <v>1821</v>
      </c>
      <c r="E420" s="744">
        <v>0</v>
      </c>
      <c r="F420" s="744">
        <v>0.28319999959765962</v>
      </c>
      <c r="G420" s="744">
        <v>0.47229999628178043</v>
      </c>
      <c r="H420" s="744">
        <v>0</v>
      </c>
      <c r="I420" s="744">
        <v>0</v>
      </c>
      <c r="J420" s="744">
        <v>0</v>
      </c>
      <c r="K420" s="744">
        <v>0</v>
      </c>
      <c r="L420" s="744">
        <v>0</v>
      </c>
      <c r="M420" s="744">
        <v>0</v>
      </c>
      <c r="N420" s="744">
        <v>0</v>
      </c>
      <c r="O420" s="744">
        <v>0</v>
      </c>
      <c r="P420" s="744">
        <v>0.24450000412055986</v>
      </c>
      <c r="Q420" s="744">
        <v>0</v>
      </c>
      <c r="R420" s="744">
        <v>0</v>
      </c>
      <c r="S420" s="744">
        <v>0</v>
      </c>
      <c r="T420" s="744">
        <v>0</v>
      </c>
      <c r="U420" s="744">
        <v>0</v>
      </c>
      <c r="V420" s="744">
        <v>0</v>
      </c>
      <c r="W420" s="744">
        <v>0</v>
      </c>
      <c r="X420" s="744">
        <v>0</v>
      </c>
      <c r="Y420" s="240">
        <v>1</v>
      </c>
      <c r="Z420" s="139"/>
    </row>
    <row r="421" spans="1:26" hidden="1" x14ac:dyDescent="0.2">
      <c r="A421" s="232" t="s">
        <v>2814</v>
      </c>
      <c r="B421" s="232"/>
      <c r="C421" s="265" t="s">
        <v>1828</v>
      </c>
      <c r="D421" s="266" t="s">
        <v>1829</v>
      </c>
      <c r="E421" s="236">
        <v>0</v>
      </c>
      <c r="F421" s="236">
        <v>0</v>
      </c>
      <c r="G421" s="236">
        <v>0</v>
      </c>
      <c r="H421" s="236">
        <v>0</v>
      </c>
      <c r="I421" s="236">
        <v>0</v>
      </c>
      <c r="J421" s="236">
        <v>0</v>
      </c>
      <c r="K421" s="236">
        <v>0</v>
      </c>
      <c r="L421" s="236">
        <v>0</v>
      </c>
      <c r="M421" s="236">
        <v>0</v>
      </c>
      <c r="N421" s="236">
        <v>0</v>
      </c>
      <c r="O421" s="236">
        <v>0</v>
      </c>
      <c r="P421" s="236">
        <v>0</v>
      </c>
      <c r="Q421" s="236">
        <v>0</v>
      </c>
      <c r="R421" s="236">
        <v>0</v>
      </c>
      <c r="S421" s="236">
        <v>0</v>
      </c>
      <c r="T421" s="236">
        <v>0</v>
      </c>
      <c r="U421" s="236">
        <v>1</v>
      </c>
      <c r="V421" s="236">
        <v>0</v>
      </c>
      <c r="W421" s="236">
        <v>0</v>
      </c>
      <c r="X421" s="236"/>
      <c r="Y421" s="236">
        <v>1</v>
      </c>
      <c r="Z421" s="139"/>
    </row>
    <row r="422" spans="1:26" hidden="1" x14ac:dyDescent="0.2">
      <c r="A422" s="232" t="s">
        <v>2814</v>
      </c>
      <c r="B422" s="232"/>
      <c r="C422" s="234" t="s">
        <v>1830</v>
      </c>
      <c r="D422" s="235" t="s">
        <v>1831</v>
      </c>
      <c r="E422" s="236">
        <v>0</v>
      </c>
      <c r="F422" s="236">
        <v>0</v>
      </c>
      <c r="G422" s="236">
        <v>0</v>
      </c>
      <c r="H422" s="236">
        <v>0</v>
      </c>
      <c r="I422" s="236">
        <v>0</v>
      </c>
      <c r="J422" s="236">
        <v>0</v>
      </c>
      <c r="K422" s="236">
        <v>0</v>
      </c>
      <c r="L422" s="236">
        <v>0</v>
      </c>
      <c r="M422" s="236">
        <v>0</v>
      </c>
      <c r="N422" s="236">
        <v>0</v>
      </c>
      <c r="O422" s="236">
        <v>0</v>
      </c>
      <c r="P422" s="236">
        <v>0</v>
      </c>
      <c r="Q422" s="236">
        <v>0</v>
      </c>
      <c r="R422" s="236">
        <v>0</v>
      </c>
      <c r="S422" s="236">
        <v>0.89363965114194344</v>
      </c>
      <c r="T422" s="236">
        <v>0.10636034885805647</v>
      </c>
      <c r="U422" s="236">
        <v>0</v>
      </c>
      <c r="V422" s="236">
        <v>0</v>
      </c>
      <c r="W422" s="236">
        <v>0</v>
      </c>
      <c r="X422" s="236"/>
      <c r="Y422" s="236">
        <v>0.99999999999999989</v>
      </c>
      <c r="Z422" s="139"/>
    </row>
    <row r="423" spans="1:26" hidden="1" x14ac:dyDescent="0.2">
      <c r="A423" s="232" t="s">
        <v>2814</v>
      </c>
      <c r="B423" s="232"/>
      <c r="C423" s="234" t="s">
        <v>1832</v>
      </c>
      <c r="D423" s="235" t="s">
        <v>1833</v>
      </c>
      <c r="E423" s="236">
        <v>0</v>
      </c>
      <c r="F423" s="236">
        <v>0</v>
      </c>
      <c r="G423" s="236">
        <v>0</v>
      </c>
      <c r="H423" s="236">
        <v>1</v>
      </c>
      <c r="I423" s="236">
        <v>0</v>
      </c>
      <c r="J423" s="236">
        <v>0</v>
      </c>
      <c r="K423" s="236">
        <v>0</v>
      </c>
      <c r="L423" s="236">
        <v>0</v>
      </c>
      <c r="M423" s="236">
        <v>0</v>
      </c>
      <c r="N423" s="236">
        <v>0</v>
      </c>
      <c r="O423" s="236">
        <v>0</v>
      </c>
      <c r="P423" s="236">
        <v>0</v>
      </c>
      <c r="Q423" s="236">
        <v>0</v>
      </c>
      <c r="R423" s="236">
        <v>0</v>
      </c>
      <c r="S423" s="236">
        <v>0</v>
      </c>
      <c r="T423" s="236">
        <v>0</v>
      </c>
      <c r="U423" s="236">
        <v>0</v>
      </c>
      <c r="V423" s="236">
        <v>0</v>
      </c>
      <c r="W423" s="236">
        <v>0</v>
      </c>
      <c r="X423" s="236"/>
      <c r="Y423" s="236">
        <v>1</v>
      </c>
      <c r="Z423" s="139"/>
    </row>
    <row r="424" spans="1:26" hidden="1" x14ac:dyDescent="0.2">
      <c r="A424" s="232" t="s">
        <v>2814</v>
      </c>
      <c r="B424" s="232"/>
      <c r="C424" s="234" t="s">
        <v>1834</v>
      </c>
      <c r="D424" s="235" t="s">
        <v>1835</v>
      </c>
      <c r="E424" s="236">
        <v>0</v>
      </c>
      <c r="F424" s="236">
        <v>0</v>
      </c>
      <c r="G424" s="236">
        <v>0</v>
      </c>
      <c r="H424" s="236">
        <v>0</v>
      </c>
      <c r="I424" s="236">
        <v>0</v>
      </c>
      <c r="J424" s="236">
        <v>0</v>
      </c>
      <c r="K424" s="236">
        <v>0</v>
      </c>
      <c r="L424" s="236">
        <v>0</v>
      </c>
      <c r="M424" s="236">
        <v>0</v>
      </c>
      <c r="N424" s="236">
        <v>0</v>
      </c>
      <c r="O424" s="236">
        <v>0</v>
      </c>
      <c r="P424" s="236">
        <v>0</v>
      </c>
      <c r="Q424" s="236">
        <v>0</v>
      </c>
      <c r="R424" s="236">
        <v>0</v>
      </c>
      <c r="S424" s="366">
        <v>1</v>
      </c>
      <c r="T424" s="236">
        <v>0</v>
      </c>
      <c r="U424" s="366">
        <v>0</v>
      </c>
      <c r="V424" s="236">
        <v>0</v>
      </c>
      <c r="W424" s="236">
        <v>0</v>
      </c>
      <c r="X424" s="236"/>
      <c r="Y424" s="236">
        <v>1</v>
      </c>
      <c r="Z424" s="139"/>
    </row>
    <row r="425" spans="1:26" hidden="1" x14ac:dyDescent="0.2">
      <c r="A425" s="746" t="s">
        <v>2599</v>
      </c>
      <c r="B425" s="779"/>
      <c r="C425" s="780" t="s">
        <v>2200</v>
      </c>
      <c r="D425" s="781" t="s">
        <v>2201</v>
      </c>
      <c r="E425" s="744">
        <v>0</v>
      </c>
      <c r="F425" s="744">
        <v>0</v>
      </c>
      <c r="G425" s="744">
        <v>0</v>
      </c>
      <c r="H425" s="744">
        <v>1</v>
      </c>
      <c r="I425" s="744">
        <v>0</v>
      </c>
      <c r="J425" s="744">
        <v>0</v>
      </c>
      <c r="K425" s="744">
        <v>0</v>
      </c>
      <c r="L425" s="744">
        <v>0</v>
      </c>
      <c r="M425" s="744">
        <v>0</v>
      </c>
      <c r="N425" s="744">
        <v>0</v>
      </c>
      <c r="O425" s="744">
        <v>0</v>
      </c>
      <c r="P425" s="744">
        <v>0</v>
      </c>
      <c r="Q425" s="744">
        <v>0</v>
      </c>
      <c r="R425" s="744">
        <v>0</v>
      </c>
      <c r="S425" s="744">
        <v>0</v>
      </c>
      <c r="T425" s="744">
        <v>0</v>
      </c>
      <c r="U425" s="744">
        <v>0</v>
      </c>
      <c r="V425" s="744">
        <v>0</v>
      </c>
      <c r="W425" s="744">
        <v>0</v>
      </c>
      <c r="X425" s="744">
        <v>0</v>
      </c>
      <c r="Y425" s="240">
        <v>1</v>
      </c>
      <c r="Z425" s="139"/>
    </row>
    <row r="426" spans="1:26" hidden="1" x14ac:dyDescent="0.2">
      <c r="A426" s="428" t="s">
        <v>2594</v>
      </c>
      <c r="B426" s="311"/>
      <c r="C426" s="267" t="s">
        <v>1836</v>
      </c>
      <c r="D426" s="268" t="s">
        <v>1837</v>
      </c>
      <c r="E426" s="269">
        <v>0</v>
      </c>
      <c r="F426" s="269">
        <v>0</v>
      </c>
      <c r="G426" s="269">
        <v>1</v>
      </c>
      <c r="H426" s="269">
        <v>0</v>
      </c>
      <c r="I426" s="269">
        <v>0</v>
      </c>
      <c r="J426" s="269">
        <v>0</v>
      </c>
      <c r="K426" s="269">
        <v>0</v>
      </c>
      <c r="L426" s="269">
        <v>0</v>
      </c>
      <c r="M426" s="269">
        <v>0</v>
      </c>
      <c r="N426" s="269">
        <v>0</v>
      </c>
      <c r="O426" s="269">
        <v>0</v>
      </c>
      <c r="P426" s="269">
        <v>0</v>
      </c>
      <c r="Q426" s="269">
        <v>0</v>
      </c>
      <c r="R426" s="269">
        <v>0</v>
      </c>
      <c r="S426" s="269">
        <v>0</v>
      </c>
      <c r="T426" s="269">
        <v>0</v>
      </c>
      <c r="U426" s="269">
        <v>0</v>
      </c>
      <c r="V426" s="269">
        <v>0</v>
      </c>
      <c r="W426" s="269">
        <v>0</v>
      </c>
      <c r="X426" s="269"/>
      <c r="Y426" s="260">
        <v>1</v>
      </c>
      <c r="Z426" s="139"/>
    </row>
    <row r="427" spans="1:26" hidden="1" x14ac:dyDescent="0.2">
      <c r="A427" s="244" t="s">
        <v>1101</v>
      </c>
      <c r="B427" s="244"/>
      <c r="C427" s="205" t="s">
        <v>1842</v>
      </c>
      <c r="D427" s="206" t="s">
        <v>1843</v>
      </c>
      <c r="E427" s="193">
        <v>0</v>
      </c>
      <c r="F427" s="193">
        <v>4.7866724823873004E-2</v>
      </c>
      <c r="G427" s="193">
        <v>0.1985245439252625</v>
      </c>
      <c r="H427" s="193">
        <v>0</v>
      </c>
      <c r="I427" s="193">
        <v>0</v>
      </c>
      <c r="J427" s="193">
        <v>0</v>
      </c>
      <c r="K427" s="193">
        <v>0</v>
      </c>
      <c r="L427" s="193">
        <v>0</v>
      </c>
      <c r="M427" s="193">
        <v>0</v>
      </c>
      <c r="N427" s="193">
        <v>0.23257467079711469</v>
      </c>
      <c r="O427" s="193">
        <v>5.6847754822241157E-2</v>
      </c>
      <c r="P427" s="193">
        <v>0.13084508711469028</v>
      </c>
      <c r="Q427" s="193">
        <v>0</v>
      </c>
      <c r="R427" s="193">
        <v>0</v>
      </c>
      <c r="S427" s="193">
        <v>0.3122202799302376</v>
      </c>
      <c r="T427" s="193">
        <v>2.1120938586580807E-2</v>
      </c>
      <c r="U427" s="193">
        <v>0</v>
      </c>
      <c r="V427" s="193">
        <v>0</v>
      </c>
      <c r="W427" s="193">
        <v>0</v>
      </c>
      <c r="X427" s="193"/>
      <c r="Y427" s="193">
        <v>1</v>
      </c>
      <c r="Z427" s="139"/>
    </row>
    <row r="428" spans="1:26" hidden="1" x14ac:dyDescent="0.2">
      <c r="A428" s="232" t="s">
        <v>2814</v>
      </c>
      <c r="B428" s="232"/>
      <c r="C428" s="234" t="s">
        <v>1844</v>
      </c>
      <c r="D428" s="235" t="s">
        <v>1845</v>
      </c>
      <c r="E428" s="236">
        <v>0</v>
      </c>
      <c r="F428" s="236">
        <v>0</v>
      </c>
      <c r="G428" s="236">
        <v>0</v>
      </c>
      <c r="H428" s="236">
        <v>0</v>
      </c>
      <c r="I428" s="236">
        <v>0</v>
      </c>
      <c r="J428" s="236">
        <v>0</v>
      </c>
      <c r="K428" s="236">
        <v>0</v>
      </c>
      <c r="L428" s="236">
        <v>0</v>
      </c>
      <c r="M428" s="236">
        <v>0</v>
      </c>
      <c r="N428" s="236">
        <v>1</v>
      </c>
      <c r="O428" s="236">
        <v>0</v>
      </c>
      <c r="P428" s="236">
        <v>0</v>
      </c>
      <c r="Q428" s="236">
        <v>0</v>
      </c>
      <c r="R428" s="236">
        <v>0</v>
      </c>
      <c r="S428" s="236">
        <v>0</v>
      </c>
      <c r="T428" s="236">
        <v>0</v>
      </c>
      <c r="U428" s="236">
        <v>0</v>
      </c>
      <c r="V428" s="236">
        <v>0</v>
      </c>
      <c r="W428" s="236">
        <v>0</v>
      </c>
      <c r="X428" s="236"/>
      <c r="Y428" s="236">
        <v>1</v>
      </c>
      <c r="Z428" s="139"/>
    </row>
    <row r="429" spans="1:26" hidden="1" x14ac:dyDescent="0.2">
      <c r="A429" s="278" t="s">
        <v>1101</v>
      </c>
      <c r="B429" s="278"/>
      <c r="C429" s="208" t="s">
        <v>1846</v>
      </c>
      <c r="D429" s="209" t="s">
        <v>1847</v>
      </c>
      <c r="E429" s="201">
        <v>0</v>
      </c>
      <c r="F429" s="201">
        <v>0</v>
      </c>
      <c r="G429" s="201">
        <v>0</v>
      </c>
      <c r="H429" s="201">
        <v>0</v>
      </c>
      <c r="I429" s="201">
        <v>0</v>
      </c>
      <c r="J429" s="201">
        <v>0</v>
      </c>
      <c r="K429" s="201">
        <v>0</v>
      </c>
      <c r="L429" s="201">
        <v>0</v>
      </c>
      <c r="M429" s="201">
        <v>0</v>
      </c>
      <c r="N429" s="201">
        <v>0.46454551872227706</v>
      </c>
      <c r="O429" s="201">
        <v>3.4075685941421401E-2</v>
      </c>
      <c r="P429" s="201">
        <v>6.1051054077993529E-2</v>
      </c>
      <c r="Q429" s="201">
        <v>0</v>
      </c>
      <c r="R429" s="201">
        <v>0</v>
      </c>
      <c r="S429" s="201">
        <v>0.22639067081778153</v>
      </c>
      <c r="T429" s="201">
        <v>0.14097614808514408</v>
      </c>
      <c r="U429" s="201">
        <v>7.2960922355382207E-2</v>
      </c>
      <c r="V429" s="201">
        <v>0</v>
      </c>
      <c r="W429" s="201">
        <v>0</v>
      </c>
      <c r="X429" s="201"/>
      <c r="Y429" s="201">
        <v>0.99999999999999978</v>
      </c>
      <c r="Z429" s="139"/>
    </row>
    <row r="430" spans="1:26" hidden="1" x14ac:dyDescent="0.2">
      <c r="A430" s="252" t="s">
        <v>1101</v>
      </c>
      <c r="B430" s="252"/>
      <c r="C430" s="205" t="s">
        <v>1848</v>
      </c>
      <c r="D430" s="206" t="s">
        <v>1849</v>
      </c>
      <c r="E430" s="224">
        <v>0</v>
      </c>
      <c r="F430" s="224">
        <v>0</v>
      </c>
      <c r="G430" s="224">
        <v>0</v>
      </c>
      <c r="H430" s="224">
        <v>0</v>
      </c>
      <c r="I430" s="224">
        <v>0</v>
      </c>
      <c r="J430" s="224">
        <v>0</v>
      </c>
      <c r="K430" s="224">
        <v>0</v>
      </c>
      <c r="L430" s="224">
        <v>0</v>
      </c>
      <c r="M430" s="224">
        <v>0</v>
      </c>
      <c r="N430" s="224">
        <v>0</v>
      </c>
      <c r="O430" s="224">
        <v>0</v>
      </c>
      <c r="P430" s="224">
        <v>0</v>
      </c>
      <c r="Q430" s="224">
        <v>0</v>
      </c>
      <c r="R430" s="224">
        <v>0</v>
      </c>
      <c r="S430" s="224">
        <v>0</v>
      </c>
      <c r="T430" s="224">
        <v>1</v>
      </c>
      <c r="U430" s="224">
        <v>0</v>
      </c>
      <c r="V430" s="224">
        <v>0</v>
      </c>
      <c r="W430" s="224">
        <v>0</v>
      </c>
      <c r="X430" s="224"/>
      <c r="Y430" s="201">
        <v>1</v>
      </c>
      <c r="Z430" s="139"/>
    </row>
    <row r="431" spans="1:26" hidden="1" x14ac:dyDescent="0.2">
      <c r="A431" s="221" t="s">
        <v>2814</v>
      </c>
      <c r="B431" s="221"/>
      <c r="C431" s="234" t="s">
        <v>1850</v>
      </c>
      <c r="D431" s="235" t="s">
        <v>1851</v>
      </c>
      <c r="E431" s="240">
        <v>0</v>
      </c>
      <c r="F431" s="240">
        <v>0</v>
      </c>
      <c r="G431" s="240">
        <v>0</v>
      </c>
      <c r="H431" s="240">
        <v>1</v>
      </c>
      <c r="I431" s="240">
        <v>0</v>
      </c>
      <c r="J431" s="240">
        <v>0</v>
      </c>
      <c r="K431" s="240">
        <v>0</v>
      </c>
      <c r="L431" s="240">
        <v>0</v>
      </c>
      <c r="M431" s="240">
        <v>0</v>
      </c>
      <c r="N431" s="240">
        <v>0</v>
      </c>
      <c r="O431" s="240">
        <v>0</v>
      </c>
      <c r="P431" s="240">
        <v>0</v>
      </c>
      <c r="Q431" s="240">
        <v>0</v>
      </c>
      <c r="R431" s="240">
        <v>0</v>
      </c>
      <c r="S431" s="240">
        <v>0</v>
      </c>
      <c r="T431" s="240">
        <v>0</v>
      </c>
      <c r="U431" s="240">
        <v>0</v>
      </c>
      <c r="V431" s="240">
        <v>0</v>
      </c>
      <c r="W431" s="240">
        <v>0</v>
      </c>
      <c r="X431" s="240"/>
      <c r="Y431" s="240">
        <v>1</v>
      </c>
      <c r="Z431" s="139"/>
    </row>
    <row r="432" spans="1:26" hidden="1" x14ac:dyDescent="0.2">
      <c r="A432" s="219" t="s">
        <v>2814</v>
      </c>
      <c r="B432" s="221"/>
      <c r="C432" s="234" t="s">
        <v>1852</v>
      </c>
      <c r="D432" s="235" t="s">
        <v>1853</v>
      </c>
      <c r="E432" s="236">
        <v>0</v>
      </c>
      <c r="F432" s="236">
        <v>0</v>
      </c>
      <c r="G432" s="236">
        <v>0</v>
      </c>
      <c r="H432" s="236">
        <v>0</v>
      </c>
      <c r="I432" s="236">
        <v>0</v>
      </c>
      <c r="J432" s="236">
        <v>0</v>
      </c>
      <c r="K432" s="236">
        <v>0</v>
      </c>
      <c r="L432" s="236">
        <v>1</v>
      </c>
      <c r="M432" s="236">
        <v>0</v>
      </c>
      <c r="N432" s="236">
        <v>0</v>
      </c>
      <c r="O432" s="236">
        <v>0</v>
      </c>
      <c r="P432" s="236">
        <v>0</v>
      </c>
      <c r="Q432" s="236">
        <v>0</v>
      </c>
      <c r="R432" s="236">
        <v>0</v>
      </c>
      <c r="S432" s="236">
        <v>0</v>
      </c>
      <c r="T432" s="236">
        <v>0</v>
      </c>
      <c r="U432" s="236">
        <v>0</v>
      </c>
      <c r="V432" s="236">
        <v>0</v>
      </c>
      <c r="W432" s="236">
        <v>0</v>
      </c>
      <c r="X432" s="236"/>
      <c r="Y432" s="236">
        <v>1</v>
      </c>
      <c r="Z432" s="139"/>
    </row>
    <row r="433" spans="1:26" hidden="1" x14ac:dyDescent="0.2">
      <c r="A433" s="277" t="s">
        <v>1101</v>
      </c>
      <c r="B433" s="252"/>
      <c r="C433" s="205" t="s">
        <v>1854</v>
      </c>
      <c r="D433" s="206" t="s">
        <v>1855</v>
      </c>
      <c r="E433" s="193">
        <v>0</v>
      </c>
      <c r="F433" s="193">
        <v>0.54472790963951701</v>
      </c>
      <c r="G433" s="193">
        <v>0.35173397522965477</v>
      </c>
      <c r="H433" s="193">
        <v>0</v>
      </c>
      <c r="I433" s="193">
        <v>0</v>
      </c>
      <c r="J433" s="193">
        <v>0</v>
      </c>
      <c r="K433" s="193">
        <v>0</v>
      </c>
      <c r="L433" s="193">
        <v>0</v>
      </c>
      <c r="M433" s="193">
        <v>0</v>
      </c>
      <c r="N433" s="193">
        <v>0</v>
      </c>
      <c r="O433" s="193">
        <v>0.10353811513082826</v>
      </c>
      <c r="P433" s="193">
        <v>0</v>
      </c>
      <c r="Q433" s="193">
        <v>0</v>
      </c>
      <c r="R433" s="193">
        <v>0</v>
      </c>
      <c r="S433" s="193">
        <v>0</v>
      </c>
      <c r="T433" s="193">
        <v>0</v>
      </c>
      <c r="U433" s="193">
        <v>0</v>
      </c>
      <c r="V433" s="193">
        <v>0</v>
      </c>
      <c r="W433" s="193">
        <v>0</v>
      </c>
      <c r="X433" s="193"/>
      <c r="Y433" s="193">
        <v>1</v>
      </c>
      <c r="Z433" s="139"/>
    </row>
    <row r="434" spans="1:26" hidden="1" x14ac:dyDescent="0.2">
      <c r="A434" s="746" t="s">
        <v>2599</v>
      </c>
      <c r="B434" s="777"/>
      <c r="C434" s="765" t="s">
        <v>1858</v>
      </c>
      <c r="D434" s="766" t="s">
        <v>1859</v>
      </c>
      <c r="E434" s="744">
        <v>1</v>
      </c>
      <c r="F434" s="744">
        <v>0</v>
      </c>
      <c r="G434" s="744">
        <v>0</v>
      </c>
      <c r="H434" s="744">
        <v>0</v>
      </c>
      <c r="I434" s="744">
        <v>0</v>
      </c>
      <c r="J434" s="744">
        <v>0</v>
      </c>
      <c r="K434" s="744">
        <v>0</v>
      </c>
      <c r="L434" s="744">
        <v>0</v>
      </c>
      <c r="M434" s="744">
        <v>0</v>
      </c>
      <c r="N434" s="744">
        <v>0</v>
      </c>
      <c r="O434" s="744">
        <v>0</v>
      </c>
      <c r="P434" s="744">
        <v>0</v>
      </c>
      <c r="Q434" s="744">
        <v>0</v>
      </c>
      <c r="R434" s="744">
        <v>0</v>
      </c>
      <c r="S434" s="744">
        <v>0</v>
      </c>
      <c r="T434" s="744">
        <v>0</v>
      </c>
      <c r="U434" s="744">
        <v>0</v>
      </c>
      <c r="V434" s="744">
        <v>0</v>
      </c>
      <c r="W434" s="744">
        <v>0</v>
      </c>
      <c r="X434" s="744">
        <v>0</v>
      </c>
      <c r="Y434" s="240">
        <v>1</v>
      </c>
      <c r="Z434" s="139"/>
    </row>
    <row r="435" spans="1:26" hidden="1" x14ac:dyDescent="0.2">
      <c r="A435" s="252" t="s">
        <v>1101</v>
      </c>
      <c r="B435" s="252"/>
      <c r="C435" s="214" t="s">
        <v>1289</v>
      </c>
      <c r="D435" s="215" t="s">
        <v>1290</v>
      </c>
      <c r="E435" s="201">
        <v>0</v>
      </c>
      <c r="F435" s="201">
        <v>0</v>
      </c>
      <c r="G435" s="201">
        <v>0</v>
      </c>
      <c r="H435" s="201">
        <v>0</v>
      </c>
      <c r="I435" s="201">
        <v>0</v>
      </c>
      <c r="J435" s="201">
        <v>0</v>
      </c>
      <c r="K435" s="201">
        <v>0</v>
      </c>
      <c r="L435" s="201">
        <v>0</v>
      </c>
      <c r="M435" s="201">
        <v>0</v>
      </c>
      <c r="N435" s="201">
        <v>0</v>
      </c>
      <c r="O435" s="201">
        <v>0</v>
      </c>
      <c r="P435" s="201">
        <v>0</v>
      </c>
      <c r="Q435" s="201">
        <v>0</v>
      </c>
      <c r="R435" s="201">
        <v>0</v>
      </c>
      <c r="S435" s="201">
        <v>1</v>
      </c>
      <c r="T435" s="201">
        <v>0</v>
      </c>
      <c r="U435" s="201">
        <v>0</v>
      </c>
      <c r="V435" s="201"/>
      <c r="W435" s="201"/>
      <c r="X435" s="201"/>
      <c r="Y435" s="845">
        <v>1</v>
      </c>
      <c r="Z435" s="139"/>
    </row>
    <row r="436" spans="1:26" hidden="1" x14ac:dyDescent="0.2">
      <c r="A436" s="277" t="s">
        <v>1101</v>
      </c>
      <c r="B436" s="279"/>
      <c r="C436" s="297" t="s">
        <v>1860</v>
      </c>
      <c r="D436" s="196" t="s">
        <v>1861</v>
      </c>
      <c r="E436" s="212">
        <v>0</v>
      </c>
      <c r="F436" s="212">
        <v>8.9915906972427545E-2</v>
      </c>
      <c r="G436" s="212">
        <v>0.91008409302757254</v>
      </c>
      <c r="H436" s="212">
        <v>0</v>
      </c>
      <c r="I436" s="212">
        <v>0</v>
      </c>
      <c r="J436" s="212">
        <v>0</v>
      </c>
      <c r="K436" s="212">
        <v>0</v>
      </c>
      <c r="L436" s="212">
        <v>0</v>
      </c>
      <c r="M436" s="212">
        <v>0</v>
      </c>
      <c r="N436" s="212">
        <v>0</v>
      </c>
      <c r="O436" s="212">
        <v>0</v>
      </c>
      <c r="P436" s="212">
        <v>0</v>
      </c>
      <c r="Q436" s="212">
        <v>0</v>
      </c>
      <c r="R436" s="212">
        <v>0</v>
      </c>
      <c r="S436" s="212">
        <v>0</v>
      </c>
      <c r="T436" s="212">
        <v>0</v>
      </c>
      <c r="U436" s="212">
        <v>0</v>
      </c>
      <c r="V436" s="212">
        <v>0</v>
      </c>
      <c r="W436" s="212">
        <v>0</v>
      </c>
      <c r="X436" s="212"/>
      <c r="Y436" s="204">
        <v>1</v>
      </c>
      <c r="Z436" s="139"/>
    </row>
    <row r="437" spans="1:26" hidden="1" x14ac:dyDescent="0.2">
      <c r="A437" s="244" t="s">
        <v>1101</v>
      </c>
      <c r="B437" s="244"/>
      <c r="C437" s="782" t="s">
        <v>1862</v>
      </c>
      <c r="D437" s="783" t="s">
        <v>1863</v>
      </c>
      <c r="E437" s="207">
        <v>0</v>
      </c>
      <c r="F437" s="784">
        <v>8.9915906972427545E-2</v>
      </c>
      <c r="G437" s="784">
        <v>0.91008409302757254</v>
      </c>
      <c r="H437" s="207">
        <v>0</v>
      </c>
      <c r="I437" s="207">
        <v>0</v>
      </c>
      <c r="J437" s="207">
        <v>0</v>
      </c>
      <c r="K437" s="207">
        <v>0</v>
      </c>
      <c r="L437" s="207">
        <v>0</v>
      </c>
      <c r="M437" s="207">
        <v>0</v>
      </c>
      <c r="N437" s="207">
        <v>0</v>
      </c>
      <c r="O437" s="207">
        <v>0</v>
      </c>
      <c r="P437" s="207">
        <v>0</v>
      </c>
      <c r="Q437" s="207">
        <v>0</v>
      </c>
      <c r="R437" s="207">
        <v>0</v>
      </c>
      <c r="S437" s="207">
        <v>0</v>
      </c>
      <c r="T437" s="207">
        <v>0</v>
      </c>
      <c r="U437" s="207">
        <v>0</v>
      </c>
      <c r="V437" s="207">
        <v>0</v>
      </c>
      <c r="W437" s="207">
        <v>0</v>
      </c>
      <c r="X437" s="207"/>
      <c r="Y437" s="193">
        <v>1</v>
      </c>
      <c r="Z437" s="139"/>
    </row>
    <row r="438" spans="1:26" hidden="1" x14ac:dyDescent="0.2">
      <c r="A438" s="278" t="s">
        <v>1101</v>
      </c>
      <c r="B438" s="278"/>
      <c r="C438" s="208" t="s">
        <v>1864</v>
      </c>
      <c r="D438" s="209" t="s">
        <v>1865</v>
      </c>
      <c r="E438" s="224">
        <v>0</v>
      </c>
      <c r="F438" s="224">
        <v>4.6795482402953788E-2</v>
      </c>
      <c r="G438" s="224">
        <v>8.4257440542528456E-2</v>
      </c>
      <c r="H438" s="224">
        <v>0</v>
      </c>
      <c r="I438" s="224">
        <v>0</v>
      </c>
      <c r="J438" s="224">
        <v>0</v>
      </c>
      <c r="K438" s="224">
        <v>0</v>
      </c>
      <c r="L438" s="224">
        <v>0</v>
      </c>
      <c r="M438" s="224">
        <v>0</v>
      </c>
      <c r="N438" s="224">
        <v>0.59550738748885024</v>
      </c>
      <c r="O438" s="224">
        <v>0</v>
      </c>
      <c r="P438" s="224">
        <v>6.3630192428097421E-2</v>
      </c>
      <c r="Q438" s="224">
        <v>0</v>
      </c>
      <c r="R438" s="224">
        <v>0</v>
      </c>
      <c r="S438" s="224">
        <v>8.5784359060436188E-2</v>
      </c>
      <c r="T438" s="224">
        <v>7.4967029127463378E-2</v>
      </c>
      <c r="U438" s="224">
        <v>4.9058108949670713E-2</v>
      </c>
      <c r="V438" s="224">
        <v>0</v>
      </c>
      <c r="W438" s="224">
        <v>0</v>
      </c>
      <c r="X438" s="224"/>
      <c r="Y438" s="201">
        <v>1</v>
      </c>
      <c r="Z438" s="139"/>
    </row>
    <row r="439" spans="1:26" hidden="1" x14ac:dyDescent="0.2">
      <c r="A439" s="252" t="s">
        <v>1101</v>
      </c>
      <c r="B439" s="252"/>
      <c r="C439" s="205" t="s">
        <v>1866</v>
      </c>
      <c r="D439" s="206" t="s">
        <v>1867</v>
      </c>
      <c r="E439" s="201">
        <v>0</v>
      </c>
      <c r="F439" s="201">
        <v>0.12077567859264102</v>
      </c>
      <c r="G439" s="201">
        <v>0.87922432140735896</v>
      </c>
      <c r="H439" s="201">
        <v>0</v>
      </c>
      <c r="I439" s="201">
        <v>0</v>
      </c>
      <c r="J439" s="201">
        <v>0</v>
      </c>
      <c r="K439" s="201">
        <v>0</v>
      </c>
      <c r="L439" s="201">
        <v>0</v>
      </c>
      <c r="M439" s="201">
        <v>0</v>
      </c>
      <c r="N439" s="201">
        <v>0</v>
      </c>
      <c r="O439" s="201">
        <v>0</v>
      </c>
      <c r="P439" s="201">
        <v>0</v>
      </c>
      <c r="Q439" s="201">
        <v>0</v>
      </c>
      <c r="R439" s="201">
        <v>0</v>
      </c>
      <c r="S439" s="201">
        <v>0</v>
      </c>
      <c r="T439" s="201">
        <v>0</v>
      </c>
      <c r="U439" s="201">
        <v>0</v>
      </c>
      <c r="V439" s="201">
        <v>0</v>
      </c>
      <c r="W439" s="201">
        <v>0</v>
      </c>
      <c r="X439" s="201"/>
      <c r="Y439" s="201">
        <v>1</v>
      </c>
      <c r="Z439" s="139"/>
    </row>
    <row r="440" spans="1:26" hidden="1" x14ac:dyDescent="0.2">
      <c r="A440" s="277" t="s">
        <v>1101</v>
      </c>
      <c r="B440" s="252"/>
      <c r="C440" s="205" t="s">
        <v>1868</v>
      </c>
      <c r="D440" s="206" t="s">
        <v>1869</v>
      </c>
      <c r="E440" s="193">
        <v>0</v>
      </c>
      <c r="F440" s="193">
        <v>0</v>
      </c>
      <c r="G440" s="193">
        <v>0</v>
      </c>
      <c r="H440" s="193">
        <v>0</v>
      </c>
      <c r="I440" s="193">
        <v>1</v>
      </c>
      <c r="J440" s="193">
        <v>0</v>
      </c>
      <c r="K440" s="193">
        <v>0</v>
      </c>
      <c r="L440" s="193">
        <v>0</v>
      </c>
      <c r="M440" s="193">
        <v>0</v>
      </c>
      <c r="N440" s="193">
        <v>0</v>
      </c>
      <c r="O440" s="193">
        <v>0</v>
      </c>
      <c r="P440" s="193">
        <v>0</v>
      </c>
      <c r="Q440" s="193">
        <v>0</v>
      </c>
      <c r="R440" s="193">
        <v>0</v>
      </c>
      <c r="S440" s="193">
        <v>0</v>
      </c>
      <c r="T440" s="193">
        <v>0</v>
      </c>
      <c r="U440" s="193">
        <v>0</v>
      </c>
      <c r="V440" s="193">
        <v>0</v>
      </c>
      <c r="W440" s="193">
        <v>0</v>
      </c>
      <c r="X440" s="193"/>
      <c r="Y440" s="193">
        <v>1</v>
      </c>
      <c r="Z440" s="139"/>
    </row>
    <row r="441" spans="1:26" hidden="1" x14ac:dyDescent="0.2">
      <c r="A441" s="428" t="s">
        <v>2594</v>
      </c>
      <c r="B441" s="427"/>
      <c r="C441" s="258" t="s">
        <v>1291</v>
      </c>
      <c r="D441" s="259" t="s">
        <v>1292</v>
      </c>
      <c r="E441" s="256">
        <v>0</v>
      </c>
      <c r="F441" s="256">
        <v>0</v>
      </c>
      <c r="G441" s="256">
        <v>0</v>
      </c>
      <c r="H441" s="256">
        <v>0</v>
      </c>
      <c r="I441" s="256">
        <v>0</v>
      </c>
      <c r="J441" s="256">
        <v>1</v>
      </c>
      <c r="K441" s="256">
        <v>0</v>
      </c>
      <c r="L441" s="256">
        <v>0</v>
      </c>
      <c r="M441" s="256">
        <v>0</v>
      </c>
      <c r="N441" s="256">
        <v>0</v>
      </c>
      <c r="O441" s="256">
        <v>0</v>
      </c>
      <c r="P441" s="256">
        <v>0</v>
      </c>
      <c r="Q441" s="256">
        <v>0</v>
      </c>
      <c r="R441" s="256">
        <v>0</v>
      </c>
      <c r="S441" s="256">
        <v>0</v>
      </c>
      <c r="T441" s="256">
        <v>0</v>
      </c>
      <c r="U441" s="256">
        <v>0</v>
      </c>
      <c r="V441" s="256"/>
      <c r="W441" s="256"/>
      <c r="X441" s="256"/>
      <c r="Y441" s="849">
        <v>1</v>
      </c>
      <c r="Z441" s="139"/>
    </row>
    <row r="442" spans="1:26" hidden="1" x14ac:dyDescent="0.2">
      <c r="A442" s="270" t="s">
        <v>2814</v>
      </c>
      <c r="B442" s="270"/>
      <c r="C442" s="282" t="s">
        <v>1870</v>
      </c>
      <c r="D442" s="283" t="s">
        <v>1871</v>
      </c>
      <c r="E442" s="240">
        <v>0</v>
      </c>
      <c r="F442" s="240">
        <v>0</v>
      </c>
      <c r="G442" s="240">
        <v>1</v>
      </c>
      <c r="H442" s="240">
        <v>0</v>
      </c>
      <c r="I442" s="240">
        <v>0</v>
      </c>
      <c r="J442" s="240">
        <v>0</v>
      </c>
      <c r="K442" s="240">
        <v>0</v>
      </c>
      <c r="L442" s="240">
        <v>0</v>
      </c>
      <c r="M442" s="240">
        <v>0</v>
      </c>
      <c r="N442" s="240">
        <v>0</v>
      </c>
      <c r="O442" s="240">
        <v>0</v>
      </c>
      <c r="P442" s="240">
        <v>0</v>
      </c>
      <c r="Q442" s="240">
        <v>0</v>
      </c>
      <c r="R442" s="240">
        <v>0</v>
      </c>
      <c r="S442" s="240">
        <v>0</v>
      </c>
      <c r="T442" s="240">
        <v>0</v>
      </c>
      <c r="U442" s="240">
        <v>0</v>
      </c>
      <c r="V442" s="240">
        <v>0</v>
      </c>
      <c r="W442" s="240">
        <v>0</v>
      </c>
      <c r="X442" s="240"/>
      <c r="Y442" s="240">
        <v>1</v>
      </c>
      <c r="Z442" s="139"/>
    </row>
    <row r="443" spans="1:26" hidden="1" x14ac:dyDescent="0.2">
      <c r="A443" s="244" t="s">
        <v>1101</v>
      </c>
      <c r="B443" s="244"/>
      <c r="C443" s="205" t="s">
        <v>1872</v>
      </c>
      <c r="D443" s="206" t="s">
        <v>1873</v>
      </c>
      <c r="E443" s="193">
        <v>0</v>
      </c>
      <c r="F443" s="193">
        <v>0</v>
      </c>
      <c r="G443" s="193">
        <v>0</v>
      </c>
      <c r="H443" s="193">
        <v>0</v>
      </c>
      <c r="I443" s="193">
        <v>0</v>
      </c>
      <c r="J443" s="193">
        <v>1</v>
      </c>
      <c r="K443" s="193">
        <v>0</v>
      </c>
      <c r="L443" s="193">
        <v>0</v>
      </c>
      <c r="M443" s="193">
        <v>0</v>
      </c>
      <c r="N443" s="193">
        <v>0</v>
      </c>
      <c r="O443" s="193">
        <v>0</v>
      </c>
      <c r="P443" s="193">
        <v>0</v>
      </c>
      <c r="Q443" s="193">
        <v>0</v>
      </c>
      <c r="R443" s="193">
        <v>0</v>
      </c>
      <c r="S443" s="193">
        <v>0</v>
      </c>
      <c r="T443" s="193">
        <v>0</v>
      </c>
      <c r="U443" s="193">
        <v>0</v>
      </c>
      <c r="V443" s="193">
        <v>0</v>
      </c>
      <c r="W443" s="193">
        <v>0</v>
      </c>
      <c r="X443" s="193"/>
      <c r="Y443" s="193">
        <v>1</v>
      </c>
      <c r="Z443" s="139"/>
    </row>
    <row r="444" spans="1:26" hidden="1" x14ac:dyDescent="0.2">
      <c r="A444" s="277" t="s">
        <v>1101</v>
      </c>
      <c r="B444" s="278"/>
      <c r="C444" s="230" t="s">
        <v>1293</v>
      </c>
      <c r="D444" s="231" t="s">
        <v>1294</v>
      </c>
      <c r="E444" s="201">
        <v>0</v>
      </c>
      <c r="F444" s="201">
        <v>0</v>
      </c>
      <c r="G444" s="201">
        <v>0</v>
      </c>
      <c r="H444" s="201">
        <v>0</v>
      </c>
      <c r="I444" s="201">
        <v>0</v>
      </c>
      <c r="J444" s="201">
        <v>0</v>
      </c>
      <c r="K444" s="201">
        <v>0</v>
      </c>
      <c r="L444" s="201">
        <v>0</v>
      </c>
      <c r="M444" s="201">
        <v>0</v>
      </c>
      <c r="N444" s="201">
        <v>0</v>
      </c>
      <c r="O444" s="201">
        <v>0</v>
      </c>
      <c r="P444" s="201">
        <v>0</v>
      </c>
      <c r="Q444" s="201">
        <v>0</v>
      </c>
      <c r="R444" s="201">
        <v>0</v>
      </c>
      <c r="S444" s="201">
        <v>0</v>
      </c>
      <c r="T444" s="201">
        <v>1</v>
      </c>
      <c r="U444" s="201">
        <v>0</v>
      </c>
      <c r="V444" s="201"/>
      <c r="W444" s="201"/>
      <c r="X444" s="201"/>
      <c r="Y444" s="845">
        <v>1</v>
      </c>
      <c r="Z444" s="139"/>
    </row>
    <row r="445" spans="1:26" hidden="1" x14ac:dyDescent="0.2">
      <c r="A445" s="277" t="s">
        <v>1101</v>
      </c>
      <c r="B445" s="252"/>
      <c r="C445" s="214" t="s">
        <v>1295</v>
      </c>
      <c r="D445" s="215" t="s">
        <v>1079</v>
      </c>
      <c r="E445" s="193">
        <v>0</v>
      </c>
      <c r="F445" s="193">
        <v>0</v>
      </c>
      <c r="G445" s="193">
        <v>0</v>
      </c>
      <c r="H445" s="193">
        <v>0</v>
      </c>
      <c r="I445" s="193">
        <v>0</v>
      </c>
      <c r="J445" s="193">
        <v>0</v>
      </c>
      <c r="K445" s="193">
        <v>0</v>
      </c>
      <c r="L445" s="193">
        <v>0</v>
      </c>
      <c r="M445" s="193">
        <v>0</v>
      </c>
      <c r="N445" s="193">
        <v>0</v>
      </c>
      <c r="O445" s="193">
        <v>0</v>
      </c>
      <c r="P445" s="193">
        <v>0</v>
      </c>
      <c r="Q445" s="193">
        <v>0</v>
      </c>
      <c r="R445" s="193">
        <v>0</v>
      </c>
      <c r="S445" s="193">
        <v>0</v>
      </c>
      <c r="T445" s="193">
        <v>1</v>
      </c>
      <c r="U445" s="193">
        <v>0</v>
      </c>
      <c r="V445" s="193"/>
      <c r="W445" s="193"/>
      <c r="X445" s="193"/>
      <c r="Y445" s="843">
        <v>1</v>
      </c>
      <c r="Z445" s="139"/>
    </row>
    <row r="446" spans="1:26" hidden="1" x14ac:dyDescent="0.2">
      <c r="A446" s="252" t="s">
        <v>1101</v>
      </c>
      <c r="B446" s="252"/>
      <c r="C446" s="205" t="s">
        <v>1874</v>
      </c>
      <c r="D446" s="206" t="s">
        <v>1875</v>
      </c>
      <c r="E446" s="224">
        <v>1</v>
      </c>
      <c r="F446" s="224">
        <v>0</v>
      </c>
      <c r="G446" s="224">
        <v>0</v>
      </c>
      <c r="H446" s="224">
        <v>0</v>
      </c>
      <c r="I446" s="224">
        <v>0</v>
      </c>
      <c r="J446" s="224">
        <v>0</v>
      </c>
      <c r="K446" s="224">
        <v>0</v>
      </c>
      <c r="L446" s="224">
        <v>0</v>
      </c>
      <c r="M446" s="224">
        <v>0</v>
      </c>
      <c r="N446" s="224">
        <v>0</v>
      </c>
      <c r="O446" s="224">
        <v>0</v>
      </c>
      <c r="P446" s="224">
        <v>0</v>
      </c>
      <c r="Q446" s="224">
        <v>0</v>
      </c>
      <c r="R446" s="224">
        <v>0</v>
      </c>
      <c r="S446" s="224">
        <v>0</v>
      </c>
      <c r="T446" s="224">
        <v>0</v>
      </c>
      <c r="U446" s="224">
        <v>0</v>
      </c>
      <c r="V446" s="224">
        <v>0</v>
      </c>
      <c r="W446" s="224">
        <v>0</v>
      </c>
      <c r="X446" s="224"/>
      <c r="Y446" s="201">
        <v>1</v>
      </c>
      <c r="Z446" s="139"/>
    </row>
    <row r="447" spans="1:26" hidden="1" x14ac:dyDescent="0.2">
      <c r="A447" s="221" t="s">
        <v>2814</v>
      </c>
      <c r="B447" s="221"/>
      <c r="C447" s="234" t="s">
        <v>1876</v>
      </c>
      <c r="D447" s="235" t="s">
        <v>1877</v>
      </c>
      <c r="E447" s="240">
        <v>0</v>
      </c>
      <c r="F447" s="240">
        <v>0</v>
      </c>
      <c r="G447" s="240">
        <v>0</v>
      </c>
      <c r="H447" s="240">
        <v>1</v>
      </c>
      <c r="I447" s="240">
        <v>0</v>
      </c>
      <c r="J447" s="240">
        <v>0</v>
      </c>
      <c r="K447" s="240">
        <v>0</v>
      </c>
      <c r="L447" s="240">
        <v>0</v>
      </c>
      <c r="M447" s="240">
        <v>0</v>
      </c>
      <c r="N447" s="240">
        <v>0</v>
      </c>
      <c r="O447" s="240">
        <v>0</v>
      </c>
      <c r="P447" s="240">
        <v>0</v>
      </c>
      <c r="Q447" s="240">
        <v>0</v>
      </c>
      <c r="R447" s="240">
        <v>0</v>
      </c>
      <c r="S447" s="240">
        <v>0</v>
      </c>
      <c r="T447" s="240">
        <v>0</v>
      </c>
      <c r="U447" s="240">
        <v>0</v>
      </c>
      <c r="V447" s="240">
        <v>0</v>
      </c>
      <c r="W447" s="240">
        <v>0</v>
      </c>
      <c r="X447" s="240"/>
      <c r="Y447" s="240">
        <v>1</v>
      </c>
      <c r="Z447" s="139"/>
    </row>
    <row r="448" spans="1:26" hidden="1" x14ac:dyDescent="0.2">
      <c r="A448" s="252" t="s">
        <v>1101</v>
      </c>
      <c r="B448" s="252"/>
      <c r="C448" s="205" t="s">
        <v>1878</v>
      </c>
      <c r="D448" s="206" t="s">
        <v>1879</v>
      </c>
      <c r="E448" s="224">
        <v>0</v>
      </c>
      <c r="F448" s="224">
        <v>0</v>
      </c>
      <c r="G448" s="224">
        <v>2.5794353523463091E-2</v>
      </c>
      <c r="H448" s="224">
        <v>0</v>
      </c>
      <c r="I448" s="224">
        <v>0</v>
      </c>
      <c r="J448" s="224">
        <v>3.0093412444040273E-2</v>
      </c>
      <c r="K448" s="224">
        <v>0</v>
      </c>
      <c r="L448" s="224">
        <v>0</v>
      </c>
      <c r="M448" s="224">
        <v>0</v>
      </c>
      <c r="N448" s="224">
        <v>0.11718378564630981</v>
      </c>
      <c r="O448" s="224">
        <v>0</v>
      </c>
      <c r="P448" s="224">
        <v>2.7513977091797145E-2</v>
      </c>
      <c r="Q448" s="224">
        <v>0</v>
      </c>
      <c r="R448" s="224">
        <v>0</v>
      </c>
      <c r="S448" s="224">
        <v>5.5261824020162512E-2</v>
      </c>
      <c r="T448" s="224">
        <v>0.14024647938120544</v>
      </c>
      <c r="U448" s="224">
        <v>0.60390616789302165</v>
      </c>
      <c r="V448" s="224">
        <v>0</v>
      </c>
      <c r="W448" s="224">
        <v>0</v>
      </c>
      <c r="X448" s="224"/>
      <c r="Y448" s="201">
        <v>0.99999999999999989</v>
      </c>
      <c r="Z448" s="139"/>
    </row>
    <row r="449" spans="1:26" hidden="1" x14ac:dyDescent="0.2">
      <c r="A449" s="279" t="s">
        <v>1101</v>
      </c>
      <c r="B449" s="279"/>
      <c r="C449" s="195" t="s">
        <v>1880</v>
      </c>
      <c r="D449" s="196" t="s">
        <v>1881</v>
      </c>
      <c r="E449" s="201">
        <v>0</v>
      </c>
      <c r="F449" s="201">
        <v>0</v>
      </c>
      <c r="G449" s="201">
        <v>0</v>
      </c>
      <c r="H449" s="201">
        <v>0</v>
      </c>
      <c r="I449" s="201">
        <v>1</v>
      </c>
      <c r="J449" s="201">
        <v>0</v>
      </c>
      <c r="K449" s="201">
        <v>0</v>
      </c>
      <c r="L449" s="201">
        <v>0</v>
      </c>
      <c r="M449" s="201">
        <v>0</v>
      </c>
      <c r="N449" s="201">
        <v>0</v>
      </c>
      <c r="O449" s="201">
        <v>0</v>
      </c>
      <c r="P449" s="201">
        <v>0</v>
      </c>
      <c r="Q449" s="201">
        <v>0</v>
      </c>
      <c r="R449" s="201">
        <v>0</v>
      </c>
      <c r="S449" s="201">
        <v>0</v>
      </c>
      <c r="T449" s="201">
        <v>0</v>
      </c>
      <c r="U449" s="201">
        <v>0</v>
      </c>
      <c r="V449" s="201">
        <v>0</v>
      </c>
      <c r="W449" s="201">
        <v>0</v>
      </c>
      <c r="X449" s="201"/>
      <c r="Y449" s="201">
        <v>1</v>
      </c>
      <c r="Z449" s="139"/>
    </row>
    <row r="450" spans="1:26" hidden="1" x14ac:dyDescent="0.2">
      <c r="A450" s="244" t="s">
        <v>1101</v>
      </c>
      <c r="B450" s="244"/>
      <c r="C450" s="205" t="s">
        <v>1882</v>
      </c>
      <c r="D450" s="206" t="s">
        <v>1883</v>
      </c>
      <c r="E450" s="193">
        <v>0.70633854034910204</v>
      </c>
      <c r="F450" s="193">
        <v>0</v>
      </c>
      <c r="G450" s="193">
        <v>0</v>
      </c>
      <c r="H450" s="193">
        <v>0</v>
      </c>
      <c r="I450" s="193">
        <v>0</v>
      </c>
      <c r="J450" s="193">
        <v>0</v>
      </c>
      <c r="K450" s="193">
        <v>0</v>
      </c>
      <c r="L450" s="193">
        <v>0.29366145965089807</v>
      </c>
      <c r="M450" s="193">
        <v>0</v>
      </c>
      <c r="N450" s="193">
        <v>0</v>
      </c>
      <c r="O450" s="193">
        <v>0</v>
      </c>
      <c r="P450" s="193">
        <v>0</v>
      </c>
      <c r="Q450" s="193">
        <v>0</v>
      </c>
      <c r="R450" s="193">
        <v>0</v>
      </c>
      <c r="S450" s="193">
        <v>0</v>
      </c>
      <c r="T450" s="193">
        <v>0</v>
      </c>
      <c r="U450" s="193">
        <v>0</v>
      </c>
      <c r="V450" s="193">
        <v>0</v>
      </c>
      <c r="W450" s="193">
        <v>0</v>
      </c>
      <c r="X450" s="193"/>
      <c r="Y450" s="193">
        <v>1</v>
      </c>
      <c r="Z450" s="139"/>
    </row>
    <row r="451" spans="1:26" hidden="1" x14ac:dyDescent="0.2">
      <c r="A451" s="254" t="s">
        <v>2814</v>
      </c>
      <c r="B451" s="254"/>
      <c r="C451" s="293" t="s">
        <v>1884</v>
      </c>
      <c r="D451" s="294" t="s">
        <v>1885</v>
      </c>
      <c r="E451" s="240">
        <v>0</v>
      </c>
      <c r="F451" s="240">
        <v>0</v>
      </c>
      <c r="G451" s="240">
        <v>0</v>
      </c>
      <c r="H451" s="240">
        <v>0.36783797341138008</v>
      </c>
      <c r="I451" s="240">
        <v>0</v>
      </c>
      <c r="J451" s="240">
        <v>0</v>
      </c>
      <c r="K451" s="240">
        <v>0</v>
      </c>
      <c r="L451" s="240">
        <v>0</v>
      </c>
      <c r="M451" s="240">
        <v>0</v>
      </c>
      <c r="N451" s="240">
        <v>0</v>
      </c>
      <c r="O451" s="240">
        <v>0</v>
      </c>
      <c r="P451" s="240">
        <v>0</v>
      </c>
      <c r="Q451" s="240">
        <v>0</v>
      </c>
      <c r="R451" s="240">
        <v>0</v>
      </c>
      <c r="S451" s="240">
        <v>0.63216202658861986</v>
      </c>
      <c r="T451" s="240">
        <v>0</v>
      </c>
      <c r="U451" s="240">
        <v>0</v>
      </c>
      <c r="V451" s="240">
        <v>0</v>
      </c>
      <c r="W451" s="240">
        <v>0</v>
      </c>
      <c r="X451" s="240"/>
      <c r="Y451" s="240">
        <v>1</v>
      </c>
      <c r="Z451" s="139"/>
    </row>
    <row r="452" spans="1:26" hidden="1" x14ac:dyDescent="0.2">
      <c r="A452" s="219" t="s">
        <v>2814</v>
      </c>
      <c r="B452" s="221"/>
      <c r="C452" s="234" t="s">
        <v>1886</v>
      </c>
      <c r="D452" s="235" t="s">
        <v>1887</v>
      </c>
      <c r="E452" s="236">
        <v>0</v>
      </c>
      <c r="F452" s="236">
        <v>0</v>
      </c>
      <c r="G452" s="236">
        <v>0.26286556542595613</v>
      </c>
      <c r="H452" s="236">
        <v>0.21905463788836929</v>
      </c>
      <c r="I452" s="236">
        <v>0</v>
      </c>
      <c r="J452" s="236">
        <v>1.0952731894418465E-2</v>
      </c>
      <c r="K452" s="236">
        <v>0</v>
      </c>
      <c r="L452" s="236">
        <v>0</v>
      </c>
      <c r="M452" s="236">
        <v>0</v>
      </c>
      <c r="N452" s="236">
        <v>0.1655332537889285</v>
      </c>
      <c r="O452" s="236">
        <v>0</v>
      </c>
      <c r="P452" s="236">
        <v>3.2858195683255391E-3</v>
      </c>
      <c r="Q452" s="236">
        <v>0</v>
      </c>
      <c r="R452" s="236">
        <v>0</v>
      </c>
      <c r="S452" s="236">
        <v>0.33830799143400192</v>
      </c>
      <c r="T452" s="236">
        <v>0</v>
      </c>
      <c r="U452" s="236">
        <v>0</v>
      </c>
      <c r="V452" s="236">
        <v>0</v>
      </c>
      <c r="W452" s="236">
        <v>0</v>
      </c>
      <c r="X452" s="236"/>
      <c r="Y452" s="236">
        <v>0.99999999999999978</v>
      </c>
      <c r="Z452" s="139"/>
    </row>
    <row r="453" spans="1:26" hidden="1" x14ac:dyDescent="0.2">
      <c r="A453" s="219" t="s">
        <v>2814</v>
      </c>
      <c r="B453" s="221"/>
      <c r="C453" s="234" t="s">
        <v>1888</v>
      </c>
      <c r="D453" s="235" t="s">
        <v>1889</v>
      </c>
      <c r="E453" s="236">
        <v>0</v>
      </c>
      <c r="F453" s="236">
        <v>0</v>
      </c>
      <c r="G453" s="236">
        <v>0</v>
      </c>
      <c r="H453" s="236">
        <v>0.66666666666666663</v>
      </c>
      <c r="I453" s="236">
        <v>0</v>
      </c>
      <c r="J453" s="236">
        <v>0</v>
      </c>
      <c r="K453" s="236">
        <v>0</v>
      </c>
      <c r="L453" s="236">
        <v>0</v>
      </c>
      <c r="M453" s="236">
        <v>0</v>
      </c>
      <c r="N453" s="236">
        <v>0</v>
      </c>
      <c r="O453" s="236">
        <v>0</v>
      </c>
      <c r="P453" s="236">
        <v>0</v>
      </c>
      <c r="Q453" s="236">
        <v>0</v>
      </c>
      <c r="R453" s="236">
        <v>0</v>
      </c>
      <c r="S453" s="236">
        <v>0.33333333333333331</v>
      </c>
      <c r="T453" s="236">
        <v>0</v>
      </c>
      <c r="U453" s="236">
        <v>0</v>
      </c>
      <c r="V453" s="236">
        <v>0</v>
      </c>
      <c r="W453" s="236">
        <v>0</v>
      </c>
      <c r="X453" s="236"/>
      <c r="Y453" s="236">
        <v>1</v>
      </c>
      <c r="Z453" s="139"/>
    </row>
    <row r="454" spans="1:26" hidden="1" x14ac:dyDescent="0.2">
      <c r="A454" s="746" t="s">
        <v>2599</v>
      </c>
      <c r="B454" s="777"/>
      <c r="C454" s="765" t="s">
        <v>1894</v>
      </c>
      <c r="D454" s="766" t="s">
        <v>1895</v>
      </c>
      <c r="E454" s="744">
        <v>1</v>
      </c>
      <c r="F454" s="744">
        <v>0</v>
      </c>
      <c r="G454" s="744">
        <v>0</v>
      </c>
      <c r="H454" s="744">
        <v>0</v>
      </c>
      <c r="I454" s="744">
        <v>0</v>
      </c>
      <c r="J454" s="744">
        <v>0</v>
      </c>
      <c r="K454" s="744">
        <v>0</v>
      </c>
      <c r="L454" s="744">
        <v>0</v>
      </c>
      <c r="M454" s="744">
        <v>0</v>
      </c>
      <c r="N454" s="744">
        <v>0</v>
      </c>
      <c r="O454" s="744">
        <v>0</v>
      </c>
      <c r="P454" s="744">
        <v>0</v>
      </c>
      <c r="Q454" s="744">
        <v>0</v>
      </c>
      <c r="R454" s="744">
        <v>0</v>
      </c>
      <c r="S454" s="744">
        <v>0</v>
      </c>
      <c r="T454" s="744">
        <v>0</v>
      </c>
      <c r="U454" s="744">
        <v>0</v>
      </c>
      <c r="V454" s="744">
        <v>0</v>
      </c>
      <c r="W454" s="744">
        <v>0</v>
      </c>
      <c r="X454" s="744">
        <v>0</v>
      </c>
      <c r="Y454" s="240">
        <v>1</v>
      </c>
      <c r="Z454" s="139"/>
    </row>
    <row r="455" spans="1:26" hidden="1" x14ac:dyDescent="0.2">
      <c r="A455" s="221" t="s">
        <v>2814</v>
      </c>
      <c r="B455" s="221"/>
      <c r="C455" s="234" t="s">
        <v>1896</v>
      </c>
      <c r="D455" s="235" t="s">
        <v>1897</v>
      </c>
      <c r="E455" s="240">
        <v>0.16999999999999998</v>
      </c>
      <c r="F455" s="240">
        <v>0</v>
      </c>
      <c r="G455" s="240">
        <v>0</v>
      </c>
      <c r="H455" s="240">
        <v>0</v>
      </c>
      <c r="I455" s="240">
        <v>0</v>
      </c>
      <c r="J455" s="240">
        <v>0</v>
      </c>
      <c r="K455" s="240">
        <v>0</v>
      </c>
      <c r="L455" s="240">
        <v>0.83</v>
      </c>
      <c r="M455" s="240">
        <v>0</v>
      </c>
      <c r="N455" s="240">
        <v>0</v>
      </c>
      <c r="O455" s="240">
        <v>0</v>
      </c>
      <c r="P455" s="240">
        <v>0</v>
      </c>
      <c r="Q455" s="240">
        <v>0</v>
      </c>
      <c r="R455" s="240">
        <v>0</v>
      </c>
      <c r="S455" s="240">
        <v>0</v>
      </c>
      <c r="T455" s="240">
        <v>0</v>
      </c>
      <c r="U455" s="240">
        <v>0</v>
      </c>
      <c r="V455" s="240">
        <v>0</v>
      </c>
      <c r="W455" s="240">
        <v>0</v>
      </c>
      <c r="X455" s="240"/>
      <c r="Y455" s="240">
        <v>1</v>
      </c>
      <c r="Z455" s="139"/>
    </row>
    <row r="456" spans="1:26" hidden="1" x14ac:dyDescent="0.2">
      <c r="A456" s="279" t="s">
        <v>1101</v>
      </c>
      <c r="B456" s="279"/>
      <c r="C456" s="195" t="s">
        <v>1900</v>
      </c>
      <c r="D456" s="196" t="s">
        <v>1901</v>
      </c>
      <c r="E456" s="201">
        <v>0</v>
      </c>
      <c r="F456" s="201">
        <v>0</v>
      </c>
      <c r="G456" s="201">
        <v>0</v>
      </c>
      <c r="H456" s="201">
        <v>0</v>
      </c>
      <c r="I456" s="201">
        <v>0</v>
      </c>
      <c r="J456" s="201">
        <v>0</v>
      </c>
      <c r="K456" s="201">
        <v>0</v>
      </c>
      <c r="L456" s="201">
        <v>0</v>
      </c>
      <c r="M456" s="201">
        <v>0</v>
      </c>
      <c r="N456" s="201">
        <v>0.50793337494086443</v>
      </c>
      <c r="O456" s="201">
        <v>0</v>
      </c>
      <c r="P456" s="201">
        <v>0.33742998943622549</v>
      </c>
      <c r="Q456" s="201">
        <v>4.1376236822028484E-2</v>
      </c>
      <c r="R456" s="201">
        <v>0</v>
      </c>
      <c r="S456" s="201">
        <v>0.11326039880088155</v>
      </c>
      <c r="T456" s="201">
        <v>0</v>
      </c>
      <c r="U456" s="201">
        <v>0</v>
      </c>
      <c r="V456" s="201">
        <v>0</v>
      </c>
      <c r="W456" s="201">
        <v>0</v>
      </c>
      <c r="X456" s="201"/>
      <c r="Y456" s="201">
        <v>1</v>
      </c>
      <c r="Z456" s="139"/>
    </row>
    <row r="457" spans="1:26" hidden="1" x14ac:dyDescent="0.2">
      <c r="A457" s="232" t="s">
        <v>2814</v>
      </c>
      <c r="B457" s="232"/>
      <c r="C457" s="234" t="s">
        <v>1902</v>
      </c>
      <c r="D457" s="235" t="s">
        <v>1903</v>
      </c>
      <c r="E457" s="236">
        <v>0</v>
      </c>
      <c r="F457" s="236">
        <v>0</v>
      </c>
      <c r="G457" s="236">
        <v>0</v>
      </c>
      <c r="H457" s="236">
        <v>1</v>
      </c>
      <c r="I457" s="236">
        <v>0</v>
      </c>
      <c r="J457" s="236">
        <v>0</v>
      </c>
      <c r="K457" s="236">
        <v>0</v>
      </c>
      <c r="L457" s="236">
        <v>0</v>
      </c>
      <c r="M457" s="236">
        <v>0</v>
      </c>
      <c r="N457" s="236">
        <v>0</v>
      </c>
      <c r="O457" s="236">
        <v>0</v>
      </c>
      <c r="P457" s="236">
        <v>0</v>
      </c>
      <c r="Q457" s="236">
        <v>0</v>
      </c>
      <c r="R457" s="236">
        <v>0</v>
      </c>
      <c r="S457" s="236">
        <v>0</v>
      </c>
      <c r="T457" s="236">
        <v>0</v>
      </c>
      <c r="U457" s="236">
        <v>0</v>
      </c>
      <c r="V457" s="236">
        <v>0</v>
      </c>
      <c r="W457" s="236">
        <v>0</v>
      </c>
      <c r="X457" s="236"/>
      <c r="Y457" s="236">
        <v>1</v>
      </c>
      <c r="Z457" s="139"/>
    </row>
    <row r="458" spans="1:26" hidden="1" x14ac:dyDescent="0.2">
      <c r="A458" s="232" t="s">
        <v>2814</v>
      </c>
      <c r="B458" s="232"/>
      <c r="C458" s="234" t="s">
        <v>1904</v>
      </c>
      <c r="D458" s="235" t="s">
        <v>1905</v>
      </c>
      <c r="E458" s="236">
        <v>1</v>
      </c>
      <c r="F458" s="236">
        <v>0</v>
      </c>
      <c r="G458" s="236">
        <v>0</v>
      </c>
      <c r="H458" s="236">
        <v>0</v>
      </c>
      <c r="I458" s="236">
        <v>0</v>
      </c>
      <c r="J458" s="236">
        <v>0</v>
      </c>
      <c r="K458" s="236">
        <v>0</v>
      </c>
      <c r="L458" s="236">
        <v>0</v>
      </c>
      <c r="M458" s="236">
        <v>0</v>
      </c>
      <c r="N458" s="236">
        <v>0</v>
      </c>
      <c r="O458" s="236">
        <v>0</v>
      </c>
      <c r="P458" s="236">
        <v>0</v>
      </c>
      <c r="Q458" s="236">
        <v>0</v>
      </c>
      <c r="R458" s="236">
        <v>0</v>
      </c>
      <c r="S458" s="236">
        <v>0</v>
      </c>
      <c r="T458" s="236">
        <v>0</v>
      </c>
      <c r="U458" s="236">
        <v>0</v>
      </c>
      <c r="V458" s="236">
        <v>0</v>
      </c>
      <c r="W458" s="236">
        <v>0</v>
      </c>
      <c r="X458" s="236"/>
      <c r="Y458" s="236">
        <v>1</v>
      </c>
      <c r="Z458" s="139"/>
    </row>
    <row r="459" spans="1:26" hidden="1" x14ac:dyDescent="0.2">
      <c r="A459" s="232" t="s">
        <v>2814</v>
      </c>
      <c r="B459" s="232"/>
      <c r="C459" s="234" t="s">
        <v>2196</v>
      </c>
      <c r="D459" s="235" t="s">
        <v>261</v>
      </c>
      <c r="E459" s="236">
        <v>0</v>
      </c>
      <c r="F459" s="236">
        <v>0</v>
      </c>
      <c r="G459" s="236">
        <v>0</v>
      </c>
      <c r="H459" s="236">
        <v>0</v>
      </c>
      <c r="I459" s="236">
        <v>0</v>
      </c>
      <c r="J459" s="236">
        <v>0</v>
      </c>
      <c r="K459" s="236">
        <v>0</v>
      </c>
      <c r="L459" s="236">
        <v>0</v>
      </c>
      <c r="M459" s="236">
        <v>0</v>
      </c>
      <c r="N459" s="236">
        <v>0</v>
      </c>
      <c r="O459" s="236">
        <v>0</v>
      </c>
      <c r="P459" s="236">
        <v>1</v>
      </c>
      <c r="Q459" s="236">
        <v>0</v>
      </c>
      <c r="R459" s="236">
        <v>0</v>
      </c>
      <c r="S459" s="236">
        <v>0</v>
      </c>
      <c r="T459" s="236">
        <v>0</v>
      </c>
      <c r="U459" s="236">
        <v>0</v>
      </c>
      <c r="V459" s="236">
        <v>0</v>
      </c>
      <c r="W459" s="236">
        <v>0</v>
      </c>
      <c r="X459" s="236"/>
      <c r="Y459" s="236">
        <v>1</v>
      </c>
      <c r="Z459" s="139"/>
    </row>
    <row r="460" spans="1:26" hidden="1" x14ac:dyDescent="0.2">
      <c r="A460" s="232" t="s">
        <v>2814</v>
      </c>
      <c r="B460" s="232"/>
      <c r="C460" s="234" t="s">
        <v>2208</v>
      </c>
      <c r="D460" s="235" t="s">
        <v>263</v>
      </c>
      <c r="E460" s="236">
        <v>0</v>
      </c>
      <c r="F460" s="236">
        <v>0</v>
      </c>
      <c r="G460" s="236">
        <v>0</v>
      </c>
      <c r="H460" s="236">
        <v>0</v>
      </c>
      <c r="I460" s="236">
        <v>0</v>
      </c>
      <c r="J460" s="236">
        <v>0</v>
      </c>
      <c r="K460" s="236">
        <v>0</v>
      </c>
      <c r="L460" s="236">
        <v>0</v>
      </c>
      <c r="M460" s="236">
        <v>0</v>
      </c>
      <c r="N460" s="236">
        <v>0</v>
      </c>
      <c r="O460" s="236">
        <v>0</v>
      </c>
      <c r="P460" s="236">
        <v>0</v>
      </c>
      <c r="Q460" s="236">
        <v>0</v>
      </c>
      <c r="R460" s="236">
        <v>0</v>
      </c>
      <c r="S460" s="236">
        <v>1</v>
      </c>
      <c r="T460" s="236">
        <v>0</v>
      </c>
      <c r="U460" s="236">
        <v>0</v>
      </c>
      <c r="V460" s="236">
        <v>0</v>
      </c>
      <c r="W460" s="236">
        <v>0</v>
      </c>
      <c r="X460" s="236"/>
      <c r="Y460" s="236">
        <v>1</v>
      </c>
      <c r="Z460" s="139"/>
    </row>
    <row r="461" spans="1:26" hidden="1" x14ac:dyDescent="0.2">
      <c r="A461" s="428" t="s">
        <v>2594</v>
      </c>
      <c r="B461" s="311"/>
      <c r="C461" s="434" t="s">
        <v>2191</v>
      </c>
      <c r="D461" s="435" t="s">
        <v>267</v>
      </c>
      <c r="E461" s="260">
        <v>0</v>
      </c>
      <c r="F461" s="260">
        <v>0</v>
      </c>
      <c r="G461" s="260">
        <v>0</v>
      </c>
      <c r="H461" s="260">
        <v>0</v>
      </c>
      <c r="I461" s="260">
        <v>0</v>
      </c>
      <c r="J461" s="260">
        <v>0</v>
      </c>
      <c r="K461" s="260">
        <v>0</v>
      </c>
      <c r="L461" s="260">
        <v>1</v>
      </c>
      <c r="M461" s="260">
        <v>0</v>
      </c>
      <c r="N461" s="260">
        <v>0</v>
      </c>
      <c r="O461" s="260">
        <v>0</v>
      </c>
      <c r="P461" s="260">
        <v>0</v>
      </c>
      <c r="Q461" s="260">
        <v>0</v>
      </c>
      <c r="R461" s="260">
        <v>0</v>
      </c>
      <c r="S461" s="260">
        <v>0</v>
      </c>
      <c r="T461" s="260">
        <v>0</v>
      </c>
      <c r="U461" s="260">
        <v>0</v>
      </c>
      <c r="V461" s="260">
        <v>0</v>
      </c>
      <c r="W461" s="260">
        <v>0</v>
      </c>
      <c r="X461" s="260"/>
      <c r="Y461" s="850">
        <v>1</v>
      </c>
      <c r="Z461" s="139"/>
    </row>
    <row r="462" spans="1:26" hidden="1" x14ac:dyDescent="0.2">
      <c r="A462" s="746" t="s">
        <v>2599</v>
      </c>
      <c r="B462" s="759"/>
      <c r="C462" s="765" t="s">
        <v>1910</v>
      </c>
      <c r="D462" s="766" t="s">
        <v>1911</v>
      </c>
      <c r="E462" s="744">
        <v>0</v>
      </c>
      <c r="F462" s="744">
        <v>0</v>
      </c>
      <c r="G462" s="744">
        <v>0</v>
      </c>
      <c r="H462" s="744">
        <v>1.0000000000000002</v>
      </c>
      <c r="I462" s="744">
        <v>0</v>
      </c>
      <c r="J462" s="744">
        <v>0</v>
      </c>
      <c r="K462" s="744">
        <v>0</v>
      </c>
      <c r="L462" s="744">
        <v>0</v>
      </c>
      <c r="M462" s="744">
        <v>0</v>
      </c>
      <c r="N462" s="744">
        <v>0</v>
      </c>
      <c r="O462" s="744">
        <v>0</v>
      </c>
      <c r="P462" s="744">
        <v>0</v>
      </c>
      <c r="Q462" s="744">
        <v>0</v>
      </c>
      <c r="R462" s="744">
        <v>0</v>
      </c>
      <c r="S462" s="744">
        <v>0</v>
      </c>
      <c r="T462" s="744">
        <v>0</v>
      </c>
      <c r="U462" s="744">
        <v>0</v>
      </c>
      <c r="V462" s="744">
        <v>0</v>
      </c>
      <c r="W462" s="744">
        <v>0</v>
      </c>
      <c r="X462" s="744">
        <v>0</v>
      </c>
      <c r="Y462" s="236">
        <v>1</v>
      </c>
      <c r="Z462" s="139"/>
    </row>
    <row r="463" spans="1:26" hidden="1" x14ac:dyDescent="0.2">
      <c r="A463" s="746" t="s">
        <v>2599</v>
      </c>
      <c r="B463" s="759"/>
      <c r="C463" s="765" t="s">
        <v>1912</v>
      </c>
      <c r="D463" s="766" t="s">
        <v>1913</v>
      </c>
      <c r="E463" s="744">
        <v>0</v>
      </c>
      <c r="F463" s="744">
        <v>0</v>
      </c>
      <c r="G463" s="744">
        <v>0</v>
      </c>
      <c r="H463" s="744">
        <v>0.99999999999999989</v>
      </c>
      <c r="I463" s="744">
        <v>0</v>
      </c>
      <c r="J463" s="744">
        <v>0</v>
      </c>
      <c r="K463" s="744">
        <v>0</v>
      </c>
      <c r="L463" s="744">
        <v>0</v>
      </c>
      <c r="M463" s="744">
        <v>0</v>
      </c>
      <c r="N463" s="744">
        <v>0</v>
      </c>
      <c r="O463" s="744">
        <v>0</v>
      </c>
      <c r="P463" s="744">
        <v>0</v>
      </c>
      <c r="Q463" s="744">
        <v>0</v>
      </c>
      <c r="R463" s="744">
        <v>0</v>
      </c>
      <c r="S463" s="744">
        <v>0</v>
      </c>
      <c r="T463" s="744">
        <v>0</v>
      </c>
      <c r="U463" s="744">
        <v>0</v>
      </c>
      <c r="V463" s="744">
        <v>0</v>
      </c>
      <c r="W463" s="744">
        <v>0</v>
      </c>
      <c r="X463" s="744">
        <v>0</v>
      </c>
      <c r="Y463" s="236">
        <v>1</v>
      </c>
      <c r="Z463" s="139"/>
    </row>
    <row r="464" spans="1:26" hidden="1" x14ac:dyDescent="0.2">
      <c r="A464" s="746" t="s">
        <v>2599</v>
      </c>
      <c r="B464" s="759"/>
      <c r="C464" s="765" t="s">
        <v>1914</v>
      </c>
      <c r="D464" s="766" t="s">
        <v>1915</v>
      </c>
      <c r="E464" s="744">
        <v>0.41640004020760796</v>
      </c>
      <c r="F464" s="744">
        <v>0</v>
      </c>
      <c r="G464" s="744">
        <v>0</v>
      </c>
      <c r="H464" s="744">
        <v>6.3000006083283627E-2</v>
      </c>
      <c r="I464" s="744">
        <v>0</v>
      </c>
      <c r="J464" s="744">
        <v>0</v>
      </c>
      <c r="K464" s="744">
        <v>0</v>
      </c>
      <c r="L464" s="744">
        <v>0.52059995370910839</v>
      </c>
      <c r="M464" s="744">
        <v>0</v>
      </c>
      <c r="N464" s="744">
        <v>0</v>
      </c>
      <c r="O464" s="744">
        <v>0</v>
      </c>
      <c r="P464" s="744">
        <v>0</v>
      </c>
      <c r="Q464" s="744">
        <v>0</v>
      </c>
      <c r="R464" s="744">
        <v>0</v>
      </c>
      <c r="S464" s="744">
        <v>0</v>
      </c>
      <c r="T464" s="744">
        <v>0</v>
      </c>
      <c r="U464" s="744">
        <v>0</v>
      </c>
      <c r="V464" s="744">
        <v>0</v>
      </c>
      <c r="W464" s="744">
        <v>0</v>
      </c>
      <c r="X464" s="744">
        <v>0</v>
      </c>
      <c r="Y464" s="236">
        <v>1</v>
      </c>
      <c r="Z464" s="139"/>
    </row>
    <row r="465" spans="1:26" ht="14.25" hidden="1" customHeight="1" x14ac:dyDescent="0.2">
      <c r="A465" s="746" t="s">
        <v>2599</v>
      </c>
      <c r="B465" s="759"/>
      <c r="C465" s="765" t="s">
        <v>1916</v>
      </c>
      <c r="D465" s="766" t="s">
        <v>1917</v>
      </c>
      <c r="E465" s="744">
        <v>0</v>
      </c>
      <c r="F465" s="744">
        <v>0</v>
      </c>
      <c r="G465" s="744">
        <v>0</v>
      </c>
      <c r="H465" s="744">
        <v>0</v>
      </c>
      <c r="I465" s="744">
        <v>0</v>
      </c>
      <c r="J465" s="744">
        <v>0</v>
      </c>
      <c r="K465" s="744">
        <v>0</v>
      </c>
      <c r="L465" s="744">
        <v>0</v>
      </c>
      <c r="M465" s="744">
        <v>0</v>
      </c>
      <c r="N465" s="744">
        <v>0.85280000058304173</v>
      </c>
      <c r="O465" s="744">
        <v>0</v>
      </c>
      <c r="P465" s="744">
        <v>0</v>
      </c>
      <c r="Q465" s="744">
        <v>0</v>
      </c>
      <c r="R465" s="744">
        <v>0</v>
      </c>
      <c r="S465" s="744">
        <v>6.089999973913509E-2</v>
      </c>
      <c r="T465" s="744">
        <v>8.6299999677823175E-2</v>
      </c>
      <c r="U465" s="744">
        <v>0</v>
      </c>
      <c r="V465" s="744">
        <v>0</v>
      </c>
      <c r="W465" s="744">
        <v>0</v>
      </c>
      <c r="X465" s="744">
        <v>0</v>
      </c>
      <c r="Y465" s="236">
        <v>1</v>
      </c>
      <c r="Z465" s="139"/>
    </row>
    <row r="466" spans="1:26" hidden="1" x14ac:dyDescent="0.2">
      <c r="A466" s="244" t="s">
        <v>1101</v>
      </c>
      <c r="B466" s="244"/>
      <c r="C466" s="205" t="s">
        <v>1918</v>
      </c>
      <c r="D466" s="206" t="s">
        <v>1919</v>
      </c>
      <c r="E466" s="207">
        <v>0</v>
      </c>
      <c r="F466" s="207">
        <v>0</v>
      </c>
      <c r="G466" s="207">
        <v>0</v>
      </c>
      <c r="H466" s="207">
        <v>1</v>
      </c>
      <c r="I466" s="207">
        <v>0</v>
      </c>
      <c r="J466" s="207">
        <v>0</v>
      </c>
      <c r="K466" s="207">
        <v>0</v>
      </c>
      <c r="L466" s="207">
        <v>0</v>
      </c>
      <c r="M466" s="207">
        <v>0</v>
      </c>
      <c r="N466" s="207">
        <v>0</v>
      </c>
      <c r="O466" s="207">
        <v>0</v>
      </c>
      <c r="P466" s="207">
        <v>0</v>
      </c>
      <c r="Q466" s="207">
        <v>0</v>
      </c>
      <c r="R466" s="207">
        <v>0</v>
      </c>
      <c r="S466" s="207">
        <v>0</v>
      </c>
      <c r="T466" s="207">
        <v>0</v>
      </c>
      <c r="U466" s="207">
        <v>0</v>
      </c>
      <c r="V466" s="207">
        <v>0</v>
      </c>
      <c r="W466" s="207">
        <v>0</v>
      </c>
      <c r="X466" s="207"/>
      <c r="Y466" s="193">
        <v>1</v>
      </c>
      <c r="Z466" s="139"/>
    </row>
    <row r="467" spans="1:26" hidden="1" x14ac:dyDescent="0.2">
      <c r="A467" s="232" t="s">
        <v>2814</v>
      </c>
      <c r="B467" s="232"/>
      <c r="C467" s="234" t="s">
        <v>1920</v>
      </c>
      <c r="D467" s="235" t="s">
        <v>870</v>
      </c>
      <c r="E467" s="236">
        <v>0</v>
      </c>
      <c r="F467" s="236">
        <v>0</v>
      </c>
      <c r="G467" s="236">
        <v>0</v>
      </c>
      <c r="H467" s="236">
        <v>1</v>
      </c>
      <c r="I467" s="236">
        <v>0</v>
      </c>
      <c r="J467" s="236">
        <v>0</v>
      </c>
      <c r="K467" s="236">
        <v>0</v>
      </c>
      <c r="L467" s="236">
        <v>0</v>
      </c>
      <c r="M467" s="236">
        <v>0</v>
      </c>
      <c r="N467" s="236">
        <v>0</v>
      </c>
      <c r="O467" s="236">
        <v>0</v>
      </c>
      <c r="P467" s="236">
        <v>0</v>
      </c>
      <c r="Q467" s="236">
        <v>0</v>
      </c>
      <c r="R467" s="236">
        <v>0</v>
      </c>
      <c r="S467" s="236">
        <v>0</v>
      </c>
      <c r="T467" s="236">
        <v>0</v>
      </c>
      <c r="U467" s="236">
        <v>0</v>
      </c>
      <c r="V467" s="236">
        <v>0</v>
      </c>
      <c r="W467" s="236">
        <v>0</v>
      </c>
      <c r="X467" s="236"/>
      <c r="Y467" s="236">
        <v>1</v>
      </c>
      <c r="Z467" s="139"/>
    </row>
    <row r="468" spans="1:26" hidden="1" x14ac:dyDescent="0.2">
      <c r="A468" s="232" t="s">
        <v>2814</v>
      </c>
      <c r="B468" s="232"/>
      <c r="C468" s="234" t="s">
        <v>1925</v>
      </c>
      <c r="D468" s="235" t="s">
        <v>1926</v>
      </c>
      <c r="E468" s="236">
        <v>0</v>
      </c>
      <c r="F468" s="236">
        <v>0</v>
      </c>
      <c r="G468" s="236">
        <v>0</v>
      </c>
      <c r="H468" s="236">
        <v>1</v>
      </c>
      <c r="I468" s="236">
        <v>0</v>
      </c>
      <c r="J468" s="236">
        <v>0</v>
      </c>
      <c r="K468" s="236">
        <v>0</v>
      </c>
      <c r="L468" s="236">
        <v>0</v>
      </c>
      <c r="M468" s="236">
        <v>0</v>
      </c>
      <c r="N468" s="236">
        <v>0</v>
      </c>
      <c r="O468" s="236">
        <v>0</v>
      </c>
      <c r="P468" s="236">
        <v>0</v>
      </c>
      <c r="Q468" s="236">
        <v>0</v>
      </c>
      <c r="R468" s="236">
        <v>0</v>
      </c>
      <c r="S468" s="236">
        <v>0</v>
      </c>
      <c r="T468" s="236">
        <v>0</v>
      </c>
      <c r="U468" s="236">
        <v>0</v>
      </c>
      <c r="V468" s="236">
        <v>0</v>
      </c>
      <c r="W468" s="236">
        <v>0</v>
      </c>
      <c r="X468" s="236"/>
      <c r="Y468" s="236">
        <v>1</v>
      </c>
      <c r="Z468" s="139"/>
    </row>
    <row r="469" spans="1:26" hidden="1" x14ac:dyDescent="0.2">
      <c r="A469" s="254" t="s">
        <v>2814</v>
      </c>
      <c r="B469" s="254"/>
      <c r="C469" s="293" t="s">
        <v>1927</v>
      </c>
      <c r="D469" s="294" t="s">
        <v>864</v>
      </c>
      <c r="E469" s="240">
        <v>0</v>
      </c>
      <c r="F469" s="240">
        <v>0</v>
      </c>
      <c r="G469" s="240">
        <v>0</v>
      </c>
      <c r="H469" s="240">
        <v>1</v>
      </c>
      <c r="I469" s="240">
        <v>0</v>
      </c>
      <c r="J469" s="240">
        <v>0</v>
      </c>
      <c r="K469" s="240">
        <v>0</v>
      </c>
      <c r="L469" s="240">
        <v>0</v>
      </c>
      <c r="M469" s="240">
        <v>0</v>
      </c>
      <c r="N469" s="240">
        <v>0</v>
      </c>
      <c r="O469" s="240">
        <v>0</v>
      </c>
      <c r="P469" s="240">
        <v>0</v>
      </c>
      <c r="Q469" s="240">
        <v>0</v>
      </c>
      <c r="R469" s="240">
        <v>0</v>
      </c>
      <c r="S469" s="240">
        <v>0</v>
      </c>
      <c r="T469" s="240">
        <v>0</v>
      </c>
      <c r="U469" s="240">
        <v>0</v>
      </c>
      <c r="V469" s="240">
        <v>0</v>
      </c>
      <c r="W469" s="240">
        <v>0</v>
      </c>
      <c r="X469" s="240"/>
      <c r="Y469" s="240">
        <v>1</v>
      </c>
      <c r="Z469" s="139"/>
    </row>
    <row r="470" spans="1:26" hidden="1" x14ac:dyDescent="0.2">
      <c r="A470" s="746" t="s">
        <v>2599</v>
      </c>
      <c r="B470" s="777"/>
      <c r="C470" s="765" t="s">
        <v>1928</v>
      </c>
      <c r="D470" s="766" t="s">
        <v>1929</v>
      </c>
      <c r="E470" s="744">
        <v>0.25080021451402257</v>
      </c>
      <c r="F470" s="744">
        <v>0</v>
      </c>
      <c r="G470" s="744">
        <v>0</v>
      </c>
      <c r="H470" s="744">
        <v>0.6762001185874823</v>
      </c>
      <c r="I470" s="744">
        <v>0</v>
      </c>
      <c r="J470" s="744">
        <v>0</v>
      </c>
      <c r="K470" s="744">
        <v>0</v>
      </c>
      <c r="L470" s="744">
        <v>7.2999666898495116E-2</v>
      </c>
      <c r="M470" s="744">
        <v>0</v>
      </c>
      <c r="N470" s="744">
        <v>0</v>
      </c>
      <c r="O470" s="744">
        <v>0</v>
      </c>
      <c r="P470" s="744">
        <v>0</v>
      </c>
      <c r="Q470" s="744">
        <v>0</v>
      </c>
      <c r="R470" s="744">
        <v>0</v>
      </c>
      <c r="S470" s="744">
        <v>0</v>
      </c>
      <c r="T470" s="744">
        <v>0</v>
      </c>
      <c r="U470" s="744">
        <v>0</v>
      </c>
      <c r="V470" s="744">
        <v>0</v>
      </c>
      <c r="W470" s="744">
        <v>0</v>
      </c>
      <c r="X470" s="744">
        <v>0</v>
      </c>
      <c r="Y470" s="240">
        <v>1</v>
      </c>
      <c r="Z470" s="139"/>
    </row>
    <row r="471" spans="1:26" hidden="1" x14ac:dyDescent="0.2">
      <c r="A471" s="252" t="s">
        <v>1101</v>
      </c>
      <c r="B471" s="252"/>
      <c r="C471" s="205" t="s">
        <v>1930</v>
      </c>
      <c r="D471" s="206" t="s">
        <v>1931</v>
      </c>
      <c r="E471" s="224">
        <v>0</v>
      </c>
      <c r="F471" s="224">
        <v>0</v>
      </c>
      <c r="G471" s="224">
        <v>0</v>
      </c>
      <c r="H471" s="224">
        <v>0</v>
      </c>
      <c r="I471" s="224">
        <v>1</v>
      </c>
      <c r="J471" s="224">
        <v>0</v>
      </c>
      <c r="K471" s="224">
        <v>0</v>
      </c>
      <c r="L471" s="224">
        <v>0</v>
      </c>
      <c r="M471" s="224">
        <v>0</v>
      </c>
      <c r="N471" s="224">
        <v>0</v>
      </c>
      <c r="O471" s="224">
        <v>0</v>
      </c>
      <c r="P471" s="224">
        <v>0</v>
      </c>
      <c r="Q471" s="224">
        <v>0</v>
      </c>
      <c r="R471" s="224">
        <v>0</v>
      </c>
      <c r="S471" s="224">
        <v>0</v>
      </c>
      <c r="T471" s="224">
        <v>0</v>
      </c>
      <c r="U471" s="224">
        <v>0</v>
      </c>
      <c r="V471" s="224">
        <v>0</v>
      </c>
      <c r="W471" s="224">
        <v>0</v>
      </c>
      <c r="X471" s="224"/>
      <c r="Y471" s="201">
        <v>1</v>
      </c>
      <c r="Z471" s="139"/>
    </row>
    <row r="472" spans="1:26" hidden="1" x14ac:dyDescent="0.2">
      <c r="A472" s="279" t="s">
        <v>1101</v>
      </c>
      <c r="B472" s="279"/>
      <c r="C472" s="195" t="s">
        <v>1932</v>
      </c>
      <c r="D472" s="196" t="s">
        <v>1933</v>
      </c>
      <c r="E472" s="201">
        <v>0</v>
      </c>
      <c r="F472" s="201">
        <v>0</v>
      </c>
      <c r="G472" s="201">
        <v>0</v>
      </c>
      <c r="H472" s="201">
        <v>0</v>
      </c>
      <c r="I472" s="201">
        <v>1</v>
      </c>
      <c r="J472" s="201">
        <v>0</v>
      </c>
      <c r="K472" s="201">
        <v>0</v>
      </c>
      <c r="L472" s="201">
        <v>0</v>
      </c>
      <c r="M472" s="201">
        <v>0</v>
      </c>
      <c r="N472" s="201">
        <v>0</v>
      </c>
      <c r="O472" s="201">
        <v>0</v>
      </c>
      <c r="P472" s="201">
        <v>0</v>
      </c>
      <c r="Q472" s="201">
        <v>0</v>
      </c>
      <c r="R472" s="201">
        <v>0</v>
      </c>
      <c r="S472" s="201">
        <v>0</v>
      </c>
      <c r="T472" s="201">
        <v>0</v>
      </c>
      <c r="U472" s="201">
        <v>0</v>
      </c>
      <c r="V472" s="201">
        <v>0</v>
      </c>
      <c r="W472" s="201">
        <v>0</v>
      </c>
      <c r="X472" s="201"/>
      <c r="Y472" s="201">
        <v>1</v>
      </c>
      <c r="Z472" s="139"/>
    </row>
    <row r="473" spans="1:26" hidden="1" x14ac:dyDescent="0.2">
      <c r="A473" s="244" t="s">
        <v>1101</v>
      </c>
      <c r="B473" s="244"/>
      <c r="C473" s="205" t="s">
        <v>1934</v>
      </c>
      <c r="D473" s="206" t="s">
        <v>1935</v>
      </c>
      <c r="E473" s="207">
        <v>0</v>
      </c>
      <c r="F473" s="207">
        <v>0</v>
      </c>
      <c r="G473" s="207">
        <v>0</v>
      </c>
      <c r="H473" s="207">
        <v>0</v>
      </c>
      <c r="I473" s="207">
        <v>0</v>
      </c>
      <c r="J473" s="207">
        <v>1</v>
      </c>
      <c r="K473" s="207">
        <v>0</v>
      </c>
      <c r="L473" s="207">
        <v>0</v>
      </c>
      <c r="M473" s="207">
        <v>0</v>
      </c>
      <c r="N473" s="207">
        <v>0</v>
      </c>
      <c r="O473" s="207">
        <v>0</v>
      </c>
      <c r="P473" s="207">
        <v>0</v>
      </c>
      <c r="Q473" s="207">
        <v>0</v>
      </c>
      <c r="R473" s="207">
        <v>0</v>
      </c>
      <c r="S473" s="207">
        <v>0</v>
      </c>
      <c r="T473" s="207">
        <v>0</v>
      </c>
      <c r="U473" s="207">
        <v>0</v>
      </c>
      <c r="V473" s="207">
        <v>0</v>
      </c>
      <c r="W473" s="207">
        <v>0</v>
      </c>
      <c r="X473" s="207"/>
      <c r="Y473" s="193">
        <v>1</v>
      </c>
      <c r="Z473" s="139"/>
    </row>
    <row r="474" spans="1:26" hidden="1" x14ac:dyDescent="0.2">
      <c r="A474" s="244" t="s">
        <v>1101</v>
      </c>
      <c r="B474" s="244"/>
      <c r="C474" s="205" t="s">
        <v>1936</v>
      </c>
      <c r="D474" s="206" t="s">
        <v>1937</v>
      </c>
      <c r="E474" s="193">
        <v>0</v>
      </c>
      <c r="F474" s="193">
        <v>0</v>
      </c>
      <c r="G474" s="193">
        <v>0</v>
      </c>
      <c r="H474" s="193">
        <v>0</v>
      </c>
      <c r="I474" s="193">
        <v>0</v>
      </c>
      <c r="J474" s="193">
        <v>1</v>
      </c>
      <c r="K474" s="193">
        <v>0</v>
      </c>
      <c r="L474" s="193">
        <v>0</v>
      </c>
      <c r="M474" s="193">
        <v>0</v>
      </c>
      <c r="N474" s="193">
        <v>0</v>
      </c>
      <c r="O474" s="193">
        <v>0</v>
      </c>
      <c r="P474" s="193">
        <v>0</v>
      </c>
      <c r="Q474" s="193">
        <v>0</v>
      </c>
      <c r="R474" s="193">
        <v>0</v>
      </c>
      <c r="S474" s="193">
        <v>0</v>
      </c>
      <c r="T474" s="193">
        <v>0</v>
      </c>
      <c r="U474" s="193">
        <v>0</v>
      </c>
      <c r="V474" s="193">
        <v>0</v>
      </c>
      <c r="W474" s="193">
        <v>0</v>
      </c>
      <c r="X474" s="193"/>
      <c r="Y474" s="193">
        <v>1</v>
      </c>
      <c r="Z474" s="139"/>
    </row>
    <row r="475" spans="1:26" hidden="1" x14ac:dyDescent="0.2">
      <c r="A475" s="278" t="s">
        <v>1101</v>
      </c>
      <c r="B475" s="278"/>
      <c r="C475" s="208" t="s">
        <v>1938</v>
      </c>
      <c r="D475" s="209" t="s">
        <v>1939</v>
      </c>
      <c r="E475" s="201">
        <v>0</v>
      </c>
      <c r="F475" s="201">
        <v>0</v>
      </c>
      <c r="G475" s="201">
        <v>0</v>
      </c>
      <c r="H475" s="201">
        <v>0</v>
      </c>
      <c r="I475" s="201">
        <v>1</v>
      </c>
      <c r="J475" s="201">
        <v>0</v>
      </c>
      <c r="K475" s="201">
        <v>0</v>
      </c>
      <c r="L475" s="201">
        <v>0</v>
      </c>
      <c r="M475" s="201">
        <v>0</v>
      </c>
      <c r="N475" s="201">
        <v>0</v>
      </c>
      <c r="O475" s="201">
        <v>0</v>
      </c>
      <c r="P475" s="201">
        <v>0</v>
      </c>
      <c r="Q475" s="201">
        <v>0</v>
      </c>
      <c r="R475" s="201">
        <v>0</v>
      </c>
      <c r="S475" s="201">
        <v>0</v>
      </c>
      <c r="T475" s="201">
        <v>0</v>
      </c>
      <c r="U475" s="201">
        <v>0</v>
      </c>
      <c r="V475" s="201">
        <v>0</v>
      </c>
      <c r="W475" s="201">
        <v>0</v>
      </c>
      <c r="X475" s="201"/>
      <c r="Y475" s="201">
        <v>1</v>
      </c>
      <c r="Z475" s="139"/>
    </row>
    <row r="476" spans="1:26" hidden="1" x14ac:dyDescent="0.2">
      <c r="A476" s="277" t="s">
        <v>1101</v>
      </c>
      <c r="B476" s="252"/>
      <c r="C476" s="205" t="s">
        <v>1940</v>
      </c>
      <c r="D476" s="206" t="s">
        <v>1941</v>
      </c>
      <c r="E476" s="193">
        <v>0</v>
      </c>
      <c r="F476" s="193">
        <v>0</v>
      </c>
      <c r="G476" s="193">
        <v>0</v>
      </c>
      <c r="H476" s="193">
        <v>0</v>
      </c>
      <c r="I476" s="193">
        <v>0.69230769230769229</v>
      </c>
      <c r="J476" s="193">
        <v>0.30769230769230771</v>
      </c>
      <c r="K476" s="193">
        <v>0</v>
      </c>
      <c r="L476" s="193">
        <v>0</v>
      </c>
      <c r="M476" s="193">
        <v>0</v>
      </c>
      <c r="N476" s="193">
        <v>0</v>
      </c>
      <c r="O476" s="193">
        <v>0</v>
      </c>
      <c r="P476" s="193">
        <v>0</v>
      </c>
      <c r="Q476" s="193">
        <v>0</v>
      </c>
      <c r="R476" s="193">
        <v>0</v>
      </c>
      <c r="S476" s="193">
        <v>0</v>
      </c>
      <c r="T476" s="193">
        <v>0</v>
      </c>
      <c r="U476" s="193">
        <v>0</v>
      </c>
      <c r="V476" s="193">
        <v>0</v>
      </c>
      <c r="W476" s="193">
        <v>0</v>
      </c>
      <c r="X476" s="193"/>
      <c r="Y476" s="193">
        <v>1</v>
      </c>
      <c r="Z476" s="139"/>
    </row>
    <row r="477" spans="1:26" hidden="1" x14ac:dyDescent="0.2">
      <c r="A477" s="279" t="s">
        <v>1101</v>
      </c>
      <c r="B477" s="279"/>
      <c r="C477" s="195" t="s">
        <v>1942</v>
      </c>
      <c r="D477" s="196" t="s">
        <v>1943</v>
      </c>
      <c r="E477" s="201">
        <v>0</v>
      </c>
      <c r="F477" s="201">
        <v>0</v>
      </c>
      <c r="G477" s="201">
        <v>0</v>
      </c>
      <c r="H477" s="201">
        <v>0</v>
      </c>
      <c r="I477" s="201">
        <v>0.60407606774444378</v>
      </c>
      <c r="J477" s="201">
        <v>0.39592393225555633</v>
      </c>
      <c r="K477" s="201">
        <v>0</v>
      </c>
      <c r="L477" s="201">
        <v>0</v>
      </c>
      <c r="M477" s="201">
        <v>0</v>
      </c>
      <c r="N477" s="201">
        <v>0</v>
      </c>
      <c r="O477" s="201">
        <v>0</v>
      </c>
      <c r="P477" s="201">
        <v>0</v>
      </c>
      <c r="Q477" s="201">
        <v>0</v>
      </c>
      <c r="R477" s="201">
        <v>0</v>
      </c>
      <c r="S477" s="201">
        <v>0</v>
      </c>
      <c r="T477" s="201">
        <v>0</v>
      </c>
      <c r="U477" s="201">
        <v>0</v>
      </c>
      <c r="V477" s="201">
        <v>0</v>
      </c>
      <c r="W477" s="201">
        <v>0</v>
      </c>
      <c r="X477" s="201"/>
      <c r="Y477" s="201">
        <v>1</v>
      </c>
      <c r="Z477" s="139"/>
    </row>
    <row r="478" spans="1:26" hidden="1" x14ac:dyDescent="0.2">
      <c r="A478" s="244" t="s">
        <v>1101</v>
      </c>
      <c r="B478" s="244"/>
      <c r="C478" s="205" t="s">
        <v>1944</v>
      </c>
      <c r="D478" s="206" t="s">
        <v>1945</v>
      </c>
      <c r="E478" s="193">
        <v>0</v>
      </c>
      <c r="F478" s="193">
        <v>0</v>
      </c>
      <c r="G478" s="193">
        <v>0</v>
      </c>
      <c r="H478" s="193">
        <v>0</v>
      </c>
      <c r="I478" s="193">
        <v>0</v>
      </c>
      <c r="J478" s="193">
        <v>1</v>
      </c>
      <c r="K478" s="193">
        <v>0</v>
      </c>
      <c r="L478" s="193">
        <v>0</v>
      </c>
      <c r="M478" s="193">
        <v>0</v>
      </c>
      <c r="N478" s="193">
        <v>0</v>
      </c>
      <c r="O478" s="193">
        <v>0</v>
      </c>
      <c r="P478" s="193">
        <v>0</v>
      </c>
      <c r="Q478" s="193">
        <v>0</v>
      </c>
      <c r="R478" s="193">
        <v>0</v>
      </c>
      <c r="S478" s="193">
        <v>0</v>
      </c>
      <c r="T478" s="193">
        <v>0</v>
      </c>
      <c r="U478" s="193">
        <v>0</v>
      </c>
      <c r="V478" s="193">
        <v>0</v>
      </c>
      <c r="W478" s="193">
        <v>0</v>
      </c>
      <c r="X478" s="193"/>
      <c r="Y478" s="193">
        <v>1</v>
      </c>
      <c r="Z478" s="139"/>
    </row>
    <row r="479" spans="1:26" hidden="1" x14ac:dyDescent="0.2">
      <c r="A479" s="277" t="s">
        <v>1101</v>
      </c>
      <c r="B479" s="278"/>
      <c r="C479" s="208" t="s">
        <v>1946</v>
      </c>
      <c r="D479" s="209" t="s">
        <v>1947</v>
      </c>
      <c r="E479" s="201">
        <v>0</v>
      </c>
      <c r="F479" s="201">
        <v>0</v>
      </c>
      <c r="G479" s="201">
        <v>0</v>
      </c>
      <c r="H479" s="201">
        <v>0</v>
      </c>
      <c r="I479" s="201">
        <v>0</v>
      </c>
      <c r="J479" s="201">
        <v>1</v>
      </c>
      <c r="K479" s="201">
        <v>0</v>
      </c>
      <c r="L479" s="201">
        <v>0</v>
      </c>
      <c r="M479" s="201">
        <v>0</v>
      </c>
      <c r="N479" s="201">
        <v>0</v>
      </c>
      <c r="O479" s="201">
        <v>0</v>
      </c>
      <c r="P479" s="201">
        <v>0</v>
      </c>
      <c r="Q479" s="201">
        <v>0</v>
      </c>
      <c r="R479" s="201">
        <v>0</v>
      </c>
      <c r="S479" s="201">
        <v>0</v>
      </c>
      <c r="T479" s="201">
        <v>0</v>
      </c>
      <c r="U479" s="201">
        <v>0</v>
      </c>
      <c r="V479" s="201">
        <v>0</v>
      </c>
      <c r="W479" s="201">
        <v>0</v>
      </c>
      <c r="X479" s="201"/>
      <c r="Y479" s="201">
        <v>1</v>
      </c>
      <c r="Z479" s="139"/>
    </row>
    <row r="480" spans="1:26" hidden="1" x14ac:dyDescent="0.2">
      <c r="A480" s="277" t="s">
        <v>1101</v>
      </c>
      <c r="B480" s="279"/>
      <c r="C480" s="195" t="s">
        <v>1948</v>
      </c>
      <c r="D480" s="196" t="s">
        <v>1949</v>
      </c>
      <c r="E480" s="204">
        <v>0</v>
      </c>
      <c r="F480" s="204">
        <v>0</v>
      </c>
      <c r="G480" s="204">
        <v>0</v>
      </c>
      <c r="H480" s="204">
        <v>0</v>
      </c>
      <c r="I480" s="204">
        <v>0</v>
      </c>
      <c r="J480" s="204">
        <v>1</v>
      </c>
      <c r="K480" s="204">
        <v>0</v>
      </c>
      <c r="L480" s="204">
        <v>0</v>
      </c>
      <c r="M480" s="204">
        <v>0</v>
      </c>
      <c r="N480" s="204">
        <v>0</v>
      </c>
      <c r="O480" s="204">
        <v>0</v>
      </c>
      <c r="P480" s="204">
        <v>0</v>
      </c>
      <c r="Q480" s="204">
        <v>0</v>
      </c>
      <c r="R480" s="204">
        <v>0</v>
      </c>
      <c r="S480" s="204">
        <v>0</v>
      </c>
      <c r="T480" s="204">
        <v>0</v>
      </c>
      <c r="U480" s="204">
        <v>0</v>
      </c>
      <c r="V480" s="204">
        <v>0</v>
      </c>
      <c r="W480" s="204">
        <v>0</v>
      </c>
      <c r="X480" s="204"/>
      <c r="Y480" s="204">
        <v>1</v>
      </c>
      <c r="Z480" s="139"/>
    </row>
    <row r="481" spans="1:26" ht="22.5" hidden="1" x14ac:dyDescent="0.2">
      <c r="A481" s="244" t="s">
        <v>1101</v>
      </c>
      <c r="B481" s="244"/>
      <c r="C481" s="205" t="s">
        <v>1950</v>
      </c>
      <c r="D481" s="206" t="s">
        <v>1951</v>
      </c>
      <c r="E481" s="207">
        <v>0</v>
      </c>
      <c r="F481" s="207">
        <v>0</v>
      </c>
      <c r="G481" s="207">
        <v>0</v>
      </c>
      <c r="H481" s="207">
        <v>0</v>
      </c>
      <c r="I481" s="207">
        <v>0</v>
      </c>
      <c r="J481" s="207">
        <v>1</v>
      </c>
      <c r="K481" s="207">
        <v>0</v>
      </c>
      <c r="L481" s="207">
        <v>0</v>
      </c>
      <c r="M481" s="207">
        <v>0</v>
      </c>
      <c r="N481" s="207">
        <v>0</v>
      </c>
      <c r="O481" s="207">
        <v>0</v>
      </c>
      <c r="P481" s="207">
        <v>0</v>
      </c>
      <c r="Q481" s="207">
        <v>0</v>
      </c>
      <c r="R481" s="207">
        <v>0</v>
      </c>
      <c r="S481" s="207">
        <v>0</v>
      </c>
      <c r="T481" s="207">
        <v>0</v>
      </c>
      <c r="U481" s="207">
        <v>0</v>
      </c>
      <c r="V481" s="207">
        <v>0</v>
      </c>
      <c r="W481" s="207">
        <v>0</v>
      </c>
      <c r="X481" s="207"/>
      <c r="Y481" s="193">
        <v>1</v>
      </c>
      <c r="Z481" s="139"/>
    </row>
    <row r="482" spans="1:26" hidden="1" x14ac:dyDescent="0.2">
      <c r="A482" s="278" t="s">
        <v>1101</v>
      </c>
      <c r="B482" s="278"/>
      <c r="C482" s="208" t="s">
        <v>1952</v>
      </c>
      <c r="D482" s="209" t="s">
        <v>1953</v>
      </c>
      <c r="E482" s="224">
        <v>0</v>
      </c>
      <c r="F482" s="224">
        <v>0</v>
      </c>
      <c r="G482" s="224">
        <v>0</v>
      </c>
      <c r="H482" s="224">
        <v>0</v>
      </c>
      <c r="I482" s="224">
        <v>0</v>
      </c>
      <c r="J482" s="224">
        <v>0</v>
      </c>
      <c r="K482" s="224">
        <v>0</v>
      </c>
      <c r="L482" s="224">
        <v>0</v>
      </c>
      <c r="M482" s="224">
        <v>0</v>
      </c>
      <c r="N482" s="224">
        <v>0.31430392290324588</v>
      </c>
      <c r="O482" s="224">
        <v>0</v>
      </c>
      <c r="P482" s="224">
        <v>0.10532732968387327</v>
      </c>
      <c r="Q482" s="224">
        <v>6.6745935601196099E-3</v>
      </c>
      <c r="R482" s="224">
        <v>0</v>
      </c>
      <c r="S482" s="224">
        <v>9.2353272113366386E-2</v>
      </c>
      <c r="T482" s="224">
        <v>0.48134088173939493</v>
      </c>
      <c r="U482" s="224">
        <v>0</v>
      </c>
      <c r="V482" s="224">
        <v>0</v>
      </c>
      <c r="W482" s="224">
        <v>0</v>
      </c>
      <c r="X482" s="224"/>
      <c r="Y482" s="201">
        <v>1</v>
      </c>
      <c r="Z482" s="139"/>
    </row>
    <row r="483" spans="1:26" hidden="1" x14ac:dyDescent="0.2">
      <c r="A483" s="746" t="s">
        <v>2599</v>
      </c>
      <c r="B483" s="777"/>
      <c r="C483" s="765" t="s">
        <v>1954</v>
      </c>
      <c r="D483" s="766" t="s">
        <v>1955</v>
      </c>
      <c r="E483" s="744">
        <v>0</v>
      </c>
      <c r="F483" s="744">
        <v>0</v>
      </c>
      <c r="G483" s="744">
        <v>0</v>
      </c>
      <c r="H483" s="744">
        <v>1.350013968396223E-2</v>
      </c>
      <c r="I483" s="744">
        <v>0</v>
      </c>
      <c r="J483" s="744">
        <v>0</v>
      </c>
      <c r="K483" s="744">
        <v>0</v>
      </c>
      <c r="L483" s="744">
        <v>0.98649986031603776</v>
      </c>
      <c r="M483" s="744">
        <v>0</v>
      </c>
      <c r="N483" s="744">
        <v>0</v>
      </c>
      <c r="O483" s="744">
        <v>0</v>
      </c>
      <c r="P483" s="744">
        <v>0</v>
      </c>
      <c r="Q483" s="744">
        <v>0</v>
      </c>
      <c r="R483" s="744">
        <v>0</v>
      </c>
      <c r="S483" s="744">
        <v>0</v>
      </c>
      <c r="T483" s="744">
        <v>0</v>
      </c>
      <c r="U483" s="744">
        <v>0</v>
      </c>
      <c r="V483" s="744">
        <v>0</v>
      </c>
      <c r="W483" s="744">
        <v>0</v>
      </c>
      <c r="X483" s="744">
        <v>0</v>
      </c>
      <c r="Y483" s="240">
        <v>1</v>
      </c>
      <c r="Z483" s="139"/>
    </row>
    <row r="484" spans="1:26" hidden="1" x14ac:dyDescent="0.2">
      <c r="A484" s="221" t="s">
        <v>2814</v>
      </c>
      <c r="B484" s="221"/>
      <c r="C484" s="234" t="s">
        <v>1956</v>
      </c>
      <c r="D484" s="235" t="s">
        <v>1957</v>
      </c>
      <c r="E484" s="240">
        <v>0</v>
      </c>
      <c r="F484" s="240">
        <v>0</v>
      </c>
      <c r="G484" s="240">
        <v>0</v>
      </c>
      <c r="H484" s="240">
        <v>1</v>
      </c>
      <c r="I484" s="240">
        <v>0</v>
      </c>
      <c r="J484" s="240">
        <v>0</v>
      </c>
      <c r="K484" s="240">
        <v>0</v>
      </c>
      <c r="L484" s="240">
        <v>0</v>
      </c>
      <c r="M484" s="240">
        <v>0</v>
      </c>
      <c r="N484" s="240">
        <v>0</v>
      </c>
      <c r="O484" s="240">
        <v>0</v>
      </c>
      <c r="P484" s="240">
        <v>0</v>
      </c>
      <c r="Q484" s="240">
        <v>0</v>
      </c>
      <c r="R484" s="240">
        <v>0</v>
      </c>
      <c r="S484" s="240">
        <v>0</v>
      </c>
      <c r="T484" s="240">
        <v>0</v>
      </c>
      <c r="U484" s="240">
        <v>0</v>
      </c>
      <c r="V484" s="240">
        <v>0</v>
      </c>
      <c r="W484" s="240">
        <v>0</v>
      </c>
      <c r="X484" s="240"/>
      <c r="Y484" s="240">
        <v>1</v>
      </c>
      <c r="Z484" s="139"/>
    </row>
    <row r="485" spans="1:26" hidden="1" x14ac:dyDescent="0.2">
      <c r="A485" s="221" t="s">
        <v>2814</v>
      </c>
      <c r="B485" s="221"/>
      <c r="C485" s="234" t="s">
        <v>1958</v>
      </c>
      <c r="D485" s="235" t="s">
        <v>1959</v>
      </c>
      <c r="E485" s="240">
        <v>0</v>
      </c>
      <c r="F485" s="240">
        <v>0</v>
      </c>
      <c r="G485" s="240">
        <v>0</v>
      </c>
      <c r="H485" s="240">
        <v>0</v>
      </c>
      <c r="I485" s="240">
        <v>0</v>
      </c>
      <c r="J485" s="240">
        <v>0</v>
      </c>
      <c r="K485" s="240">
        <v>0</v>
      </c>
      <c r="L485" s="240">
        <v>0</v>
      </c>
      <c r="M485" s="240">
        <v>0</v>
      </c>
      <c r="N485" s="240">
        <v>4.2203107165187555E-2</v>
      </c>
      <c r="O485" s="240">
        <v>0</v>
      </c>
      <c r="P485" s="240">
        <v>2.5238272968515992E-2</v>
      </c>
      <c r="Q485" s="240">
        <v>0</v>
      </c>
      <c r="R485" s="240">
        <v>0</v>
      </c>
      <c r="S485" s="240">
        <v>0.9325586198662964</v>
      </c>
      <c r="T485" s="240">
        <v>0</v>
      </c>
      <c r="U485" s="240">
        <v>0</v>
      </c>
      <c r="V485" s="240">
        <v>0</v>
      </c>
      <c r="W485" s="240">
        <v>0</v>
      </c>
      <c r="X485" s="240"/>
      <c r="Y485" s="240">
        <v>1</v>
      </c>
      <c r="Z485" s="139"/>
    </row>
    <row r="486" spans="1:26" hidden="1" x14ac:dyDescent="0.2">
      <c r="A486" s="221" t="s">
        <v>2814</v>
      </c>
      <c r="B486" s="221"/>
      <c r="C486" s="234" t="s">
        <v>1960</v>
      </c>
      <c r="D486" s="235" t="s">
        <v>3154</v>
      </c>
      <c r="E486" s="240">
        <v>0</v>
      </c>
      <c r="F486" s="240">
        <v>0</v>
      </c>
      <c r="G486" s="240">
        <v>0</v>
      </c>
      <c r="H486" s="785">
        <v>1</v>
      </c>
      <c r="I486" s="240">
        <v>0</v>
      </c>
      <c r="J486" s="240">
        <v>0</v>
      </c>
      <c r="K486" s="240">
        <v>0</v>
      </c>
      <c r="L486" s="240">
        <v>0</v>
      </c>
      <c r="M486" s="240">
        <v>0</v>
      </c>
      <c r="N486" s="240">
        <v>0</v>
      </c>
      <c r="O486" s="240">
        <v>0</v>
      </c>
      <c r="P486" s="240">
        <v>0</v>
      </c>
      <c r="Q486" s="240">
        <v>0</v>
      </c>
      <c r="R486" s="240">
        <v>0</v>
      </c>
      <c r="S486" s="240">
        <v>0</v>
      </c>
      <c r="T486" s="785">
        <v>0</v>
      </c>
      <c r="U486" s="240">
        <v>0</v>
      </c>
      <c r="V486" s="240">
        <v>0</v>
      </c>
      <c r="W486" s="240">
        <v>0</v>
      </c>
      <c r="X486" s="240"/>
      <c r="Y486" s="240">
        <v>1</v>
      </c>
      <c r="Z486" s="139"/>
    </row>
    <row r="487" spans="1:26" hidden="1" x14ac:dyDescent="0.2">
      <c r="A487" s="428" t="s">
        <v>2594</v>
      </c>
      <c r="B487" s="320"/>
      <c r="C487" s="436" t="s">
        <v>1320</v>
      </c>
      <c r="D487" s="437" t="s">
        <v>294</v>
      </c>
      <c r="E487" s="274"/>
      <c r="F487" s="274"/>
      <c r="G487" s="274"/>
      <c r="H487" s="274"/>
      <c r="I487" s="274"/>
      <c r="J487" s="274"/>
      <c r="K487" s="274"/>
      <c r="L487" s="274">
        <v>1</v>
      </c>
      <c r="M487" s="274"/>
      <c r="N487" s="274"/>
      <c r="O487" s="274"/>
      <c r="P487" s="274"/>
      <c r="Q487" s="274"/>
      <c r="R487" s="274"/>
      <c r="S487" s="274"/>
      <c r="T487" s="274"/>
      <c r="U487" s="274"/>
      <c r="V487" s="274"/>
      <c r="W487" s="274"/>
      <c r="X487" s="274"/>
      <c r="Y487" s="849">
        <v>1</v>
      </c>
      <c r="Z487" s="139"/>
    </row>
    <row r="488" spans="1:26" hidden="1" x14ac:dyDescent="0.2">
      <c r="A488" s="244" t="s">
        <v>1101</v>
      </c>
      <c r="B488" s="244"/>
      <c r="C488" s="205" t="s">
        <v>1961</v>
      </c>
      <c r="D488" s="206" t="s">
        <v>1962</v>
      </c>
      <c r="E488" s="193">
        <v>0</v>
      </c>
      <c r="F488" s="193">
        <v>0</v>
      </c>
      <c r="G488" s="193">
        <v>0</v>
      </c>
      <c r="H488" s="193">
        <v>0</v>
      </c>
      <c r="I488" s="193">
        <v>0.75924007821256401</v>
      </c>
      <c r="J488" s="193">
        <v>0.24075992178743608</v>
      </c>
      <c r="K488" s="193">
        <v>0</v>
      </c>
      <c r="L488" s="193">
        <v>0</v>
      </c>
      <c r="M488" s="193">
        <v>0</v>
      </c>
      <c r="N488" s="193">
        <v>0</v>
      </c>
      <c r="O488" s="193">
        <v>0</v>
      </c>
      <c r="P488" s="193">
        <v>0</v>
      </c>
      <c r="Q488" s="193">
        <v>0</v>
      </c>
      <c r="R488" s="193">
        <v>0</v>
      </c>
      <c r="S488" s="193">
        <v>0</v>
      </c>
      <c r="T488" s="193">
        <v>0</v>
      </c>
      <c r="U488" s="193">
        <v>0</v>
      </c>
      <c r="V488" s="193">
        <v>0</v>
      </c>
      <c r="W488" s="193">
        <v>0</v>
      </c>
      <c r="X488" s="193"/>
      <c r="Y488" s="193">
        <v>1</v>
      </c>
      <c r="Z488" s="139"/>
    </row>
    <row r="489" spans="1:26" hidden="1" x14ac:dyDescent="0.2">
      <c r="A489" s="254" t="s">
        <v>2814</v>
      </c>
      <c r="B489" s="254"/>
      <c r="C489" s="293" t="s">
        <v>1963</v>
      </c>
      <c r="D489" s="294" t="s">
        <v>1964</v>
      </c>
      <c r="E489" s="240">
        <v>0</v>
      </c>
      <c r="F489" s="240">
        <v>0</v>
      </c>
      <c r="G489" s="240">
        <v>0</v>
      </c>
      <c r="H489" s="240">
        <v>0</v>
      </c>
      <c r="I489" s="240">
        <v>0.97373609774783831</v>
      </c>
      <c r="J489" s="240">
        <v>0</v>
      </c>
      <c r="K489" s="240">
        <v>0</v>
      </c>
      <c r="L489" s="240">
        <v>0</v>
      </c>
      <c r="M489" s="240">
        <v>0</v>
      </c>
      <c r="N489" s="240">
        <v>0</v>
      </c>
      <c r="O489" s="240">
        <v>0</v>
      </c>
      <c r="P489" s="240">
        <v>0</v>
      </c>
      <c r="Q489" s="240">
        <v>0</v>
      </c>
      <c r="R489" s="240">
        <v>0</v>
      </c>
      <c r="S489" s="240">
        <v>0</v>
      </c>
      <c r="T489" s="240">
        <v>0</v>
      </c>
      <c r="U489" s="240">
        <v>2.6263902252161648E-2</v>
      </c>
      <c r="V489" s="240">
        <v>0</v>
      </c>
      <c r="W489" s="240">
        <v>0</v>
      </c>
      <c r="X489" s="240"/>
      <c r="Y489" s="240">
        <v>1</v>
      </c>
      <c r="Z489" s="139"/>
    </row>
    <row r="490" spans="1:26" hidden="1" x14ac:dyDescent="0.2">
      <c r="A490" s="221" t="s">
        <v>2814</v>
      </c>
      <c r="B490" s="221"/>
      <c r="C490" s="299" t="s">
        <v>1628</v>
      </c>
      <c r="D490" s="287" t="s">
        <v>1629</v>
      </c>
      <c r="E490" s="240">
        <v>0</v>
      </c>
      <c r="F490" s="240">
        <v>6.1964896088506402E-2</v>
      </c>
      <c r="G490" s="240">
        <v>5.4494281362593038E-2</v>
      </c>
      <c r="H490" s="240">
        <v>0</v>
      </c>
      <c r="I490" s="240">
        <v>0</v>
      </c>
      <c r="J490" s="240">
        <v>0</v>
      </c>
      <c r="K490" s="240">
        <v>0</v>
      </c>
      <c r="L490" s="240">
        <v>0</v>
      </c>
      <c r="M490" s="240">
        <v>0</v>
      </c>
      <c r="N490" s="240">
        <v>0.24221734498616548</v>
      </c>
      <c r="O490" s="240">
        <v>9.7043934357867928E-2</v>
      </c>
      <c r="P490" s="240">
        <v>0.15321047939897878</v>
      </c>
      <c r="Q490" s="240">
        <v>2.6842882536562928E-2</v>
      </c>
      <c r="R490" s="240">
        <v>0</v>
      </c>
      <c r="S490" s="240">
        <v>0.35000553995792844</v>
      </c>
      <c r="T490" s="240">
        <v>1.4220641311396925E-2</v>
      </c>
      <c r="U490" s="240">
        <v>0</v>
      </c>
      <c r="V490" s="240">
        <v>0</v>
      </c>
      <c r="W490" s="240">
        <v>0</v>
      </c>
      <c r="X490" s="240"/>
      <c r="Y490" s="240">
        <v>0.99999999999999989</v>
      </c>
      <c r="Z490" s="139"/>
    </row>
    <row r="491" spans="1:26" hidden="1" x14ac:dyDescent="0.2">
      <c r="A491" s="252" t="s">
        <v>1101</v>
      </c>
      <c r="B491" s="252"/>
      <c r="C491" s="205" t="s">
        <v>2192</v>
      </c>
      <c r="D491" s="206" t="s">
        <v>2193</v>
      </c>
      <c r="E491" s="201">
        <v>0</v>
      </c>
      <c r="F491" s="201">
        <v>0</v>
      </c>
      <c r="G491" s="201">
        <v>0</v>
      </c>
      <c r="H491" s="201">
        <v>0</v>
      </c>
      <c r="I491" s="201">
        <v>0</v>
      </c>
      <c r="J491" s="201">
        <v>0</v>
      </c>
      <c r="K491" s="201">
        <v>0</v>
      </c>
      <c r="L491" s="201">
        <v>0</v>
      </c>
      <c r="M491" s="201">
        <v>0</v>
      </c>
      <c r="N491" s="201">
        <v>0</v>
      </c>
      <c r="O491" s="201">
        <v>0</v>
      </c>
      <c r="P491" s="201">
        <v>0</v>
      </c>
      <c r="Q491" s="201">
        <v>0</v>
      </c>
      <c r="R491" s="201">
        <v>0</v>
      </c>
      <c r="S491" s="201">
        <v>0</v>
      </c>
      <c r="T491" s="201">
        <v>1</v>
      </c>
      <c r="U491" s="201">
        <v>0</v>
      </c>
      <c r="V491" s="201">
        <v>0</v>
      </c>
      <c r="W491" s="201">
        <v>0</v>
      </c>
      <c r="X491" s="201"/>
      <c r="Y491" s="845">
        <v>1</v>
      </c>
      <c r="Z491" s="139"/>
    </row>
    <row r="492" spans="1:26" hidden="1" x14ac:dyDescent="0.2">
      <c r="A492" s="428" t="s">
        <v>2594</v>
      </c>
      <c r="B492" s="427"/>
      <c r="C492" s="315" t="s">
        <v>2226</v>
      </c>
      <c r="D492" s="316" t="s">
        <v>307</v>
      </c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>
        <v>0.5</v>
      </c>
      <c r="P492" s="256">
        <v>0.5</v>
      </c>
      <c r="Q492" s="256"/>
      <c r="R492" s="256"/>
      <c r="S492" s="256"/>
      <c r="T492" s="256"/>
      <c r="U492" s="256"/>
      <c r="V492" s="256"/>
      <c r="W492" s="256"/>
      <c r="X492" s="256"/>
      <c r="Y492" s="256">
        <v>1</v>
      </c>
      <c r="Z492" s="139"/>
    </row>
    <row r="493" spans="1:26" hidden="1" x14ac:dyDescent="0.2">
      <c r="A493" s="221" t="s">
        <v>2814</v>
      </c>
      <c r="B493" s="221"/>
      <c r="C493" s="300" t="s">
        <v>2197</v>
      </c>
      <c r="D493" s="235" t="s">
        <v>309</v>
      </c>
      <c r="E493" s="240">
        <v>0</v>
      </c>
      <c r="F493" s="240">
        <v>0</v>
      </c>
      <c r="G493" s="240">
        <v>0</v>
      </c>
      <c r="H493" s="240">
        <v>0</v>
      </c>
      <c r="I493" s="240">
        <v>0</v>
      </c>
      <c r="J493" s="240">
        <v>0</v>
      </c>
      <c r="K493" s="240">
        <v>0</v>
      </c>
      <c r="L493" s="240">
        <v>0</v>
      </c>
      <c r="M493" s="240">
        <v>0</v>
      </c>
      <c r="N493" s="240">
        <v>0</v>
      </c>
      <c r="O493" s="240">
        <v>0</v>
      </c>
      <c r="P493" s="240">
        <v>1</v>
      </c>
      <c r="Q493" s="240">
        <v>0</v>
      </c>
      <c r="R493" s="240">
        <v>0</v>
      </c>
      <c r="S493" s="240">
        <v>0</v>
      </c>
      <c r="T493" s="240">
        <v>0</v>
      </c>
      <c r="U493" s="240">
        <v>0</v>
      </c>
      <c r="V493" s="240">
        <v>0</v>
      </c>
      <c r="W493" s="240">
        <v>0</v>
      </c>
      <c r="X493" s="240"/>
      <c r="Y493" s="240">
        <v>1</v>
      </c>
      <c r="Z493" s="139"/>
    </row>
    <row r="494" spans="1:26" hidden="1" x14ac:dyDescent="0.2">
      <c r="A494" s="221" t="s">
        <v>2814</v>
      </c>
      <c r="B494" s="219"/>
      <c r="C494" s="234" t="s">
        <v>2202</v>
      </c>
      <c r="D494" s="235" t="s">
        <v>311</v>
      </c>
      <c r="E494" s="240">
        <v>0</v>
      </c>
      <c r="F494" s="240">
        <v>0</v>
      </c>
      <c r="G494" s="240">
        <v>0</v>
      </c>
      <c r="H494" s="240">
        <v>0</v>
      </c>
      <c r="I494" s="240">
        <v>0</v>
      </c>
      <c r="J494" s="240">
        <v>0</v>
      </c>
      <c r="K494" s="240">
        <v>0</v>
      </c>
      <c r="L494" s="240">
        <v>0</v>
      </c>
      <c r="M494" s="240">
        <v>0</v>
      </c>
      <c r="N494" s="240">
        <v>0</v>
      </c>
      <c r="O494" s="240">
        <v>0</v>
      </c>
      <c r="P494" s="240">
        <v>0</v>
      </c>
      <c r="Q494" s="240">
        <v>0</v>
      </c>
      <c r="R494" s="240">
        <v>0</v>
      </c>
      <c r="S494" s="240">
        <v>1</v>
      </c>
      <c r="T494" s="240">
        <v>0</v>
      </c>
      <c r="U494" s="240">
        <v>0</v>
      </c>
      <c r="V494" s="240">
        <v>0</v>
      </c>
      <c r="W494" s="240">
        <v>0</v>
      </c>
      <c r="X494" s="240"/>
      <c r="Y494" s="240">
        <v>1</v>
      </c>
      <c r="Z494" s="139"/>
    </row>
    <row r="495" spans="1:26" hidden="1" x14ac:dyDescent="0.2">
      <c r="A495" s="221" t="s">
        <v>2814</v>
      </c>
      <c r="B495" s="221"/>
      <c r="C495" s="234" t="s">
        <v>1967</v>
      </c>
      <c r="D495" s="235" t="s">
        <v>1968</v>
      </c>
      <c r="E495" s="240">
        <v>0</v>
      </c>
      <c r="F495" s="240">
        <v>0</v>
      </c>
      <c r="G495" s="240">
        <v>1</v>
      </c>
      <c r="H495" s="240">
        <v>0</v>
      </c>
      <c r="I495" s="240">
        <v>0</v>
      </c>
      <c r="J495" s="240">
        <v>0</v>
      </c>
      <c r="K495" s="240">
        <v>0</v>
      </c>
      <c r="L495" s="240">
        <v>0</v>
      </c>
      <c r="M495" s="240">
        <v>0</v>
      </c>
      <c r="N495" s="240">
        <v>0</v>
      </c>
      <c r="O495" s="240">
        <v>0</v>
      </c>
      <c r="P495" s="240">
        <v>0</v>
      </c>
      <c r="Q495" s="240">
        <v>0</v>
      </c>
      <c r="R495" s="240">
        <v>0</v>
      </c>
      <c r="S495" s="240">
        <v>0</v>
      </c>
      <c r="T495" s="240">
        <v>0</v>
      </c>
      <c r="U495" s="240">
        <v>0</v>
      </c>
      <c r="V495" s="240">
        <v>0</v>
      </c>
      <c r="W495" s="240">
        <v>0</v>
      </c>
      <c r="X495" s="240"/>
      <c r="Y495" s="240">
        <v>1</v>
      </c>
      <c r="Z495" s="139"/>
    </row>
    <row r="496" spans="1:26" hidden="1" x14ac:dyDescent="0.2">
      <c r="A496" s="746" t="s">
        <v>2599</v>
      </c>
      <c r="B496" s="786"/>
      <c r="C496" s="787" t="s">
        <v>1969</v>
      </c>
      <c r="D496" s="788" t="s">
        <v>1970</v>
      </c>
      <c r="E496" s="744">
        <v>0.23145583814612966</v>
      </c>
      <c r="F496" s="744">
        <v>0</v>
      </c>
      <c r="G496" s="744">
        <v>0</v>
      </c>
      <c r="H496" s="744">
        <v>1.4758935024653808E-2</v>
      </c>
      <c r="I496" s="744">
        <v>0</v>
      </c>
      <c r="J496" s="744">
        <v>0</v>
      </c>
      <c r="K496" s="744">
        <v>0</v>
      </c>
      <c r="L496" s="744">
        <v>0.75378522682921656</v>
      </c>
      <c r="M496" s="744">
        <v>0</v>
      </c>
      <c r="N496" s="744">
        <v>0</v>
      </c>
      <c r="O496" s="744">
        <v>0</v>
      </c>
      <c r="P496" s="744">
        <v>0</v>
      </c>
      <c r="Q496" s="744">
        <v>0</v>
      </c>
      <c r="R496" s="744">
        <v>0</v>
      </c>
      <c r="S496" s="744">
        <v>0</v>
      </c>
      <c r="T496" s="744">
        <v>0</v>
      </c>
      <c r="U496" s="744">
        <v>0</v>
      </c>
      <c r="V496" s="744">
        <v>0</v>
      </c>
      <c r="W496" s="744">
        <v>0</v>
      </c>
      <c r="X496" s="744">
        <v>0</v>
      </c>
      <c r="Y496" s="240">
        <v>1</v>
      </c>
      <c r="Z496" s="139"/>
    </row>
    <row r="497" spans="1:26" hidden="1" x14ac:dyDescent="0.2">
      <c r="A497" s="232" t="s">
        <v>2814</v>
      </c>
      <c r="B497" s="232"/>
      <c r="C497" s="234" t="s">
        <v>1971</v>
      </c>
      <c r="D497" s="235" t="s">
        <v>1972</v>
      </c>
      <c r="E497" s="236">
        <v>0</v>
      </c>
      <c r="F497" s="236">
        <v>0</v>
      </c>
      <c r="G497" s="236">
        <v>0</v>
      </c>
      <c r="H497" s="236">
        <v>0</v>
      </c>
      <c r="I497" s="236">
        <v>0</v>
      </c>
      <c r="J497" s="236">
        <v>0</v>
      </c>
      <c r="K497" s="236">
        <v>0</v>
      </c>
      <c r="L497" s="236">
        <v>1</v>
      </c>
      <c r="M497" s="236">
        <v>0</v>
      </c>
      <c r="N497" s="236">
        <v>0</v>
      </c>
      <c r="O497" s="236">
        <v>0</v>
      </c>
      <c r="P497" s="236">
        <v>0</v>
      </c>
      <c r="Q497" s="236">
        <v>0</v>
      </c>
      <c r="R497" s="236">
        <v>0</v>
      </c>
      <c r="S497" s="236">
        <v>0</v>
      </c>
      <c r="T497" s="236">
        <v>0</v>
      </c>
      <c r="U497" s="236">
        <v>0</v>
      </c>
      <c r="V497" s="236">
        <v>0</v>
      </c>
      <c r="W497" s="236">
        <v>0</v>
      </c>
      <c r="X497" s="236"/>
      <c r="Y497" s="236">
        <v>1</v>
      </c>
      <c r="Z497" s="139"/>
    </row>
    <row r="498" spans="1:26" hidden="1" x14ac:dyDescent="0.2">
      <c r="A498" s="219" t="s">
        <v>2814</v>
      </c>
      <c r="B498" s="254"/>
      <c r="C498" s="293" t="s">
        <v>1973</v>
      </c>
      <c r="D498" s="294" t="s">
        <v>1974</v>
      </c>
      <c r="E498" s="789">
        <v>0</v>
      </c>
      <c r="F498" s="789">
        <v>0</v>
      </c>
      <c r="G498" s="789">
        <v>1.5300002508827838E-2</v>
      </c>
      <c r="H498" s="789">
        <v>0</v>
      </c>
      <c r="I498" s="789">
        <v>0</v>
      </c>
      <c r="J498" s="789">
        <v>0</v>
      </c>
      <c r="K498" s="789">
        <v>0</v>
      </c>
      <c r="L498" s="789">
        <v>0</v>
      </c>
      <c r="M498" s="789">
        <v>0</v>
      </c>
      <c r="N498" s="789">
        <v>1.7399990279961919E-2</v>
      </c>
      <c r="O498" s="789">
        <v>0</v>
      </c>
      <c r="P498" s="789">
        <v>0</v>
      </c>
      <c r="Q498" s="789">
        <v>0</v>
      </c>
      <c r="R498" s="789">
        <v>0</v>
      </c>
      <c r="S498" s="789">
        <v>0</v>
      </c>
      <c r="T498" s="789">
        <v>0.96730000721121023</v>
      </c>
      <c r="U498" s="789">
        <v>0</v>
      </c>
      <c r="V498" s="789">
        <v>0</v>
      </c>
      <c r="W498" s="789">
        <v>0</v>
      </c>
      <c r="X498" s="240"/>
      <c r="Y498" s="240">
        <v>1</v>
      </c>
      <c r="Z498" s="139"/>
    </row>
    <row r="499" spans="1:26" hidden="1" x14ac:dyDescent="0.2">
      <c r="A499" s="252" t="s">
        <v>1101</v>
      </c>
      <c r="B499" s="252"/>
      <c r="C499" s="205" t="s">
        <v>1975</v>
      </c>
      <c r="D499" s="206" t="s">
        <v>1976</v>
      </c>
      <c r="E499" s="201">
        <v>0</v>
      </c>
      <c r="F499" s="201">
        <v>0</v>
      </c>
      <c r="G499" s="201">
        <v>0</v>
      </c>
      <c r="H499" s="201">
        <v>0</v>
      </c>
      <c r="I499" s="201">
        <v>0</v>
      </c>
      <c r="J499" s="201">
        <v>0</v>
      </c>
      <c r="K499" s="201">
        <v>0</v>
      </c>
      <c r="L499" s="201">
        <v>0</v>
      </c>
      <c r="M499" s="201">
        <v>0</v>
      </c>
      <c r="N499" s="201">
        <v>0</v>
      </c>
      <c r="O499" s="201">
        <v>0</v>
      </c>
      <c r="P499" s="201">
        <v>0</v>
      </c>
      <c r="Q499" s="201">
        <v>0</v>
      </c>
      <c r="R499" s="201">
        <v>0</v>
      </c>
      <c r="S499" s="201">
        <v>0</v>
      </c>
      <c r="T499" s="201">
        <v>1</v>
      </c>
      <c r="U499" s="201">
        <v>0</v>
      </c>
      <c r="V499" s="201">
        <v>0</v>
      </c>
      <c r="W499" s="201">
        <v>0</v>
      </c>
      <c r="X499" s="201"/>
      <c r="Y499" s="201">
        <v>1</v>
      </c>
      <c r="Z499" s="139"/>
    </row>
    <row r="500" spans="1:26" hidden="1" x14ac:dyDescent="0.2">
      <c r="A500" s="219" t="s">
        <v>2814</v>
      </c>
      <c r="B500" s="270"/>
      <c r="C500" s="282" t="s">
        <v>1977</v>
      </c>
      <c r="D500" s="283" t="s">
        <v>1978</v>
      </c>
      <c r="E500" s="284">
        <v>0</v>
      </c>
      <c r="F500" s="284">
        <v>0</v>
      </c>
      <c r="G500" s="284">
        <v>0</v>
      </c>
      <c r="H500" s="284">
        <v>1</v>
      </c>
      <c r="I500" s="284">
        <v>0</v>
      </c>
      <c r="J500" s="284">
        <v>0</v>
      </c>
      <c r="K500" s="284">
        <v>0</v>
      </c>
      <c r="L500" s="284">
        <v>0</v>
      </c>
      <c r="M500" s="284">
        <v>0</v>
      </c>
      <c r="N500" s="284">
        <v>0</v>
      </c>
      <c r="O500" s="284">
        <v>0</v>
      </c>
      <c r="P500" s="284">
        <v>0</v>
      </c>
      <c r="Q500" s="284">
        <v>0</v>
      </c>
      <c r="R500" s="284">
        <v>0</v>
      </c>
      <c r="S500" s="284">
        <v>0</v>
      </c>
      <c r="T500" s="284">
        <v>0</v>
      </c>
      <c r="U500" s="284">
        <v>0</v>
      </c>
      <c r="V500" s="284">
        <v>0</v>
      </c>
      <c r="W500" s="284">
        <v>0</v>
      </c>
      <c r="X500" s="284"/>
      <c r="Y500" s="284">
        <v>1</v>
      </c>
      <c r="Z500" s="139"/>
    </row>
    <row r="501" spans="1:26" hidden="1" x14ac:dyDescent="0.2">
      <c r="A501" s="232" t="s">
        <v>2814</v>
      </c>
      <c r="B501" s="232"/>
      <c r="C501" s="234" t="s">
        <v>1979</v>
      </c>
      <c r="D501" s="235" t="s">
        <v>1980</v>
      </c>
      <c r="E501" s="236">
        <v>0</v>
      </c>
      <c r="F501" s="236">
        <v>0</v>
      </c>
      <c r="G501" s="236">
        <v>0</v>
      </c>
      <c r="H501" s="236">
        <v>1</v>
      </c>
      <c r="I501" s="236">
        <v>0</v>
      </c>
      <c r="J501" s="236">
        <v>0</v>
      </c>
      <c r="K501" s="236">
        <v>0</v>
      </c>
      <c r="L501" s="236">
        <v>0</v>
      </c>
      <c r="M501" s="236">
        <v>0</v>
      </c>
      <c r="N501" s="236">
        <v>0</v>
      </c>
      <c r="O501" s="236">
        <v>0</v>
      </c>
      <c r="P501" s="236">
        <v>0</v>
      </c>
      <c r="Q501" s="236">
        <v>0</v>
      </c>
      <c r="R501" s="236">
        <v>0</v>
      </c>
      <c r="S501" s="236">
        <v>0</v>
      </c>
      <c r="T501" s="236">
        <v>0</v>
      </c>
      <c r="U501" s="236">
        <v>0</v>
      </c>
      <c r="V501" s="236">
        <v>0</v>
      </c>
      <c r="W501" s="236">
        <v>0</v>
      </c>
      <c r="X501" s="236"/>
      <c r="Y501" s="236">
        <v>1</v>
      </c>
      <c r="Z501" s="139"/>
    </row>
    <row r="502" spans="1:26" hidden="1" x14ac:dyDescent="0.2">
      <c r="A502" s="254" t="s">
        <v>2814</v>
      </c>
      <c r="B502" s="254"/>
      <c r="C502" s="293" t="s">
        <v>1981</v>
      </c>
      <c r="D502" s="294" t="s">
        <v>1982</v>
      </c>
      <c r="E502" s="240">
        <v>0</v>
      </c>
      <c r="F502" s="240">
        <v>0</v>
      </c>
      <c r="G502" s="240">
        <v>0</v>
      </c>
      <c r="H502" s="240">
        <v>1</v>
      </c>
      <c r="I502" s="240">
        <v>0</v>
      </c>
      <c r="J502" s="240">
        <v>0</v>
      </c>
      <c r="K502" s="240">
        <v>0</v>
      </c>
      <c r="L502" s="240">
        <v>0</v>
      </c>
      <c r="M502" s="240">
        <v>0</v>
      </c>
      <c r="N502" s="240">
        <v>0</v>
      </c>
      <c r="O502" s="240">
        <v>0</v>
      </c>
      <c r="P502" s="240">
        <v>0</v>
      </c>
      <c r="Q502" s="240">
        <v>0</v>
      </c>
      <c r="R502" s="240">
        <v>0</v>
      </c>
      <c r="S502" s="240">
        <v>0</v>
      </c>
      <c r="T502" s="240">
        <v>0</v>
      </c>
      <c r="U502" s="240">
        <v>0</v>
      </c>
      <c r="V502" s="240">
        <v>0</v>
      </c>
      <c r="W502" s="240">
        <v>0</v>
      </c>
      <c r="X502" s="240"/>
      <c r="Y502" s="240">
        <v>1</v>
      </c>
      <c r="Z502" s="139"/>
    </row>
    <row r="503" spans="1:26" hidden="1" x14ac:dyDescent="0.2">
      <c r="A503" s="221" t="s">
        <v>2814</v>
      </c>
      <c r="B503" s="221"/>
      <c r="C503" s="234" t="s">
        <v>1983</v>
      </c>
      <c r="D503" s="235" t="s">
        <v>1984</v>
      </c>
      <c r="E503" s="240">
        <v>0</v>
      </c>
      <c r="F503" s="240">
        <v>0</v>
      </c>
      <c r="G503" s="240">
        <v>0</v>
      </c>
      <c r="H503" s="240">
        <v>1</v>
      </c>
      <c r="I503" s="240">
        <v>0</v>
      </c>
      <c r="J503" s="240">
        <v>0</v>
      </c>
      <c r="K503" s="240">
        <v>0</v>
      </c>
      <c r="L503" s="240">
        <v>0</v>
      </c>
      <c r="M503" s="240">
        <v>0</v>
      </c>
      <c r="N503" s="240">
        <v>0</v>
      </c>
      <c r="O503" s="240">
        <v>0</v>
      </c>
      <c r="P503" s="240">
        <v>0</v>
      </c>
      <c r="Q503" s="240">
        <v>0</v>
      </c>
      <c r="R503" s="240">
        <v>0</v>
      </c>
      <c r="S503" s="240">
        <v>0</v>
      </c>
      <c r="T503" s="240">
        <v>0</v>
      </c>
      <c r="U503" s="240">
        <v>0</v>
      </c>
      <c r="V503" s="240">
        <v>0</v>
      </c>
      <c r="W503" s="240">
        <v>0</v>
      </c>
      <c r="X503" s="240"/>
      <c r="Y503" s="240">
        <v>1</v>
      </c>
      <c r="Z503" s="139"/>
    </row>
    <row r="504" spans="1:26" hidden="1" x14ac:dyDescent="0.2">
      <c r="A504" s="270" t="s">
        <v>2814</v>
      </c>
      <c r="B504" s="270"/>
      <c r="C504" s="282" t="s">
        <v>1985</v>
      </c>
      <c r="D504" s="283" t="s">
        <v>1986</v>
      </c>
      <c r="E504" s="240">
        <v>0</v>
      </c>
      <c r="F504" s="240">
        <v>0</v>
      </c>
      <c r="G504" s="240">
        <v>0</v>
      </c>
      <c r="H504" s="240">
        <v>1</v>
      </c>
      <c r="I504" s="240">
        <v>0</v>
      </c>
      <c r="J504" s="240">
        <v>0</v>
      </c>
      <c r="K504" s="240">
        <v>0</v>
      </c>
      <c r="L504" s="240">
        <v>0</v>
      </c>
      <c r="M504" s="240">
        <v>0</v>
      </c>
      <c r="N504" s="240">
        <v>0</v>
      </c>
      <c r="O504" s="240">
        <v>0</v>
      </c>
      <c r="P504" s="240">
        <v>0</v>
      </c>
      <c r="Q504" s="240">
        <v>0</v>
      </c>
      <c r="R504" s="240">
        <v>0</v>
      </c>
      <c r="S504" s="240">
        <v>0</v>
      </c>
      <c r="T504" s="240">
        <v>0</v>
      </c>
      <c r="U504" s="240">
        <v>0</v>
      </c>
      <c r="V504" s="240">
        <v>0</v>
      </c>
      <c r="W504" s="240">
        <v>0</v>
      </c>
      <c r="X504" s="240"/>
      <c r="Y504" s="240">
        <v>1</v>
      </c>
      <c r="Z504" s="139"/>
    </row>
    <row r="505" spans="1:26" hidden="1" x14ac:dyDescent="0.2">
      <c r="A505" s="232" t="s">
        <v>2814</v>
      </c>
      <c r="B505" s="285"/>
      <c r="C505" s="234" t="s">
        <v>1987</v>
      </c>
      <c r="D505" s="235" t="s">
        <v>1988</v>
      </c>
      <c r="E505" s="236">
        <v>0</v>
      </c>
      <c r="F505" s="236">
        <v>0</v>
      </c>
      <c r="G505" s="236">
        <v>0</v>
      </c>
      <c r="H505" s="236">
        <v>1</v>
      </c>
      <c r="I505" s="236">
        <v>0</v>
      </c>
      <c r="J505" s="236">
        <v>0</v>
      </c>
      <c r="K505" s="236">
        <v>0</v>
      </c>
      <c r="L505" s="236">
        <v>0</v>
      </c>
      <c r="M505" s="236">
        <v>0</v>
      </c>
      <c r="N505" s="236">
        <v>0</v>
      </c>
      <c r="O505" s="236">
        <v>0</v>
      </c>
      <c r="P505" s="236">
        <v>0</v>
      </c>
      <c r="Q505" s="236">
        <v>0</v>
      </c>
      <c r="R505" s="236">
        <v>0</v>
      </c>
      <c r="S505" s="236">
        <v>0</v>
      </c>
      <c r="T505" s="236">
        <v>0</v>
      </c>
      <c r="U505" s="236">
        <v>0</v>
      </c>
      <c r="V505" s="236">
        <v>0</v>
      </c>
      <c r="W505" s="236">
        <v>0</v>
      </c>
      <c r="X505" s="236"/>
      <c r="Y505" s="236">
        <v>1</v>
      </c>
      <c r="Z505" s="139"/>
    </row>
    <row r="506" spans="1:26" hidden="1" x14ac:dyDescent="0.2">
      <c r="A506" s="232" t="s">
        <v>2814</v>
      </c>
      <c r="B506" s="232"/>
      <c r="C506" s="234" t="s">
        <v>1989</v>
      </c>
      <c r="D506" s="235" t="s">
        <v>1990</v>
      </c>
      <c r="E506" s="236">
        <v>0</v>
      </c>
      <c r="F506" s="236">
        <v>0</v>
      </c>
      <c r="G506" s="236">
        <v>0</v>
      </c>
      <c r="H506" s="236">
        <v>1</v>
      </c>
      <c r="I506" s="236">
        <v>0</v>
      </c>
      <c r="J506" s="236">
        <v>0</v>
      </c>
      <c r="K506" s="236">
        <v>0</v>
      </c>
      <c r="L506" s="236">
        <v>0</v>
      </c>
      <c r="M506" s="236">
        <v>0</v>
      </c>
      <c r="N506" s="236">
        <v>0</v>
      </c>
      <c r="O506" s="236">
        <v>0</v>
      </c>
      <c r="P506" s="236">
        <v>0</v>
      </c>
      <c r="Q506" s="236">
        <v>0</v>
      </c>
      <c r="R506" s="236">
        <v>0</v>
      </c>
      <c r="S506" s="236">
        <v>0</v>
      </c>
      <c r="T506" s="236">
        <v>0</v>
      </c>
      <c r="U506" s="236">
        <v>0</v>
      </c>
      <c r="V506" s="236">
        <v>0</v>
      </c>
      <c r="W506" s="236">
        <v>0</v>
      </c>
      <c r="X506" s="236"/>
      <c r="Y506" s="236">
        <v>1</v>
      </c>
      <c r="Z506" s="139"/>
    </row>
    <row r="507" spans="1:26" hidden="1" x14ac:dyDescent="0.2">
      <c r="A507" s="238" t="s">
        <v>2814</v>
      </c>
      <c r="B507" s="238"/>
      <c r="C507" s="295" t="s">
        <v>1991</v>
      </c>
      <c r="D507" s="296" t="s">
        <v>1992</v>
      </c>
      <c r="E507" s="240">
        <v>0</v>
      </c>
      <c r="F507" s="240">
        <v>0</v>
      </c>
      <c r="G507" s="240">
        <v>0</v>
      </c>
      <c r="H507" s="240">
        <v>1</v>
      </c>
      <c r="I507" s="240">
        <v>0</v>
      </c>
      <c r="J507" s="240">
        <v>0</v>
      </c>
      <c r="K507" s="240">
        <v>0</v>
      </c>
      <c r="L507" s="240">
        <v>0</v>
      </c>
      <c r="M507" s="240">
        <v>0</v>
      </c>
      <c r="N507" s="240">
        <v>0</v>
      </c>
      <c r="O507" s="240">
        <v>0</v>
      </c>
      <c r="P507" s="240">
        <v>0</v>
      </c>
      <c r="Q507" s="240">
        <v>0</v>
      </c>
      <c r="R507" s="240">
        <v>0</v>
      </c>
      <c r="S507" s="240">
        <v>0</v>
      </c>
      <c r="T507" s="240">
        <v>0</v>
      </c>
      <c r="U507" s="240">
        <v>0</v>
      </c>
      <c r="V507" s="240">
        <v>0</v>
      </c>
      <c r="W507" s="240">
        <v>0</v>
      </c>
      <c r="X507" s="240"/>
      <c r="Y507" s="240">
        <v>1</v>
      </c>
      <c r="Z507" s="139"/>
    </row>
    <row r="508" spans="1:26" hidden="1" x14ac:dyDescent="0.2">
      <c r="A508" s="244" t="s">
        <v>1101</v>
      </c>
      <c r="B508" s="245">
        <v>42247</v>
      </c>
      <c r="C508" s="205" t="s">
        <v>1993</v>
      </c>
      <c r="D508" s="206" t="s">
        <v>1994</v>
      </c>
      <c r="E508" s="207">
        <v>0</v>
      </c>
      <c r="F508" s="207">
        <v>0.11034956693841842</v>
      </c>
      <c r="G508" s="207">
        <v>0.88965043306158165</v>
      </c>
      <c r="H508" s="207">
        <v>0</v>
      </c>
      <c r="I508" s="207">
        <v>0</v>
      </c>
      <c r="J508" s="207">
        <v>0</v>
      </c>
      <c r="K508" s="207">
        <v>0</v>
      </c>
      <c r="L508" s="207">
        <v>0</v>
      </c>
      <c r="M508" s="207">
        <v>0</v>
      </c>
      <c r="N508" s="207">
        <v>0</v>
      </c>
      <c r="O508" s="207">
        <v>0</v>
      </c>
      <c r="P508" s="207">
        <v>0</v>
      </c>
      <c r="Q508" s="207">
        <v>0</v>
      </c>
      <c r="R508" s="207">
        <v>0</v>
      </c>
      <c r="S508" s="207">
        <v>0</v>
      </c>
      <c r="T508" s="207">
        <v>0</v>
      </c>
      <c r="U508" s="207">
        <v>0</v>
      </c>
      <c r="V508" s="207">
        <v>0</v>
      </c>
      <c r="W508" s="207">
        <v>0</v>
      </c>
      <c r="X508" s="207"/>
      <c r="Y508" s="193">
        <v>1</v>
      </c>
      <c r="Z508" s="139"/>
    </row>
    <row r="509" spans="1:26" hidden="1" x14ac:dyDescent="0.2">
      <c r="A509" s="746" t="s">
        <v>2599</v>
      </c>
      <c r="B509" s="759"/>
      <c r="C509" s="765" t="s">
        <v>1997</v>
      </c>
      <c r="D509" s="766" t="s">
        <v>1998</v>
      </c>
      <c r="E509" s="744">
        <v>0</v>
      </c>
      <c r="F509" s="744">
        <v>0</v>
      </c>
      <c r="G509" s="744">
        <v>0.4247799636182395</v>
      </c>
      <c r="H509" s="744">
        <v>0</v>
      </c>
      <c r="I509" s="744">
        <v>0</v>
      </c>
      <c r="J509" s="744">
        <v>0</v>
      </c>
      <c r="K509" s="744">
        <v>0</v>
      </c>
      <c r="L509" s="744">
        <v>0</v>
      </c>
      <c r="M509" s="744">
        <v>0</v>
      </c>
      <c r="N509" s="744">
        <v>0</v>
      </c>
      <c r="O509" s="744">
        <v>0</v>
      </c>
      <c r="P509" s="744">
        <v>0.57522003638176056</v>
      </c>
      <c r="Q509" s="744">
        <v>0</v>
      </c>
      <c r="R509" s="744">
        <v>0</v>
      </c>
      <c r="S509" s="744">
        <v>0</v>
      </c>
      <c r="T509" s="744">
        <v>0</v>
      </c>
      <c r="U509" s="744">
        <v>0</v>
      </c>
      <c r="V509" s="744">
        <v>0</v>
      </c>
      <c r="W509" s="744">
        <v>0</v>
      </c>
      <c r="X509" s="744">
        <v>0</v>
      </c>
      <c r="Y509" s="236">
        <v>1</v>
      </c>
      <c r="Z509" s="139"/>
    </row>
    <row r="510" spans="1:26" hidden="1" x14ac:dyDescent="0.2">
      <c r="A510" s="244" t="s">
        <v>1101</v>
      </c>
      <c r="B510" s="244"/>
      <c r="C510" s="205" t="s">
        <v>2001</v>
      </c>
      <c r="D510" s="206" t="s">
        <v>2002</v>
      </c>
      <c r="E510" s="207">
        <v>0</v>
      </c>
      <c r="F510" s="207">
        <v>0.10806461535150144</v>
      </c>
      <c r="G510" s="207">
        <v>0.89193538464849864</v>
      </c>
      <c r="H510" s="207">
        <v>0</v>
      </c>
      <c r="I510" s="207">
        <v>0</v>
      </c>
      <c r="J510" s="207">
        <v>0</v>
      </c>
      <c r="K510" s="207">
        <v>0</v>
      </c>
      <c r="L510" s="207">
        <v>0</v>
      </c>
      <c r="M510" s="207">
        <v>0</v>
      </c>
      <c r="N510" s="207">
        <v>0</v>
      </c>
      <c r="O510" s="207">
        <v>0</v>
      </c>
      <c r="P510" s="207">
        <v>0</v>
      </c>
      <c r="Q510" s="207">
        <v>0</v>
      </c>
      <c r="R510" s="207">
        <v>0</v>
      </c>
      <c r="S510" s="207">
        <v>0</v>
      </c>
      <c r="T510" s="207">
        <v>0</v>
      </c>
      <c r="U510" s="207">
        <v>0</v>
      </c>
      <c r="V510" s="207">
        <v>0</v>
      </c>
      <c r="W510" s="207">
        <v>0</v>
      </c>
      <c r="X510" s="207"/>
      <c r="Y510" s="193">
        <v>1</v>
      </c>
      <c r="Z510" s="139"/>
    </row>
    <row r="511" spans="1:26" hidden="1" x14ac:dyDescent="0.2">
      <c r="A511" s="746" t="s">
        <v>2599</v>
      </c>
      <c r="B511" s="759"/>
      <c r="C511" s="765" t="s">
        <v>2003</v>
      </c>
      <c r="D511" s="766" t="s">
        <v>2004</v>
      </c>
      <c r="E511" s="744">
        <v>0</v>
      </c>
      <c r="F511" s="744">
        <v>0.21770006044922716</v>
      </c>
      <c r="G511" s="744">
        <v>0.50480005056796151</v>
      </c>
      <c r="H511" s="744">
        <v>0</v>
      </c>
      <c r="I511" s="744">
        <v>0</v>
      </c>
      <c r="J511" s="744">
        <v>0</v>
      </c>
      <c r="K511" s="744">
        <v>0</v>
      </c>
      <c r="L511" s="744">
        <v>0</v>
      </c>
      <c r="M511" s="744">
        <v>0</v>
      </c>
      <c r="N511" s="744">
        <v>0</v>
      </c>
      <c r="O511" s="744">
        <v>0</v>
      </c>
      <c r="P511" s="744">
        <v>0.27749988898281136</v>
      </c>
      <c r="Q511" s="744">
        <v>0</v>
      </c>
      <c r="R511" s="744">
        <v>0</v>
      </c>
      <c r="S511" s="744">
        <v>0</v>
      </c>
      <c r="T511" s="744">
        <v>0</v>
      </c>
      <c r="U511" s="744">
        <v>0</v>
      </c>
      <c r="V511" s="744">
        <v>0</v>
      </c>
      <c r="W511" s="744">
        <v>0</v>
      </c>
      <c r="X511" s="744">
        <v>0</v>
      </c>
      <c r="Y511" s="236">
        <v>1</v>
      </c>
      <c r="Z511" s="139"/>
    </row>
    <row r="512" spans="1:26" hidden="1" x14ac:dyDescent="0.2">
      <c r="A512" s="232" t="s">
        <v>2814</v>
      </c>
      <c r="B512" s="232"/>
      <c r="C512" s="234" t="s">
        <v>2005</v>
      </c>
      <c r="D512" s="235" t="s">
        <v>2006</v>
      </c>
      <c r="E512" s="236">
        <v>0</v>
      </c>
      <c r="F512" s="236">
        <v>0</v>
      </c>
      <c r="G512" s="236">
        <v>0</v>
      </c>
      <c r="H512" s="236">
        <v>0</v>
      </c>
      <c r="I512" s="236">
        <v>0</v>
      </c>
      <c r="J512" s="236">
        <v>0</v>
      </c>
      <c r="K512" s="236">
        <v>0</v>
      </c>
      <c r="L512" s="236">
        <v>0</v>
      </c>
      <c r="M512" s="236">
        <v>0</v>
      </c>
      <c r="N512" s="236">
        <v>1</v>
      </c>
      <c r="O512" s="236">
        <v>0</v>
      </c>
      <c r="P512" s="236">
        <v>0</v>
      </c>
      <c r="Q512" s="236">
        <v>0</v>
      </c>
      <c r="R512" s="236">
        <v>0</v>
      </c>
      <c r="S512" s="236">
        <v>0</v>
      </c>
      <c r="T512" s="236">
        <v>0</v>
      </c>
      <c r="U512" s="236">
        <v>0</v>
      </c>
      <c r="V512" s="236">
        <v>0</v>
      </c>
      <c r="W512" s="236">
        <v>0</v>
      </c>
      <c r="X512" s="236"/>
      <c r="Y512" s="236">
        <v>1</v>
      </c>
      <c r="Z512" s="139"/>
    </row>
    <row r="513" spans="1:26" hidden="1" x14ac:dyDescent="0.2">
      <c r="A513" s="746" t="s">
        <v>2599</v>
      </c>
      <c r="B513" s="759"/>
      <c r="C513" s="765" t="s">
        <v>2007</v>
      </c>
      <c r="D513" s="766" t="s">
        <v>2008</v>
      </c>
      <c r="E513" s="744">
        <v>0</v>
      </c>
      <c r="F513" s="744">
        <v>0</v>
      </c>
      <c r="G513" s="744">
        <v>1.0900000170686416E-2</v>
      </c>
      <c r="H513" s="744">
        <v>0</v>
      </c>
      <c r="I513" s="744">
        <v>0</v>
      </c>
      <c r="J513" s="744">
        <v>0</v>
      </c>
      <c r="K513" s="744">
        <v>0</v>
      </c>
      <c r="L513" s="744">
        <v>0</v>
      </c>
      <c r="M513" s="744">
        <v>0</v>
      </c>
      <c r="N513" s="744">
        <v>0.37900000064883788</v>
      </c>
      <c r="O513" s="744">
        <v>0</v>
      </c>
      <c r="P513" s="744">
        <v>0.3153999994307054</v>
      </c>
      <c r="Q513" s="744">
        <v>5.5400001393790359E-2</v>
      </c>
      <c r="R513" s="744">
        <v>0</v>
      </c>
      <c r="S513" s="744">
        <v>0.23929999835598009</v>
      </c>
      <c r="T513" s="744">
        <v>0</v>
      </c>
      <c r="U513" s="744">
        <v>0</v>
      </c>
      <c r="V513" s="744">
        <v>0</v>
      </c>
      <c r="W513" s="744">
        <v>0</v>
      </c>
      <c r="X513" s="744">
        <v>0</v>
      </c>
      <c r="Y513" s="236">
        <v>1</v>
      </c>
      <c r="Z513" s="139"/>
    </row>
    <row r="514" spans="1:26" hidden="1" x14ac:dyDescent="0.2">
      <c r="A514" s="277" t="s">
        <v>1101</v>
      </c>
      <c r="B514" s="289"/>
      <c r="C514" s="291" t="s">
        <v>1296</v>
      </c>
      <c r="D514" s="292" t="s">
        <v>331</v>
      </c>
      <c r="E514" s="218">
        <v>0</v>
      </c>
      <c r="F514" s="218">
        <v>0</v>
      </c>
      <c r="G514" s="218">
        <v>0</v>
      </c>
      <c r="H514" s="218">
        <v>0</v>
      </c>
      <c r="I514" s="218">
        <v>0</v>
      </c>
      <c r="J514" s="218">
        <v>0</v>
      </c>
      <c r="K514" s="218">
        <v>0</v>
      </c>
      <c r="L514" s="218">
        <v>0</v>
      </c>
      <c r="M514" s="218">
        <v>0</v>
      </c>
      <c r="N514" s="218">
        <v>0.4713483146067417</v>
      </c>
      <c r="O514" s="218">
        <v>5.0561797752808994E-3</v>
      </c>
      <c r="P514" s="218">
        <v>1.0674157303370789E-2</v>
      </c>
      <c r="Q514" s="218">
        <v>1.6853932584269665E-3</v>
      </c>
      <c r="R514" s="218">
        <v>0</v>
      </c>
      <c r="S514" s="218">
        <v>0.5112359550561798</v>
      </c>
      <c r="T514" s="218">
        <v>0</v>
      </c>
      <c r="U514" s="218">
        <v>0</v>
      </c>
      <c r="V514" s="218"/>
      <c r="W514" s="218"/>
      <c r="X514" s="218"/>
      <c r="Y514" s="848">
        <v>1.0000000000000002</v>
      </c>
      <c r="Z514" s="139"/>
    </row>
    <row r="515" spans="1:26" hidden="1" x14ac:dyDescent="0.2">
      <c r="A515" s="244" t="s">
        <v>1101</v>
      </c>
      <c r="B515" s="244"/>
      <c r="C515" s="205" t="s">
        <v>2009</v>
      </c>
      <c r="D515" s="206" t="s">
        <v>2010</v>
      </c>
      <c r="E515" s="193">
        <v>0</v>
      </c>
      <c r="F515" s="193">
        <v>0</v>
      </c>
      <c r="G515" s="193">
        <v>0.1575889671797642</v>
      </c>
      <c r="H515" s="193">
        <v>0</v>
      </c>
      <c r="I515" s="193">
        <v>0</v>
      </c>
      <c r="J515" s="193">
        <v>0</v>
      </c>
      <c r="K515" s="193">
        <v>0</v>
      </c>
      <c r="L515" s="193">
        <v>0</v>
      </c>
      <c r="M515" s="193">
        <v>0</v>
      </c>
      <c r="N515" s="193">
        <v>0</v>
      </c>
      <c r="O515" s="193">
        <v>0</v>
      </c>
      <c r="P515" s="193">
        <v>0.84241103282023577</v>
      </c>
      <c r="Q515" s="193">
        <v>0</v>
      </c>
      <c r="R515" s="193">
        <v>0</v>
      </c>
      <c r="S515" s="193">
        <v>0</v>
      </c>
      <c r="T515" s="193">
        <v>0</v>
      </c>
      <c r="U515" s="193">
        <v>0</v>
      </c>
      <c r="V515" s="193">
        <v>0</v>
      </c>
      <c r="W515" s="193">
        <v>0</v>
      </c>
      <c r="X515" s="193"/>
      <c r="Y515" s="193">
        <v>1</v>
      </c>
      <c r="Z515" s="139"/>
    </row>
    <row r="516" spans="1:26" hidden="1" x14ac:dyDescent="0.2">
      <c r="A516" s="232" t="s">
        <v>2814</v>
      </c>
      <c r="B516" s="232"/>
      <c r="C516" s="265" t="s">
        <v>2011</v>
      </c>
      <c r="D516" s="266" t="s">
        <v>2012</v>
      </c>
      <c r="E516" s="236">
        <v>0</v>
      </c>
      <c r="F516" s="236">
        <v>0</v>
      </c>
      <c r="G516" s="236">
        <v>0</v>
      </c>
      <c r="H516" s="236">
        <v>0</v>
      </c>
      <c r="I516" s="236">
        <v>0</v>
      </c>
      <c r="J516" s="236">
        <v>0</v>
      </c>
      <c r="K516" s="236">
        <v>0</v>
      </c>
      <c r="L516" s="236">
        <v>0</v>
      </c>
      <c r="M516" s="236">
        <v>0</v>
      </c>
      <c r="N516" s="236">
        <v>0</v>
      </c>
      <c r="O516" s="236">
        <v>0</v>
      </c>
      <c r="P516" s="236">
        <v>4.4818930827109207E-2</v>
      </c>
      <c r="Q516" s="236">
        <v>0</v>
      </c>
      <c r="R516" s="236">
        <v>0</v>
      </c>
      <c r="S516" s="236">
        <v>0.95518106917289081</v>
      </c>
      <c r="T516" s="236">
        <v>0</v>
      </c>
      <c r="U516" s="236">
        <v>0</v>
      </c>
      <c r="V516" s="236">
        <v>0</v>
      </c>
      <c r="W516" s="236">
        <v>0</v>
      </c>
      <c r="X516" s="236"/>
      <c r="Y516" s="236">
        <v>1</v>
      </c>
      <c r="Z516" s="139"/>
    </row>
    <row r="517" spans="1:26" hidden="1" x14ac:dyDescent="0.2">
      <c r="A517" s="278" t="s">
        <v>1101</v>
      </c>
      <c r="B517" s="278"/>
      <c r="C517" s="208" t="s">
        <v>2013</v>
      </c>
      <c r="D517" s="209" t="s">
        <v>2014</v>
      </c>
      <c r="E517" s="201">
        <v>0</v>
      </c>
      <c r="F517" s="201">
        <v>7.9030593078069696E-3</v>
      </c>
      <c r="G517" s="201">
        <v>4.3908087590052713E-2</v>
      </c>
      <c r="H517" s="201">
        <v>0</v>
      </c>
      <c r="I517" s="201">
        <v>0</v>
      </c>
      <c r="J517" s="201">
        <v>6.3051662258048077E-2</v>
      </c>
      <c r="K517" s="201">
        <v>0</v>
      </c>
      <c r="L517" s="201">
        <v>0</v>
      </c>
      <c r="M517" s="201">
        <v>0</v>
      </c>
      <c r="N517" s="201">
        <v>0.18873239446187901</v>
      </c>
      <c r="O517" s="201">
        <v>0</v>
      </c>
      <c r="P517" s="201">
        <v>3.3828116283970866E-2</v>
      </c>
      <c r="Q517" s="201">
        <v>0</v>
      </c>
      <c r="R517" s="201">
        <v>0</v>
      </c>
      <c r="S517" s="201">
        <v>6.0659904006758761E-2</v>
      </c>
      <c r="T517" s="201">
        <v>0.59761034755925901</v>
      </c>
      <c r="U517" s="201">
        <v>4.3064285322246829E-3</v>
      </c>
      <c r="V517" s="201">
        <v>0</v>
      </c>
      <c r="W517" s="201">
        <v>0</v>
      </c>
      <c r="X517" s="201"/>
      <c r="Y517" s="853">
        <v>1.0000000000000002</v>
      </c>
      <c r="Z517" s="139"/>
    </row>
    <row r="518" spans="1:26" hidden="1" x14ac:dyDescent="0.2">
      <c r="A518" s="252" t="s">
        <v>1101</v>
      </c>
      <c r="B518" s="252"/>
      <c r="C518" s="205" t="s">
        <v>2015</v>
      </c>
      <c r="D518" s="206" t="s">
        <v>2016</v>
      </c>
      <c r="E518" s="201">
        <v>0</v>
      </c>
      <c r="F518" s="201">
        <v>0</v>
      </c>
      <c r="G518" s="201">
        <v>0</v>
      </c>
      <c r="H518" s="201">
        <v>0</v>
      </c>
      <c r="I518" s="201">
        <v>0</v>
      </c>
      <c r="J518" s="201">
        <v>0</v>
      </c>
      <c r="K518" s="201">
        <v>0</v>
      </c>
      <c r="L518" s="201">
        <v>0</v>
      </c>
      <c r="M518" s="201">
        <v>0</v>
      </c>
      <c r="N518" s="201">
        <v>0.21145528732710711</v>
      </c>
      <c r="O518" s="201">
        <v>0</v>
      </c>
      <c r="P518" s="201">
        <v>0</v>
      </c>
      <c r="Q518" s="201">
        <v>0</v>
      </c>
      <c r="R518" s="201">
        <v>0</v>
      </c>
      <c r="S518" s="201">
        <v>0</v>
      </c>
      <c r="T518" s="201">
        <v>0.78854471267289294</v>
      </c>
      <c r="U518" s="201">
        <v>0</v>
      </c>
      <c r="V518" s="201">
        <v>0</v>
      </c>
      <c r="W518" s="201">
        <v>0</v>
      </c>
      <c r="X518" s="201"/>
      <c r="Y518" s="201">
        <v>1</v>
      </c>
      <c r="Z518" s="139"/>
    </row>
    <row r="519" spans="1:26" hidden="1" x14ac:dyDescent="0.2">
      <c r="A519" s="252" t="s">
        <v>1101</v>
      </c>
      <c r="B519" s="252"/>
      <c r="C519" s="214" t="s">
        <v>1297</v>
      </c>
      <c r="D519" s="215" t="s">
        <v>1298</v>
      </c>
      <c r="E519" s="201">
        <v>0</v>
      </c>
      <c r="F519" s="201">
        <v>0</v>
      </c>
      <c r="G519" s="201">
        <v>0</v>
      </c>
      <c r="H519" s="201">
        <v>0</v>
      </c>
      <c r="I519" s="201">
        <v>0</v>
      </c>
      <c r="J519" s="201">
        <v>0</v>
      </c>
      <c r="K519" s="201">
        <v>0</v>
      </c>
      <c r="L519" s="201">
        <v>0</v>
      </c>
      <c r="M519" s="201">
        <v>0</v>
      </c>
      <c r="N519" s="201">
        <v>0.59118170190655106</v>
      </c>
      <c r="O519" s="201">
        <v>0</v>
      </c>
      <c r="P519" s="201">
        <v>2.538071065989848E-2</v>
      </c>
      <c r="Q519" s="201">
        <v>0</v>
      </c>
      <c r="R519" s="201">
        <v>0</v>
      </c>
      <c r="S519" s="201">
        <v>0.3834375874335505</v>
      </c>
      <c r="T519" s="201">
        <v>0</v>
      </c>
      <c r="U519" s="201">
        <v>0</v>
      </c>
      <c r="V519" s="201"/>
      <c r="W519" s="201"/>
      <c r="X519" s="201"/>
      <c r="Y519" s="845">
        <v>1</v>
      </c>
      <c r="Z519" s="139"/>
    </row>
    <row r="520" spans="1:26" hidden="1" x14ac:dyDescent="0.2">
      <c r="A520" s="252" t="s">
        <v>1101</v>
      </c>
      <c r="B520" s="252"/>
      <c r="C520" s="205" t="s">
        <v>2017</v>
      </c>
      <c r="D520" s="206" t="s">
        <v>2018</v>
      </c>
      <c r="E520" s="201">
        <v>0</v>
      </c>
      <c r="F520" s="201">
        <v>0</v>
      </c>
      <c r="G520" s="201">
        <v>0</v>
      </c>
      <c r="H520" s="201">
        <v>0</v>
      </c>
      <c r="I520" s="201">
        <v>0</v>
      </c>
      <c r="J520" s="201">
        <v>0</v>
      </c>
      <c r="K520" s="201">
        <v>0</v>
      </c>
      <c r="L520" s="201">
        <v>0</v>
      </c>
      <c r="M520" s="201">
        <v>0</v>
      </c>
      <c r="N520" s="201">
        <v>0.74822589066560141</v>
      </c>
      <c r="O520" s="201">
        <v>0</v>
      </c>
      <c r="P520" s="201">
        <v>0.13644992819366827</v>
      </c>
      <c r="Q520" s="201">
        <v>1.8977601706310007E-2</v>
      </c>
      <c r="R520" s="201">
        <v>0</v>
      </c>
      <c r="S520" s="201">
        <v>9.6346579434420321E-2</v>
      </c>
      <c r="T520" s="201">
        <v>0</v>
      </c>
      <c r="U520" s="201">
        <v>0</v>
      </c>
      <c r="V520" s="201">
        <v>0</v>
      </c>
      <c r="W520" s="201">
        <v>0</v>
      </c>
      <c r="X520" s="201"/>
      <c r="Y520" s="201">
        <v>1</v>
      </c>
      <c r="Z520" s="139"/>
    </row>
    <row r="521" spans="1:26" hidden="1" x14ac:dyDescent="0.2">
      <c r="A521" s="252" t="s">
        <v>1101</v>
      </c>
      <c r="B521" s="252"/>
      <c r="C521" s="205" t="s">
        <v>2019</v>
      </c>
      <c r="D521" s="206" t="s">
        <v>2020</v>
      </c>
      <c r="E521" s="201">
        <v>0</v>
      </c>
      <c r="F521" s="201">
        <v>8.2579301982397234E-3</v>
      </c>
      <c r="G521" s="201">
        <v>6.1136216250232016E-2</v>
      </c>
      <c r="H521" s="201">
        <v>0</v>
      </c>
      <c r="I521" s="201">
        <v>8.1225640870323263E-3</v>
      </c>
      <c r="J521" s="201">
        <v>1.6583568344357667E-2</v>
      </c>
      <c r="K521" s="201">
        <v>0</v>
      </c>
      <c r="L521" s="201">
        <v>0</v>
      </c>
      <c r="M521" s="201">
        <v>0</v>
      </c>
      <c r="N521" s="201">
        <v>0.39308138724283948</v>
      </c>
      <c r="O521" s="201">
        <v>2.1964767052421594E-2</v>
      </c>
      <c r="P521" s="201">
        <v>0.19148427396633577</v>
      </c>
      <c r="Q521" s="201">
        <v>9.9774869725434961E-3</v>
      </c>
      <c r="R521" s="201">
        <v>0</v>
      </c>
      <c r="S521" s="201">
        <v>0.14115662892848133</v>
      </c>
      <c r="T521" s="201">
        <v>0.1482351769575167</v>
      </c>
      <c r="U521" s="201">
        <v>0</v>
      </c>
      <c r="V521" s="201">
        <v>0</v>
      </c>
      <c r="W521" s="201">
        <v>0</v>
      </c>
      <c r="X521" s="201"/>
      <c r="Y521" s="201">
        <v>1.0000000000000002</v>
      </c>
      <c r="Z521" s="139"/>
    </row>
    <row r="522" spans="1:26" hidden="1" x14ac:dyDescent="0.2">
      <c r="A522" s="252" t="s">
        <v>1101</v>
      </c>
      <c r="B522" s="252"/>
      <c r="C522" s="205" t="s">
        <v>2021</v>
      </c>
      <c r="D522" s="206" t="s">
        <v>2022</v>
      </c>
      <c r="E522" s="224">
        <v>0</v>
      </c>
      <c r="F522" s="224">
        <v>4.4044691724932514E-2</v>
      </c>
      <c r="G522" s="224">
        <v>7.9720644352598319E-2</v>
      </c>
      <c r="H522" s="224">
        <v>0</v>
      </c>
      <c r="I522" s="224">
        <v>0</v>
      </c>
      <c r="J522" s="224">
        <v>6.0975133639562626E-2</v>
      </c>
      <c r="K522" s="224">
        <v>0</v>
      </c>
      <c r="L522" s="224">
        <v>0</v>
      </c>
      <c r="M522" s="224">
        <v>0</v>
      </c>
      <c r="N522" s="224">
        <v>0.30562536184471356</v>
      </c>
      <c r="O522" s="224">
        <v>1.9849726666759583E-2</v>
      </c>
      <c r="P522" s="224">
        <v>0.17319929759548483</v>
      </c>
      <c r="Q522" s="224">
        <v>2.5792481530770753E-2</v>
      </c>
      <c r="R522" s="224">
        <v>0</v>
      </c>
      <c r="S522" s="224">
        <v>8.7344848262673164E-2</v>
      </c>
      <c r="T522" s="224">
        <v>0.20344781438250462</v>
      </c>
      <c r="U522" s="224">
        <v>0</v>
      </c>
      <c r="V522" s="224">
        <v>0</v>
      </c>
      <c r="W522" s="224">
        <v>0</v>
      </c>
      <c r="X522" s="224"/>
      <c r="Y522" s="201">
        <v>0.99999999999999989</v>
      </c>
      <c r="Z522" s="139"/>
    </row>
    <row r="523" spans="1:26" hidden="1" x14ac:dyDescent="0.2">
      <c r="A523" s="252" t="s">
        <v>1101</v>
      </c>
      <c r="B523" s="252"/>
      <c r="C523" s="205" t="s">
        <v>2023</v>
      </c>
      <c r="D523" s="206" t="s">
        <v>2024</v>
      </c>
      <c r="E523" s="201">
        <v>0</v>
      </c>
      <c r="F523" s="201">
        <v>4.5569027903875646E-2</v>
      </c>
      <c r="G523" s="201">
        <v>7.8061064361800089E-2</v>
      </c>
      <c r="H523" s="201">
        <v>0</v>
      </c>
      <c r="I523" s="201">
        <v>0</v>
      </c>
      <c r="J523" s="201">
        <v>0</v>
      </c>
      <c r="K523" s="201">
        <v>0</v>
      </c>
      <c r="L523" s="201">
        <v>0</v>
      </c>
      <c r="M523" s="201">
        <v>0</v>
      </c>
      <c r="N523" s="201">
        <v>0.44516245465553661</v>
      </c>
      <c r="O523" s="201">
        <v>7.4958972107483516E-3</v>
      </c>
      <c r="P523" s="201">
        <v>0.11879141963664135</v>
      </c>
      <c r="Q523" s="201">
        <v>8.5983727227240663E-3</v>
      </c>
      <c r="R523" s="201">
        <v>0</v>
      </c>
      <c r="S523" s="201">
        <v>7.2165321266526236E-2</v>
      </c>
      <c r="T523" s="201">
        <v>0.22415644224214754</v>
      </c>
      <c r="U523" s="201">
        <v>0</v>
      </c>
      <c r="V523" s="201">
        <v>0</v>
      </c>
      <c r="W523" s="201">
        <v>0</v>
      </c>
      <c r="X523" s="201"/>
      <c r="Y523" s="201">
        <v>0.99999999999999978</v>
      </c>
      <c r="Z523" s="139"/>
    </row>
    <row r="524" spans="1:26" hidden="1" x14ac:dyDescent="0.2">
      <c r="A524" s="252" t="s">
        <v>1101</v>
      </c>
      <c r="B524" s="252"/>
      <c r="C524" s="205" t="s">
        <v>2025</v>
      </c>
      <c r="D524" s="206" t="s">
        <v>2026</v>
      </c>
      <c r="E524" s="201">
        <v>0</v>
      </c>
      <c r="F524" s="201">
        <v>1.113190813483784E-2</v>
      </c>
      <c r="G524" s="201">
        <v>2.6634121585160205E-2</v>
      </c>
      <c r="H524" s="201">
        <v>0</v>
      </c>
      <c r="I524" s="201">
        <v>0</v>
      </c>
      <c r="J524" s="201">
        <v>2.5687833053236461E-2</v>
      </c>
      <c r="K524" s="201">
        <v>0</v>
      </c>
      <c r="L524" s="201">
        <v>0</v>
      </c>
      <c r="M524" s="201">
        <v>0</v>
      </c>
      <c r="N524" s="201">
        <v>0.1786066511519821</v>
      </c>
      <c r="O524" s="201">
        <v>1.4353944430611203E-2</v>
      </c>
      <c r="P524" s="201">
        <v>0.14571733730013914</v>
      </c>
      <c r="Q524" s="201">
        <v>6.6945318075489263E-3</v>
      </c>
      <c r="R524" s="201">
        <v>0</v>
      </c>
      <c r="S524" s="201">
        <v>5.1758630471544664E-2</v>
      </c>
      <c r="T524" s="201">
        <v>0.53941504206493929</v>
      </c>
      <c r="U524" s="201">
        <v>0</v>
      </c>
      <c r="V524" s="201">
        <v>0</v>
      </c>
      <c r="W524" s="201">
        <v>0</v>
      </c>
      <c r="X524" s="201"/>
      <c r="Y524" s="201">
        <v>0.99999999999999978</v>
      </c>
      <c r="Z524" s="139"/>
    </row>
    <row r="525" spans="1:26" hidden="1" x14ac:dyDescent="0.2">
      <c r="A525" s="221" t="s">
        <v>2814</v>
      </c>
      <c r="B525" s="221"/>
      <c r="C525" s="234" t="s">
        <v>2027</v>
      </c>
      <c r="D525" s="235" t="s">
        <v>2028</v>
      </c>
      <c r="E525" s="240">
        <v>0</v>
      </c>
      <c r="F525" s="240">
        <v>0</v>
      </c>
      <c r="G525" s="240">
        <v>0</v>
      </c>
      <c r="H525" s="240">
        <v>1</v>
      </c>
      <c r="I525" s="240">
        <v>0</v>
      </c>
      <c r="J525" s="240">
        <v>0</v>
      </c>
      <c r="K525" s="240">
        <v>0</v>
      </c>
      <c r="L525" s="240">
        <v>0</v>
      </c>
      <c r="M525" s="240">
        <v>0</v>
      </c>
      <c r="N525" s="240">
        <v>0</v>
      </c>
      <c r="O525" s="240">
        <v>0</v>
      </c>
      <c r="P525" s="240">
        <v>0</v>
      </c>
      <c r="Q525" s="240">
        <v>0</v>
      </c>
      <c r="R525" s="240">
        <v>0</v>
      </c>
      <c r="S525" s="240">
        <v>0</v>
      </c>
      <c r="T525" s="240">
        <v>0</v>
      </c>
      <c r="U525" s="240">
        <v>0</v>
      </c>
      <c r="V525" s="240">
        <v>0</v>
      </c>
      <c r="W525" s="240">
        <v>0</v>
      </c>
      <c r="X525" s="240"/>
      <c r="Y525" s="240">
        <v>1</v>
      </c>
      <c r="Z525" s="139"/>
    </row>
    <row r="526" spans="1:26" hidden="1" x14ac:dyDescent="0.2">
      <c r="A526" s="221" t="s">
        <v>2814</v>
      </c>
      <c r="B526" s="221"/>
      <c r="C526" s="234" t="s">
        <v>2029</v>
      </c>
      <c r="D526" s="235" t="s">
        <v>2030</v>
      </c>
      <c r="E526" s="240">
        <v>0</v>
      </c>
      <c r="F526" s="240">
        <v>0</v>
      </c>
      <c r="G526" s="240">
        <v>0</v>
      </c>
      <c r="H526" s="240">
        <v>1</v>
      </c>
      <c r="I526" s="240">
        <v>0</v>
      </c>
      <c r="J526" s="240">
        <v>0</v>
      </c>
      <c r="K526" s="240">
        <v>0</v>
      </c>
      <c r="L526" s="240">
        <v>0</v>
      </c>
      <c r="M526" s="240">
        <v>0</v>
      </c>
      <c r="N526" s="240">
        <v>0</v>
      </c>
      <c r="O526" s="240">
        <v>0</v>
      </c>
      <c r="P526" s="240">
        <v>0</v>
      </c>
      <c r="Q526" s="240">
        <v>0</v>
      </c>
      <c r="R526" s="240">
        <v>0</v>
      </c>
      <c r="S526" s="240">
        <v>0</v>
      </c>
      <c r="T526" s="240">
        <v>0</v>
      </c>
      <c r="U526" s="240">
        <v>0</v>
      </c>
      <c r="V526" s="240">
        <v>0</v>
      </c>
      <c r="W526" s="240">
        <v>0</v>
      </c>
      <c r="X526" s="240"/>
      <c r="Y526" s="240">
        <v>1</v>
      </c>
      <c r="Z526" s="139"/>
    </row>
    <row r="527" spans="1:26" hidden="1" x14ac:dyDescent="0.2">
      <c r="A527" s="270" t="s">
        <v>2814</v>
      </c>
      <c r="B527" s="270"/>
      <c r="C527" s="301" t="s">
        <v>2031</v>
      </c>
      <c r="D527" s="302" t="s">
        <v>2032</v>
      </c>
      <c r="E527" s="240">
        <v>0</v>
      </c>
      <c r="F527" s="240">
        <v>0</v>
      </c>
      <c r="G527" s="240">
        <v>1</v>
      </c>
      <c r="H527" s="240">
        <v>0</v>
      </c>
      <c r="I527" s="240">
        <v>0</v>
      </c>
      <c r="J527" s="240">
        <v>0</v>
      </c>
      <c r="K527" s="240">
        <v>0</v>
      </c>
      <c r="L527" s="240">
        <v>0</v>
      </c>
      <c r="M527" s="240">
        <v>0</v>
      </c>
      <c r="N527" s="240">
        <v>0</v>
      </c>
      <c r="O527" s="240">
        <v>0</v>
      </c>
      <c r="P527" s="240">
        <v>0</v>
      </c>
      <c r="Q527" s="240">
        <v>0</v>
      </c>
      <c r="R527" s="240">
        <v>0</v>
      </c>
      <c r="S527" s="240">
        <v>0</v>
      </c>
      <c r="T527" s="240">
        <v>0</v>
      </c>
      <c r="U527" s="240">
        <v>0</v>
      </c>
      <c r="V527" s="240">
        <v>0</v>
      </c>
      <c r="W527" s="240">
        <v>0</v>
      </c>
      <c r="X527" s="240"/>
      <c r="Y527" s="240">
        <v>1</v>
      </c>
      <c r="Z527" s="139"/>
    </row>
    <row r="528" spans="1:26" hidden="1" x14ac:dyDescent="0.2">
      <c r="A528" s="232" t="s">
        <v>2814</v>
      </c>
      <c r="B528" s="232"/>
      <c r="C528" s="234" t="s">
        <v>2033</v>
      </c>
      <c r="D528" s="235" t="s">
        <v>2034</v>
      </c>
      <c r="E528" s="236">
        <v>0</v>
      </c>
      <c r="F528" s="236">
        <v>0</v>
      </c>
      <c r="G528" s="236">
        <v>1</v>
      </c>
      <c r="H528" s="236">
        <v>0</v>
      </c>
      <c r="I528" s="236">
        <v>0</v>
      </c>
      <c r="J528" s="236">
        <v>0</v>
      </c>
      <c r="K528" s="236">
        <v>0</v>
      </c>
      <c r="L528" s="236">
        <v>0</v>
      </c>
      <c r="M528" s="236">
        <v>0</v>
      </c>
      <c r="N528" s="236">
        <v>0</v>
      </c>
      <c r="O528" s="236">
        <v>0</v>
      </c>
      <c r="P528" s="236">
        <v>0</v>
      </c>
      <c r="Q528" s="236">
        <v>0</v>
      </c>
      <c r="R528" s="236">
        <v>0</v>
      </c>
      <c r="S528" s="236">
        <v>0</v>
      </c>
      <c r="T528" s="236">
        <v>0</v>
      </c>
      <c r="U528" s="236">
        <v>0</v>
      </c>
      <c r="V528" s="236">
        <v>0</v>
      </c>
      <c r="W528" s="236">
        <v>0</v>
      </c>
      <c r="X528" s="236"/>
      <c r="Y528" s="236">
        <v>1</v>
      </c>
      <c r="Z528" s="139"/>
    </row>
    <row r="529" spans="1:26" hidden="1" x14ac:dyDescent="0.2">
      <c r="A529" s="232" t="s">
        <v>2814</v>
      </c>
      <c r="B529" s="232"/>
      <c r="C529" s="234" t="s">
        <v>2035</v>
      </c>
      <c r="D529" s="235" t="s">
        <v>2036</v>
      </c>
      <c r="E529" s="236">
        <v>0</v>
      </c>
      <c r="F529" s="236">
        <v>0</v>
      </c>
      <c r="G529" s="236">
        <v>1</v>
      </c>
      <c r="H529" s="236">
        <v>0</v>
      </c>
      <c r="I529" s="236">
        <v>0</v>
      </c>
      <c r="J529" s="236">
        <v>0</v>
      </c>
      <c r="K529" s="236">
        <v>0</v>
      </c>
      <c r="L529" s="236">
        <v>0</v>
      </c>
      <c r="M529" s="236">
        <v>0</v>
      </c>
      <c r="N529" s="236">
        <v>0</v>
      </c>
      <c r="O529" s="236">
        <v>0</v>
      </c>
      <c r="P529" s="236">
        <v>0</v>
      </c>
      <c r="Q529" s="236">
        <v>0</v>
      </c>
      <c r="R529" s="236">
        <v>0</v>
      </c>
      <c r="S529" s="236">
        <v>0</v>
      </c>
      <c r="T529" s="236">
        <v>0</v>
      </c>
      <c r="U529" s="236">
        <v>0</v>
      </c>
      <c r="V529" s="236">
        <v>0</v>
      </c>
      <c r="W529" s="236">
        <v>0</v>
      </c>
      <c r="X529" s="236"/>
      <c r="Y529" s="236">
        <v>1</v>
      </c>
      <c r="Z529" s="139"/>
    </row>
    <row r="530" spans="1:26" hidden="1" x14ac:dyDescent="0.2">
      <c r="A530" s="238" t="s">
        <v>2814</v>
      </c>
      <c r="B530" s="219"/>
      <c r="C530" s="295" t="s">
        <v>2037</v>
      </c>
      <c r="D530" s="296" t="s">
        <v>2038</v>
      </c>
      <c r="E530" s="240">
        <v>0</v>
      </c>
      <c r="F530" s="240">
        <v>0</v>
      </c>
      <c r="G530" s="240">
        <v>1</v>
      </c>
      <c r="H530" s="240">
        <v>0</v>
      </c>
      <c r="I530" s="240">
        <v>0</v>
      </c>
      <c r="J530" s="240">
        <v>0</v>
      </c>
      <c r="K530" s="240">
        <v>0</v>
      </c>
      <c r="L530" s="240">
        <v>0</v>
      </c>
      <c r="M530" s="240">
        <v>0</v>
      </c>
      <c r="N530" s="240">
        <v>0</v>
      </c>
      <c r="O530" s="240">
        <v>0</v>
      </c>
      <c r="P530" s="240">
        <v>0</v>
      </c>
      <c r="Q530" s="240">
        <v>0</v>
      </c>
      <c r="R530" s="240">
        <v>0</v>
      </c>
      <c r="S530" s="240">
        <v>0</v>
      </c>
      <c r="T530" s="240">
        <v>0</v>
      </c>
      <c r="U530" s="240">
        <v>0</v>
      </c>
      <c r="V530" s="240">
        <v>0</v>
      </c>
      <c r="W530" s="240">
        <v>0</v>
      </c>
      <c r="X530" s="240"/>
      <c r="Y530" s="240">
        <v>1</v>
      </c>
      <c r="Z530" s="139"/>
    </row>
    <row r="531" spans="1:26" hidden="1" x14ac:dyDescent="0.2">
      <c r="A531" s="232" t="s">
        <v>2814</v>
      </c>
      <c r="B531" s="232"/>
      <c r="C531" s="234" t="s">
        <v>2039</v>
      </c>
      <c r="D531" s="235" t="s">
        <v>2040</v>
      </c>
      <c r="E531" s="236">
        <v>0</v>
      </c>
      <c r="F531" s="236">
        <v>0</v>
      </c>
      <c r="G531" s="236">
        <v>1</v>
      </c>
      <c r="H531" s="236">
        <v>0</v>
      </c>
      <c r="I531" s="236">
        <v>0</v>
      </c>
      <c r="J531" s="236">
        <v>0</v>
      </c>
      <c r="K531" s="236">
        <v>0</v>
      </c>
      <c r="L531" s="236">
        <v>0</v>
      </c>
      <c r="M531" s="236">
        <v>0</v>
      </c>
      <c r="N531" s="236">
        <v>0</v>
      </c>
      <c r="O531" s="236">
        <v>0</v>
      </c>
      <c r="P531" s="236">
        <v>0</v>
      </c>
      <c r="Q531" s="236">
        <v>0</v>
      </c>
      <c r="R531" s="236">
        <v>0</v>
      </c>
      <c r="S531" s="236">
        <v>0</v>
      </c>
      <c r="T531" s="236">
        <v>0</v>
      </c>
      <c r="U531" s="236">
        <v>0</v>
      </c>
      <c r="V531" s="236">
        <v>0</v>
      </c>
      <c r="W531" s="236">
        <v>0</v>
      </c>
      <c r="X531" s="236"/>
      <c r="Y531" s="236">
        <v>1</v>
      </c>
      <c r="Z531" s="139"/>
    </row>
    <row r="532" spans="1:26" hidden="1" x14ac:dyDescent="0.2">
      <c r="A532" s="232" t="s">
        <v>2814</v>
      </c>
      <c r="B532" s="232"/>
      <c r="C532" s="234" t="s">
        <v>2041</v>
      </c>
      <c r="D532" s="235" t="s">
        <v>2042</v>
      </c>
      <c r="E532" s="236">
        <v>0</v>
      </c>
      <c r="F532" s="236">
        <v>0</v>
      </c>
      <c r="G532" s="236">
        <v>1</v>
      </c>
      <c r="H532" s="236">
        <v>0</v>
      </c>
      <c r="I532" s="236">
        <v>0</v>
      </c>
      <c r="J532" s="236">
        <v>0</v>
      </c>
      <c r="K532" s="236">
        <v>0</v>
      </c>
      <c r="L532" s="236">
        <v>0</v>
      </c>
      <c r="M532" s="236">
        <v>0</v>
      </c>
      <c r="N532" s="236">
        <v>0</v>
      </c>
      <c r="O532" s="236">
        <v>0</v>
      </c>
      <c r="P532" s="236">
        <v>0</v>
      </c>
      <c r="Q532" s="236">
        <v>0</v>
      </c>
      <c r="R532" s="236">
        <v>0</v>
      </c>
      <c r="S532" s="236">
        <v>0</v>
      </c>
      <c r="T532" s="236">
        <v>0</v>
      </c>
      <c r="U532" s="236">
        <v>0</v>
      </c>
      <c r="V532" s="236">
        <v>0</v>
      </c>
      <c r="W532" s="236">
        <v>0</v>
      </c>
      <c r="X532" s="236"/>
      <c r="Y532" s="236">
        <v>1</v>
      </c>
      <c r="Z532" s="139"/>
    </row>
    <row r="533" spans="1:26" hidden="1" x14ac:dyDescent="0.2">
      <c r="A533" s="254" t="s">
        <v>2814</v>
      </c>
      <c r="B533" s="254"/>
      <c r="C533" s="293" t="s">
        <v>2043</v>
      </c>
      <c r="D533" s="294" t="s">
        <v>2044</v>
      </c>
      <c r="E533" s="240">
        <v>0</v>
      </c>
      <c r="F533" s="240">
        <v>0</v>
      </c>
      <c r="G533" s="240">
        <v>1</v>
      </c>
      <c r="H533" s="240">
        <v>0</v>
      </c>
      <c r="I533" s="240">
        <v>0</v>
      </c>
      <c r="J533" s="240">
        <v>0</v>
      </c>
      <c r="K533" s="240">
        <v>0</v>
      </c>
      <c r="L533" s="240">
        <v>0</v>
      </c>
      <c r="M533" s="240">
        <v>0</v>
      </c>
      <c r="N533" s="240">
        <v>0</v>
      </c>
      <c r="O533" s="240">
        <v>0</v>
      </c>
      <c r="P533" s="240">
        <v>0</v>
      </c>
      <c r="Q533" s="240">
        <v>0</v>
      </c>
      <c r="R533" s="240">
        <v>0</v>
      </c>
      <c r="S533" s="240">
        <v>0</v>
      </c>
      <c r="T533" s="240">
        <v>0</v>
      </c>
      <c r="U533" s="240">
        <v>0</v>
      </c>
      <c r="V533" s="240">
        <v>0</v>
      </c>
      <c r="W533" s="240">
        <v>0</v>
      </c>
      <c r="X533" s="240"/>
      <c r="Y533" s="240">
        <v>1</v>
      </c>
      <c r="Z533" s="139"/>
    </row>
    <row r="534" spans="1:26" hidden="1" x14ac:dyDescent="0.2">
      <c r="A534" s="221" t="s">
        <v>2814</v>
      </c>
      <c r="B534" s="221"/>
      <c r="C534" s="234" t="s">
        <v>2045</v>
      </c>
      <c r="D534" s="235" t="s">
        <v>2046</v>
      </c>
      <c r="E534" s="240">
        <v>0</v>
      </c>
      <c r="F534" s="240">
        <v>0</v>
      </c>
      <c r="G534" s="240">
        <v>1</v>
      </c>
      <c r="H534" s="240">
        <v>0</v>
      </c>
      <c r="I534" s="240">
        <v>0</v>
      </c>
      <c r="J534" s="240">
        <v>0</v>
      </c>
      <c r="K534" s="240">
        <v>0</v>
      </c>
      <c r="L534" s="240">
        <v>0</v>
      </c>
      <c r="M534" s="240">
        <v>0</v>
      </c>
      <c r="N534" s="240">
        <v>0</v>
      </c>
      <c r="O534" s="240">
        <v>0</v>
      </c>
      <c r="P534" s="240">
        <v>0</v>
      </c>
      <c r="Q534" s="240">
        <v>0</v>
      </c>
      <c r="R534" s="240">
        <v>0</v>
      </c>
      <c r="S534" s="240">
        <v>0</v>
      </c>
      <c r="T534" s="240">
        <v>0</v>
      </c>
      <c r="U534" s="240">
        <v>0</v>
      </c>
      <c r="V534" s="240">
        <v>0</v>
      </c>
      <c r="W534" s="240">
        <v>0</v>
      </c>
      <c r="X534" s="240"/>
      <c r="Y534" s="240">
        <v>1</v>
      </c>
      <c r="Z534" s="139"/>
    </row>
    <row r="535" spans="1:26" hidden="1" x14ac:dyDescent="0.2">
      <c r="A535" s="221" t="s">
        <v>2814</v>
      </c>
      <c r="B535" s="221"/>
      <c r="C535" s="234" t="s">
        <v>2047</v>
      </c>
      <c r="D535" s="235" t="s">
        <v>2048</v>
      </c>
      <c r="E535" s="240">
        <v>0</v>
      </c>
      <c r="F535" s="240">
        <v>0</v>
      </c>
      <c r="G535" s="240">
        <v>0</v>
      </c>
      <c r="H535" s="240">
        <v>1</v>
      </c>
      <c r="I535" s="240">
        <v>0</v>
      </c>
      <c r="J535" s="240">
        <v>0</v>
      </c>
      <c r="K535" s="240">
        <v>0</v>
      </c>
      <c r="L535" s="240">
        <v>0</v>
      </c>
      <c r="M535" s="240">
        <v>0</v>
      </c>
      <c r="N535" s="240">
        <v>0</v>
      </c>
      <c r="O535" s="240">
        <v>0</v>
      </c>
      <c r="P535" s="240">
        <v>0</v>
      </c>
      <c r="Q535" s="240">
        <v>0</v>
      </c>
      <c r="R535" s="240">
        <v>0</v>
      </c>
      <c r="S535" s="240">
        <v>0</v>
      </c>
      <c r="T535" s="240">
        <v>0</v>
      </c>
      <c r="U535" s="240">
        <v>0</v>
      </c>
      <c r="V535" s="240">
        <v>0</v>
      </c>
      <c r="W535" s="240">
        <v>0</v>
      </c>
      <c r="X535" s="240"/>
      <c r="Y535" s="240">
        <v>1</v>
      </c>
      <c r="Z535" s="139"/>
    </row>
    <row r="536" spans="1:26" hidden="1" x14ac:dyDescent="0.2">
      <c r="A536" s="279" t="s">
        <v>1101</v>
      </c>
      <c r="B536" s="279"/>
      <c r="C536" s="195" t="s">
        <v>2049</v>
      </c>
      <c r="D536" s="196" t="s">
        <v>2050</v>
      </c>
      <c r="E536" s="201">
        <v>0</v>
      </c>
      <c r="F536" s="201">
        <v>0</v>
      </c>
      <c r="G536" s="201">
        <v>0</v>
      </c>
      <c r="H536" s="201">
        <v>0</v>
      </c>
      <c r="I536" s="201">
        <v>0</v>
      </c>
      <c r="J536" s="201">
        <v>0</v>
      </c>
      <c r="K536" s="201">
        <v>0</v>
      </c>
      <c r="L536" s="201">
        <v>0</v>
      </c>
      <c r="M536" s="201">
        <v>0</v>
      </c>
      <c r="N536" s="201">
        <v>0.76609165408942703</v>
      </c>
      <c r="O536" s="201">
        <v>0</v>
      </c>
      <c r="P536" s="201">
        <v>0.11011862627417565</v>
      </c>
      <c r="Q536" s="201">
        <v>0</v>
      </c>
      <c r="R536" s="201">
        <v>0</v>
      </c>
      <c r="S536" s="201">
        <v>0.10951178216803394</v>
      </c>
      <c r="T536" s="201">
        <v>1.4277937468363443E-2</v>
      </c>
      <c r="U536" s="201">
        <v>0</v>
      </c>
      <c r="V536" s="201">
        <v>0</v>
      </c>
      <c r="W536" s="201">
        <v>0</v>
      </c>
      <c r="X536" s="201"/>
      <c r="Y536" s="201">
        <v>1</v>
      </c>
      <c r="Z536" s="139"/>
    </row>
    <row r="537" spans="1:26" hidden="1" x14ac:dyDescent="0.2">
      <c r="A537" s="244" t="s">
        <v>1101</v>
      </c>
      <c r="B537" s="244"/>
      <c r="C537" s="205" t="s">
        <v>2051</v>
      </c>
      <c r="D537" s="206" t="s">
        <v>2052</v>
      </c>
      <c r="E537" s="207">
        <v>0</v>
      </c>
      <c r="F537" s="207">
        <v>0</v>
      </c>
      <c r="G537" s="207">
        <v>4.1192604516592131E-3</v>
      </c>
      <c r="H537" s="207">
        <v>0</v>
      </c>
      <c r="I537" s="207">
        <v>0</v>
      </c>
      <c r="J537" s="207">
        <v>0</v>
      </c>
      <c r="K537" s="207">
        <v>0</v>
      </c>
      <c r="L537" s="207">
        <v>0</v>
      </c>
      <c r="M537" s="207">
        <v>0</v>
      </c>
      <c r="N537" s="207">
        <v>9.6907055099300254E-2</v>
      </c>
      <c r="O537" s="207">
        <v>2.3871552551502652E-3</v>
      </c>
      <c r="P537" s="207">
        <v>3.7194609579123628E-2</v>
      </c>
      <c r="Q537" s="207">
        <v>1.4337830983425102E-3</v>
      </c>
      <c r="R537" s="207">
        <v>0</v>
      </c>
      <c r="S537" s="207">
        <v>1.4209871279433977E-2</v>
      </c>
      <c r="T537" s="207">
        <v>0.84374826523699009</v>
      </c>
      <c r="U537" s="207">
        <v>0</v>
      </c>
      <c r="V537" s="207">
        <v>0</v>
      </c>
      <c r="W537" s="207">
        <v>0</v>
      </c>
      <c r="X537" s="207"/>
      <c r="Y537" s="193">
        <v>1</v>
      </c>
      <c r="Z537" s="139"/>
    </row>
    <row r="538" spans="1:26" hidden="1" x14ac:dyDescent="0.2">
      <c r="A538" s="254" t="s">
        <v>2814</v>
      </c>
      <c r="B538" s="303"/>
      <c r="C538" s="293" t="s">
        <v>2053</v>
      </c>
      <c r="D538" s="294" t="s">
        <v>2054</v>
      </c>
      <c r="E538" s="240">
        <v>0</v>
      </c>
      <c r="F538" s="240">
        <v>0</v>
      </c>
      <c r="G538" s="240">
        <v>0</v>
      </c>
      <c r="H538" s="240">
        <v>1</v>
      </c>
      <c r="I538" s="240">
        <v>0</v>
      </c>
      <c r="J538" s="240">
        <v>0</v>
      </c>
      <c r="K538" s="240">
        <v>0</v>
      </c>
      <c r="L538" s="240">
        <v>0</v>
      </c>
      <c r="M538" s="240">
        <v>0</v>
      </c>
      <c r="N538" s="240">
        <v>0</v>
      </c>
      <c r="O538" s="240">
        <v>0</v>
      </c>
      <c r="P538" s="240">
        <v>0</v>
      </c>
      <c r="Q538" s="240">
        <v>0</v>
      </c>
      <c r="R538" s="240">
        <v>0</v>
      </c>
      <c r="S538" s="240">
        <v>0</v>
      </c>
      <c r="T538" s="240">
        <v>0</v>
      </c>
      <c r="U538" s="240">
        <v>0</v>
      </c>
      <c r="V538" s="240">
        <v>0</v>
      </c>
      <c r="W538" s="240">
        <v>0</v>
      </c>
      <c r="X538" s="240"/>
      <c r="Y538" s="240">
        <v>1</v>
      </c>
      <c r="Z538" s="139"/>
    </row>
    <row r="539" spans="1:26" hidden="1" x14ac:dyDescent="0.2">
      <c r="A539" s="252" t="s">
        <v>1101</v>
      </c>
      <c r="B539" s="252"/>
      <c r="C539" s="205" t="s">
        <v>2055</v>
      </c>
      <c r="D539" s="206" t="s">
        <v>2056</v>
      </c>
      <c r="E539" s="201">
        <v>0</v>
      </c>
      <c r="F539" s="201">
        <v>0</v>
      </c>
      <c r="G539" s="201">
        <v>0</v>
      </c>
      <c r="H539" s="201">
        <v>0</v>
      </c>
      <c r="I539" s="201">
        <v>2.8584334209703383E-2</v>
      </c>
      <c r="J539" s="201">
        <v>0</v>
      </c>
      <c r="K539" s="201">
        <v>0</v>
      </c>
      <c r="L539" s="201">
        <v>0</v>
      </c>
      <c r="M539" s="201">
        <v>0</v>
      </c>
      <c r="N539" s="201">
        <v>9.3987792589847227E-2</v>
      </c>
      <c r="O539" s="201">
        <v>0</v>
      </c>
      <c r="P539" s="201">
        <v>0</v>
      </c>
      <c r="Q539" s="201">
        <v>0</v>
      </c>
      <c r="R539" s="201">
        <v>0</v>
      </c>
      <c r="S539" s="201">
        <v>0</v>
      </c>
      <c r="T539" s="201">
        <v>0.87742787320044935</v>
      </c>
      <c r="U539" s="201">
        <v>0</v>
      </c>
      <c r="V539" s="201">
        <v>0</v>
      </c>
      <c r="W539" s="201">
        <v>0</v>
      </c>
      <c r="X539" s="201"/>
      <c r="Y539" s="201">
        <v>1</v>
      </c>
      <c r="Z539" s="139"/>
    </row>
    <row r="540" spans="1:26" hidden="1" x14ac:dyDescent="0.2">
      <c r="A540" s="279" t="s">
        <v>1101</v>
      </c>
      <c r="B540" s="277"/>
      <c r="C540" s="195" t="s">
        <v>2057</v>
      </c>
      <c r="D540" s="196" t="s">
        <v>2058</v>
      </c>
      <c r="E540" s="201">
        <v>0</v>
      </c>
      <c r="F540" s="201">
        <v>0</v>
      </c>
      <c r="G540" s="201">
        <v>0</v>
      </c>
      <c r="H540" s="201">
        <v>0</v>
      </c>
      <c r="I540" s="201">
        <v>2.9965207131935997E-2</v>
      </c>
      <c r="J540" s="201">
        <v>0</v>
      </c>
      <c r="K540" s="201">
        <v>0</v>
      </c>
      <c r="L540" s="201">
        <v>0</v>
      </c>
      <c r="M540" s="201">
        <v>0</v>
      </c>
      <c r="N540" s="201">
        <v>0.10061038007295665</v>
      </c>
      <c r="O540" s="201">
        <v>0</v>
      </c>
      <c r="P540" s="201">
        <v>0</v>
      </c>
      <c r="Q540" s="201">
        <v>0</v>
      </c>
      <c r="R540" s="201">
        <v>0</v>
      </c>
      <c r="S540" s="201">
        <v>0</v>
      </c>
      <c r="T540" s="201">
        <v>0.86942441279510729</v>
      </c>
      <c r="U540" s="201">
        <v>0</v>
      </c>
      <c r="V540" s="201">
        <v>0</v>
      </c>
      <c r="W540" s="201">
        <v>0</v>
      </c>
      <c r="X540" s="201"/>
      <c r="Y540" s="201">
        <v>1</v>
      </c>
      <c r="Z540" s="139"/>
    </row>
    <row r="541" spans="1:26" hidden="1" x14ac:dyDescent="0.2">
      <c r="A541" s="232" t="s">
        <v>2814</v>
      </c>
      <c r="B541" s="232"/>
      <c r="C541" s="234" t="s">
        <v>2059</v>
      </c>
      <c r="D541" s="235" t="s">
        <v>2060</v>
      </c>
      <c r="E541" s="236">
        <v>0</v>
      </c>
      <c r="F541" s="236">
        <v>0</v>
      </c>
      <c r="G541" s="236">
        <v>0</v>
      </c>
      <c r="H541" s="236">
        <v>1</v>
      </c>
      <c r="I541" s="236">
        <v>0</v>
      </c>
      <c r="J541" s="236">
        <v>0</v>
      </c>
      <c r="K541" s="236">
        <v>0</v>
      </c>
      <c r="L541" s="236">
        <v>0</v>
      </c>
      <c r="M541" s="236">
        <v>0</v>
      </c>
      <c r="N541" s="236">
        <v>0</v>
      </c>
      <c r="O541" s="236">
        <v>0</v>
      </c>
      <c r="P541" s="236">
        <v>0</v>
      </c>
      <c r="Q541" s="236">
        <v>0</v>
      </c>
      <c r="R541" s="236">
        <v>0</v>
      </c>
      <c r="S541" s="236">
        <v>0</v>
      </c>
      <c r="T541" s="236">
        <v>0</v>
      </c>
      <c r="U541" s="236">
        <v>0</v>
      </c>
      <c r="V541" s="236">
        <v>0</v>
      </c>
      <c r="W541" s="236">
        <v>0</v>
      </c>
      <c r="X541" s="236"/>
      <c r="Y541" s="236">
        <v>1</v>
      </c>
      <c r="Z541" s="139"/>
    </row>
    <row r="542" spans="1:26" hidden="1" x14ac:dyDescent="0.2">
      <c r="A542" s="254" t="s">
        <v>2814</v>
      </c>
      <c r="B542" s="254"/>
      <c r="C542" s="293" t="s">
        <v>2061</v>
      </c>
      <c r="D542" s="294" t="s">
        <v>2062</v>
      </c>
      <c r="E542" s="240">
        <v>0</v>
      </c>
      <c r="F542" s="240">
        <v>0</v>
      </c>
      <c r="G542" s="240">
        <v>0</v>
      </c>
      <c r="H542" s="240">
        <v>1</v>
      </c>
      <c r="I542" s="240">
        <v>0</v>
      </c>
      <c r="J542" s="240">
        <v>0</v>
      </c>
      <c r="K542" s="240">
        <v>0</v>
      </c>
      <c r="L542" s="240">
        <v>0</v>
      </c>
      <c r="M542" s="240">
        <v>0</v>
      </c>
      <c r="N542" s="240">
        <v>0</v>
      </c>
      <c r="O542" s="240">
        <v>0</v>
      </c>
      <c r="P542" s="240">
        <v>0</v>
      </c>
      <c r="Q542" s="240">
        <v>0</v>
      </c>
      <c r="R542" s="240">
        <v>0</v>
      </c>
      <c r="S542" s="240">
        <v>0</v>
      </c>
      <c r="T542" s="240">
        <v>0</v>
      </c>
      <c r="U542" s="240">
        <v>0</v>
      </c>
      <c r="V542" s="240">
        <v>0</v>
      </c>
      <c r="W542" s="240">
        <v>0</v>
      </c>
      <c r="X542" s="240"/>
      <c r="Y542" s="240">
        <v>1</v>
      </c>
      <c r="Z542" s="139"/>
    </row>
    <row r="543" spans="1:26" hidden="1" x14ac:dyDescent="0.2">
      <c r="A543" s="270" t="s">
        <v>2814</v>
      </c>
      <c r="B543" s="270"/>
      <c r="C543" s="282" t="s">
        <v>2063</v>
      </c>
      <c r="D543" s="283" t="s">
        <v>2064</v>
      </c>
      <c r="E543" s="240">
        <v>0</v>
      </c>
      <c r="F543" s="240">
        <v>0</v>
      </c>
      <c r="G543" s="240">
        <v>0</v>
      </c>
      <c r="H543" s="240">
        <v>1</v>
      </c>
      <c r="I543" s="240">
        <v>0</v>
      </c>
      <c r="J543" s="240">
        <v>0</v>
      </c>
      <c r="K543" s="240">
        <v>0</v>
      </c>
      <c r="L543" s="240">
        <v>0</v>
      </c>
      <c r="M543" s="240">
        <v>0</v>
      </c>
      <c r="N543" s="240">
        <v>0</v>
      </c>
      <c r="O543" s="240">
        <v>0</v>
      </c>
      <c r="P543" s="240">
        <v>0</v>
      </c>
      <c r="Q543" s="240">
        <v>0</v>
      </c>
      <c r="R543" s="240">
        <v>0</v>
      </c>
      <c r="S543" s="240">
        <v>0</v>
      </c>
      <c r="T543" s="240">
        <v>0</v>
      </c>
      <c r="U543" s="240">
        <v>0</v>
      </c>
      <c r="V543" s="240">
        <v>0</v>
      </c>
      <c r="W543" s="240">
        <v>0</v>
      </c>
      <c r="X543" s="240"/>
      <c r="Y543" s="240">
        <v>1</v>
      </c>
      <c r="Z543" s="139"/>
    </row>
    <row r="544" spans="1:26" hidden="1" x14ac:dyDescent="0.2">
      <c r="A544" s="232" t="s">
        <v>2814</v>
      </c>
      <c r="B544" s="232"/>
      <c r="C544" s="234" t="s">
        <v>2065</v>
      </c>
      <c r="D544" s="235" t="s">
        <v>2066</v>
      </c>
      <c r="E544" s="236">
        <v>0</v>
      </c>
      <c r="F544" s="236">
        <v>0</v>
      </c>
      <c r="G544" s="236">
        <v>0</v>
      </c>
      <c r="H544" s="236">
        <v>1</v>
      </c>
      <c r="I544" s="236">
        <v>0</v>
      </c>
      <c r="J544" s="236">
        <v>0</v>
      </c>
      <c r="K544" s="236">
        <v>0</v>
      </c>
      <c r="L544" s="236">
        <v>0</v>
      </c>
      <c r="M544" s="236">
        <v>0</v>
      </c>
      <c r="N544" s="236">
        <v>0</v>
      </c>
      <c r="O544" s="236">
        <v>0</v>
      </c>
      <c r="P544" s="236">
        <v>0</v>
      </c>
      <c r="Q544" s="236">
        <v>0</v>
      </c>
      <c r="R544" s="236">
        <v>0</v>
      </c>
      <c r="S544" s="236">
        <v>0</v>
      </c>
      <c r="T544" s="236">
        <v>0</v>
      </c>
      <c r="U544" s="236">
        <v>0</v>
      </c>
      <c r="V544" s="236">
        <v>0</v>
      </c>
      <c r="W544" s="236">
        <v>0</v>
      </c>
      <c r="X544" s="236"/>
      <c r="Y544" s="236">
        <v>1</v>
      </c>
      <c r="Z544" s="139"/>
    </row>
    <row r="545" spans="1:26" hidden="1" x14ac:dyDescent="0.2">
      <c r="A545" s="244" t="s">
        <v>1101</v>
      </c>
      <c r="B545" s="244"/>
      <c r="C545" s="205" t="s">
        <v>2067</v>
      </c>
      <c r="D545" s="206" t="s">
        <v>2068</v>
      </c>
      <c r="E545" s="193">
        <v>0</v>
      </c>
      <c r="F545" s="193">
        <v>0</v>
      </c>
      <c r="G545" s="193">
        <v>0</v>
      </c>
      <c r="H545" s="193">
        <v>1</v>
      </c>
      <c r="I545" s="193">
        <v>0</v>
      </c>
      <c r="J545" s="193">
        <v>0</v>
      </c>
      <c r="K545" s="193">
        <v>0</v>
      </c>
      <c r="L545" s="193">
        <v>0</v>
      </c>
      <c r="M545" s="193">
        <v>0</v>
      </c>
      <c r="N545" s="193">
        <v>0</v>
      </c>
      <c r="O545" s="193">
        <v>0</v>
      </c>
      <c r="P545" s="193">
        <v>0</v>
      </c>
      <c r="Q545" s="193">
        <v>0</v>
      </c>
      <c r="R545" s="193">
        <v>0</v>
      </c>
      <c r="S545" s="193">
        <v>0</v>
      </c>
      <c r="T545" s="193">
        <v>0</v>
      </c>
      <c r="U545" s="193">
        <v>0</v>
      </c>
      <c r="V545" s="193">
        <v>0</v>
      </c>
      <c r="W545" s="193">
        <v>0</v>
      </c>
      <c r="X545" s="193"/>
      <c r="Y545" s="193">
        <v>1</v>
      </c>
      <c r="Z545" s="139"/>
    </row>
    <row r="546" spans="1:26" hidden="1" x14ac:dyDescent="0.2">
      <c r="A546" s="232" t="s">
        <v>2814</v>
      </c>
      <c r="B546" s="285"/>
      <c r="C546" s="234" t="s">
        <v>2069</v>
      </c>
      <c r="D546" s="235" t="s">
        <v>2070</v>
      </c>
      <c r="E546" s="236">
        <v>1</v>
      </c>
      <c r="F546" s="236">
        <v>0</v>
      </c>
      <c r="G546" s="236">
        <v>0</v>
      </c>
      <c r="H546" s="236">
        <v>0</v>
      </c>
      <c r="I546" s="236">
        <v>0</v>
      </c>
      <c r="J546" s="236">
        <v>0</v>
      </c>
      <c r="K546" s="236">
        <v>0</v>
      </c>
      <c r="L546" s="236">
        <v>0</v>
      </c>
      <c r="M546" s="236">
        <v>0</v>
      </c>
      <c r="N546" s="236">
        <v>0</v>
      </c>
      <c r="O546" s="236">
        <v>0</v>
      </c>
      <c r="P546" s="236">
        <v>0</v>
      </c>
      <c r="Q546" s="236">
        <v>0</v>
      </c>
      <c r="R546" s="236">
        <v>0</v>
      </c>
      <c r="S546" s="236">
        <v>0</v>
      </c>
      <c r="T546" s="236">
        <v>0</v>
      </c>
      <c r="U546" s="236">
        <v>0</v>
      </c>
      <c r="V546" s="236">
        <v>0</v>
      </c>
      <c r="W546" s="236">
        <v>0</v>
      </c>
      <c r="X546" s="236"/>
      <c r="Y546" s="236">
        <v>1</v>
      </c>
      <c r="Z546" s="139"/>
    </row>
    <row r="547" spans="1:26" hidden="1" x14ac:dyDescent="0.2">
      <c r="A547" s="238" t="s">
        <v>2814</v>
      </c>
      <c r="B547" s="238"/>
      <c r="C547" s="295" t="s">
        <v>2071</v>
      </c>
      <c r="D547" s="296" t="s">
        <v>2072</v>
      </c>
      <c r="E547" s="240">
        <v>0.30232558139534887</v>
      </c>
      <c r="F547" s="240">
        <v>0</v>
      </c>
      <c r="G547" s="240">
        <v>0</v>
      </c>
      <c r="H547" s="240">
        <v>0</v>
      </c>
      <c r="I547" s="240">
        <v>0</v>
      </c>
      <c r="J547" s="240">
        <v>0</v>
      </c>
      <c r="K547" s="240">
        <v>0</v>
      </c>
      <c r="L547" s="240">
        <v>0.69767441860465118</v>
      </c>
      <c r="M547" s="240">
        <v>0</v>
      </c>
      <c r="N547" s="240">
        <v>0</v>
      </c>
      <c r="O547" s="240">
        <v>0</v>
      </c>
      <c r="P547" s="240">
        <v>0</v>
      </c>
      <c r="Q547" s="240">
        <v>0</v>
      </c>
      <c r="R547" s="240">
        <v>0</v>
      </c>
      <c r="S547" s="240">
        <v>0</v>
      </c>
      <c r="T547" s="240">
        <v>0</v>
      </c>
      <c r="U547" s="240">
        <v>0</v>
      </c>
      <c r="V547" s="240">
        <v>0</v>
      </c>
      <c r="W547" s="240">
        <v>0</v>
      </c>
      <c r="X547" s="240"/>
      <c r="Y547" s="240">
        <v>1</v>
      </c>
      <c r="Z547" s="139"/>
    </row>
    <row r="548" spans="1:26" hidden="1" x14ac:dyDescent="0.2">
      <c r="A548" s="232" t="s">
        <v>2814</v>
      </c>
      <c r="B548" s="285"/>
      <c r="C548" s="234" t="s">
        <v>2073</v>
      </c>
      <c r="D548" s="235" t="s">
        <v>2074</v>
      </c>
      <c r="E548" s="236">
        <v>0.65116279069767447</v>
      </c>
      <c r="F548" s="236">
        <v>0</v>
      </c>
      <c r="G548" s="236">
        <v>0</v>
      </c>
      <c r="H548" s="236">
        <v>0</v>
      </c>
      <c r="I548" s="236">
        <v>0</v>
      </c>
      <c r="J548" s="236">
        <v>0</v>
      </c>
      <c r="K548" s="236">
        <v>0</v>
      </c>
      <c r="L548" s="236">
        <v>0.34883720930232559</v>
      </c>
      <c r="M548" s="236">
        <v>0</v>
      </c>
      <c r="N548" s="236">
        <v>0</v>
      </c>
      <c r="O548" s="236">
        <v>0</v>
      </c>
      <c r="P548" s="236">
        <v>0</v>
      </c>
      <c r="Q548" s="236">
        <v>0</v>
      </c>
      <c r="R548" s="236">
        <v>0</v>
      </c>
      <c r="S548" s="236">
        <v>0</v>
      </c>
      <c r="T548" s="236">
        <v>0</v>
      </c>
      <c r="U548" s="236">
        <v>0</v>
      </c>
      <c r="V548" s="236">
        <v>0</v>
      </c>
      <c r="W548" s="236">
        <v>0</v>
      </c>
      <c r="X548" s="236"/>
      <c r="Y548" s="236">
        <v>1</v>
      </c>
      <c r="Z548" s="139"/>
    </row>
    <row r="549" spans="1:26" hidden="1" x14ac:dyDescent="0.2">
      <c r="A549" s="289" t="s">
        <v>1101</v>
      </c>
      <c r="B549" s="289"/>
      <c r="C549" s="241" t="s">
        <v>2075</v>
      </c>
      <c r="D549" s="242" t="s">
        <v>2076</v>
      </c>
      <c r="E549" s="224">
        <v>0</v>
      </c>
      <c r="F549" s="224">
        <v>0</v>
      </c>
      <c r="G549" s="224">
        <v>0</v>
      </c>
      <c r="H549" s="224">
        <v>1</v>
      </c>
      <c r="I549" s="224">
        <v>0</v>
      </c>
      <c r="J549" s="224">
        <v>0</v>
      </c>
      <c r="K549" s="224">
        <v>0</v>
      </c>
      <c r="L549" s="224">
        <v>0</v>
      </c>
      <c r="M549" s="224">
        <v>0</v>
      </c>
      <c r="N549" s="224">
        <v>0</v>
      </c>
      <c r="O549" s="224">
        <v>0</v>
      </c>
      <c r="P549" s="224">
        <v>0</v>
      </c>
      <c r="Q549" s="224">
        <v>0</v>
      </c>
      <c r="R549" s="224">
        <v>0</v>
      </c>
      <c r="S549" s="224">
        <v>0</v>
      </c>
      <c r="T549" s="224">
        <v>0</v>
      </c>
      <c r="U549" s="224">
        <v>0</v>
      </c>
      <c r="V549" s="224">
        <v>0</v>
      </c>
      <c r="W549" s="224">
        <v>0</v>
      </c>
      <c r="X549" s="224"/>
      <c r="Y549" s="201">
        <v>1</v>
      </c>
      <c r="Z549" s="139"/>
    </row>
    <row r="550" spans="1:26" hidden="1" x14ac:dyDescent="0.2">
      <c r="A550" s="232" t="s">
        <v>2814</v>
      </c>
      <c r="B550" s="232"/>
      <c r="C550" s="234" t="s">
        <v>2077</v>
      </c>
      <c r="D550" s="235" t="s">
        <v>2078</v>
      </c>
      <c r="E550" s="236">
        <v>1</v>
      </c>
      <c r="F550" s="236">
        <v>0</v>
      </c>
      <c r="G550" s="236">
        <v>0</v>
      </c>
      <c r="H550" s="236">
        <v>0</v>
      </c>
      <c r="I550" s="236">
        <v>0</v>
      </c>
      <c r="J550" s="236">
        <v>0</v>
      </c>
      <c r="K550" s="236">
        <v>0</v>
      </c>
      <c r="L550" s="236">
        <v>0</v>
      </c>
      <c r="M550" s="236">
        <v>0</v>
      </c>
      <c r="N550" s="236">
        <v>0</v>
      </c>
      <c r="O550" s="236">
        <v>0</v>
      </c>
      <c r="P550" s="236">
        <v>0</v>
      </c>
      <c r="Q550" s="236">
        <v>0</v>
      </c>
      <c r="R550" s="236">
        <v>0</v>
      </c>
      <c r="S550" s="236">
        <v>0</v>
      </c>
      <c r="T550" s="236">
        <v>0</v>
      </c>
      <c r="U550" s="236">
        <v>0</v>
      </c>
      <c r="V550" s="236">
        <v>0</v>
      </c>
      <c r="W550" s="236">
        <v>0</v>
      </c>
      <c r="X550" s="236"/>
      <c r="Y550" s="236">
        <v>1</v>
      </c>
      <c r="Z550" s="139"/>
    </row>
    <row r="551" spans="1:26" hidden="1" x14ac:dyDescent="0.2">
      <c r="A551" s="238" t="s">
        <v>2814</v>
      </c>
      <c r="B551" s="238"/>
      <c r="C551" s="295" t="s">
        <v>2079</v>
      </c>
      <c r="D551" s="296" t="s">
        <v>2080</v>
      </c>
      <c r="E551" s="240">
        <v>0</v>
      </c>
      <c r="F551" s="240">
        <v>0</v>
      </c>
      <c r="G551" s="240">
        <v>0</v>
      </c>
      <c r="H551" s="240">
        <v>0</v>
      </c>
      <c r="I551" s="240">
        <v>0</v>
      </c>
      <c r="J551" s="240">
        <v>0</v>
      </c>
      <c r="K551" s="240">
        <v>0</v>
      </c>
      <c r="L551" s="240">
        <v>0</v>
      </c>
      <c r="M551" s="240">
        <v>0</v>
      </c>
      <c r="N551" s="240">
        <v>1</v>
      </c>
      <c r="O551" s="240">
        <v>0</v>
      </c>
      <c r="P551" s="240">
        <v>0</v>
      </c>
      <c r="Q551" s="240">
        <v>0</v>
      </c>
      <c r="R551" s="240">
        <v>0</v>
      </c>
      <c r="S551" s="240">
        <v>0</v>
      </c>
      <c r="T551" s="240">
        <v>0</v>
      </c>
      <c r="U551" s="240">
        <v>0</v>
      </c>
      <c r="V551" s="240">
        <v>0</v>
      </c>
      <c r="W551" s="240">
        <v>0</v>
      </c>
      <c r="X551" s="240"/>
      <c r="Y551" s="240">
        <v>1</v>
      </c>
      <c r="Z551" s="139"/>
    </row>
    <row r="552" spans="1:26" hidden="1" x14ac:dyDescent="0.2">
      <c r="A552" s="244" t="s">
        <v>1101</v>
      </c>
      <c r="B552" s="244"/>
      <c r="C552" s="205" t="s">
        <v>2081</v>
      </c>
      <c r="D552" s="206" t="s">
        <v>2082</v>
      </c>
      <c r="E552" s="207">
        <v>0</v>
      </c>
      <c r="F552" s="207">
        <v>0</v>
      </c>
      <c r="G552" s="207">
        <v>0</v>
      </c>
      <c r="H552" s="207">
        <v>0</v>
      </c>
      <c r="I552" s="207">
        <v>0</v>
      </c>
      <c r="J552" s="207">
        <v>1</v>
      </c>
      <c r="K552" s="207">
        <v>0</v>
      </c>
      <c r="L552" s="207">
        <v>0</v>
      </c>
      <c r="M552" s="207">
        <v>0</v>
      </c>
      <c r="N552" s="207">
        <v>0</v>
      </c>
      <c r="O552" s="207">
        <v>0</v>
      </c>
      <c r="P552" s="207">
        <v>0</v>
      </c>
      <c r="Q552" s="207">
        <v>0</v>
      </c>
      <c r="R552" s="207">
        <v>0</v>
      </c>
      <c r="S552" s="207">
        <v>0</v>
      </c>
      <c r="T552" s="207">
        <v>0</v>
      </c>
      <c r="U552" s="207">
        <v>0</v>
      </c>
      <c r="V552" s="207">
        <v>0</v>
      </c>
      <c r="W552" s="207">
        <v>0</v>
      </c>
      <c r="X552" s="207"/>
      <c r="Y552" s="193">
        <v>1</v>
      </c>
      <c r="Z552" s="139"/>
    </row>
    <row r="553" spans="1:26" hidden="1" x14ac:dyDescent="0.2">
      <c r="A553" s="244" t="s">
        <v>1101</v>
      </c>
      <c r="B553" s="244"/>
      <c r="C553" s="205" t="s">
        <v>2083</v>
      </c>
      <c r="D553" s="206" t="s">
        <v>2084</v>
      </c>
      <c r="E553" s="193">
        <v>0</v>
      </c>
      <c r="F553" s="193">
        <v>0</v>
      </c>
      <c r="G553" s="193">
        <v>0</v>
      </c>
      <c r="H553" s="193">
        <v>0</v>
      </c>
      <c r="I553" s="193">
        <v>0</v>
      </c>
      <c r="J553" s="193">
        <v>1</v>
      </c>
      <c r="K553" s="193">
        <v>0</v>
      </c>
      <c r="L553" s="193">
        <v>0</v>
      </c>
      <c r="M553" s="193">
        <v>0</v>
      </c>
      <c r="N553" s="193">
        <v>0</v>
      </c>
      <c r="O553" s="193">
        <v>0</v>
      </c>
      <c r="P553" s="193">
        <v>0</v>
      </c>
      <c r="Q553" s="193">
        <v>0</v>
      </c>
      <c r="R553" s="193">
        <v>0</v>
      </c>
      <c r="S553" s="193">
        <v>0</v>
      </c>
      <c r="T553" s="193">
        <v>0</v>
      </c>
      <c r="U553" s="193">
        <v>0</v>
      </c>
      <c r="V553" s="193">
        <v>0</v>
      </c>
      <c r="W553" s="193">
        <v>0</v>
      </c>
      <c r="X553" s="193"/>
      <c r="Y553" s="193">
        <v>1</v>
      </c>
      <c r="Z553" s="139"/>
    </row>
    <row r="554" spans="1:26" hidden="1" x14ac:dyDescent="0.2">
      <c r="A554" s="244" t="s">
        <v>1101</v>
      </c>
      <c r="B554" s="244"/>
      <c r="C554" s="205" t="s">
        <v>2085</v>
      </c>
      <c r="D554" s="206" t="s">
        <v>2086</v>
      </c>
      <c r="E554" s="193">
        <v>0</v>
      </c>
      <c r="F554" s="193">
        <v>0</v>
      </c>
      <c r="G554" s="193">
        <v>0</v>
      </c>
      <c r="H554" s="193">
        <v>0</v>
      </c>
      <c r="I554" s="193">
        <v>0.12698412698412698</v>
      </c>
      <c r="J554" s="193">
        <v>0.87301587301587302</v>
      </c>
      <c r="K554" s="193">
        <v>0</v>
      </c>
      <c r="L554" s="193">
        <v>0</v>
      </c>
      <c r="M554" s="193">
        <v>0</v>
      </c>
      <c r="N554" s="193">
        <v>0</v>
      </c>
      <c r="O554" s="193">
        <v>0</v>
      </c>
      <c r="P554" s="193">
        <v>0</v>
      </c>
      <c r="Q554" s="193">
        <v>0</v>
      </c>
      <c r="R554" s="193">
        <v>0</v>
      </c>
      <c r="S554" s="193">
        <v>0</v>
      </c>
      <c r="T554" s="193">
        <v>0</v>
      </c>
      <c r="U554" s="193">
        <v>0</v>
      </c>
      <c r="V554" s="193">
        <v>0</v>
      </c>
      <c r="W554" s="193">
        <v>0</v>
      </c>
      <c r="X554" s="193"/>
      <c r="Y554" s="193">
        <v>1</v>
      </c>
      <c r="Z554" s="139"/>
    </row>
    <row r="555" spans="1:26" hidden="1" x14ac:dyDescent="0.2">
      <c r="A555" s="232" t="s">
        <v>2814</v>
      </c>
      <c r="B555" s="232"/>
      <c r="C555" s="234" t="s">
        <v>2087</v>
      </c>
      <c r="D555" s="235" t="s">
        <v>2088</v>
      </c>
      <c r="E555" s="236">
        <v>0</v>
      </c>
      <c r="F555" s="236">
        <v>0</v>
      </c>
      <c r="G555" s="236">
        <v>0</v>
      </c>
      <c r="H555" s="236">
        <v>0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1</v>
      </c>
      <c r="O555" s="236">
        <v>0</v>
      </c>
      <c r="P555" s="236">
        <v>0</v>
      </c>
      <c r="Q555" s="236">
        <v>0</v>
      </c>
      <c r="R555" s="236">
        <v>0</v>
      </c>
      <c r="S555" s="236">
        <v>0</v>
      </c>
      <c r="T555" s="236">
        <v>0</v>
      </c>
      <c r="U555" s="236">
        <v>0</v>
      </c>
      <c r="V555" s="236">
        <v>0</v>
      </c>
      <c r="W555" s="236">
        <v>0</v>
      </c>
      <c r="X555" s="236"/>
      <c r="Y555" s="236">
        <v>1</v>
      </c>
      <c r="Z555" s="139"/>
    </row>
    <row r="556" spans="1:26" hidden="1" x14ac:dyDescent="0.2">
      <c r="A556" s="232" t="s">
        <v>2814</v>
      </c>
      <c r="B556" s="232"/>
      <c r="C556" s="304" t="s">
        <v>1300</v>
      </c>
      <c r="D556" s="305" t="s">
        <v>1301</v>
      </c>
      <c r="E556" s="240">
        <v>0</v>
      </c>
      <c r="F556" s="240">
        <v>1.2598210977913676E-2</v>
      </c>
      <c r="G556" s="240">
        <v>4.0410234138469919E-2</v>
      </c>
      <c r="H556" s="240">
        <v>1.9519967422123616E-2</v>
      </c>
      <c r="I556" s="240">
        <v>0</v>
      </c>
      <c r="J556" s="240">
        <v>5.2750171450762124E-4</v>
      </c>
      <c r="K556" s="240">
        <v>0</v>
      </c>
      <c r="L556" s="240">
        <v>0</v>
      </c>
      <c r="M556" s="240">
        <v>0</v>
      </c>
      <c r="N556" s="240">
        <v>0.20535383112557634</v>
      </c>
      <c r="O556" s="240">
        <v>6.9132359534140365E-4</v>
      </c>
      <c r="P556" s="240">
        <v>0.10775079637737764</v>
      </c>
      <c r="Q556" s="240">
        <v>8.184812382001588E-3</v>
      </c>
      <c r="R556" s="240">
        <v>0</v>
      </c>
      <c r="S556" s="240">
        <v>0.13438161930988823</v>
      </c>
      <c r="T556" s="240">
        <v>0.29999201374783002</v>
      </c>
      <c r="U556" s="240">
        <v>1.6595559557543139E-4</v>
      </c>
      <c r="V556" s="240">
        <v>0</v>
      </c>
      <c r="W556" s="240">
        <v>0.17042373361339447</v>
      </c>
      <c r="X556" s="240"/>
      <c r="Y556" s="854">
        <v>0.99999999999999989</v>
      </c>
      <c r="Z556" s="139"/>
    </row>
    <row r="557" spans="1:26" hidden="1" x14ac:dyDescent="0.2">
      <c r="A557" s="219" t="s">
        <v>2814</v>
      </c>
      <c r="B557" s="238"/>
      <c r="C557" s="295" t="s">
        <v>2089</v>
      </c>
      <c r="D557" s="296" t="s">
        <v>2090</v>
      </c>
      <c r="E557" s="220">
        <v>0.3</v>
      </c>
      <c r="F557" s="220">
        <v>0</v>
      </c>
      <c r="G557" s="220">
        <v>0</v>
      </c>
      <c r="H557" s="220">
        <v>0</v>
      </c>
      <c r="I557" s="220">
        <v>0</v>
      </c>
      <c r="J557" s="220">
        <v>0</v>
      </c>
      <c r="K557" s="220">
        <v>0</v>
      </c>
      <c r="L557" s="220">
        <v>0.7</v>
      </c>
      <c r="M557" s="220">
        <v>0</v>
      </c>
      <c r="N557" s="220">
        <v>0</v>
      </c>
      <c r="O557" s="220">
        <v>0</v>
      </c>
      <c r="P557" s="220">
        <v>0</v>
      </c>
      <c r="Q557" s="220">
        <v>0</v>
      </c>
      <c r="R557" s="220">
        <v>0</v>
      </c>
      <c r="S557" s="220">
        <v>0</v>
      </c>
      <c r="T557" s="220">
        <v>0</v>
      </c>
      <c r="U557" s="220">
        <v>0</v>
      </c>
      <c r="V557" s="220">
        <v>0</v>
      </c>
      <c r="W557" s="220">
        <v>0</v>
      </c>
      <c r="X557" s="220"/>
      <c r="Y557" s="220">
        <v>1</v>
      </c>
      <c r="Z557" s="139"/>
    </row>
    <row r="558" spans="1:26" hidden="1" x14ac:dyDescent="0.2">
      <c r="A558" s="244" t="s">
        <v>1101</v>
      </c>
      <c r="B558" s="244"/>
      <c r="C558" s="205" t="s">
        <v>2091</v>
      </c>
      <c r="D558" s="206" t="s">
        <v>2092</v>
      </c>
      <c r="E558" s="193">
        <v>0</v>
      </c>
      <c r="F558" s="193">
        <v>0</v>
      </c>
      <c r="G558" s="193">
        <v>5.4216570454989135E-3</v>
      </c>
      <c r="H558" s="193">
        <v>0</v>
      </c>
      <c r="I558" s="193">
        <v>0</v>
      </c>
      <c r="J558" s="193">
        <v>0</v>
      </c>
      <c r="K558" s="193">
        <v>0</v>
      </c>
      <c r="L558" s="193">
        <v>0</v>
      </c>
      <c r="M558" s="193">
        <v>0</v>
      </c>
      <c r="N558" s="193">
        <v>0.22891828632607283</v>
      </c>
      <c r="O558" s="193">
        <v>0</v>
      </c>
      <c r="P558" s="193">
        <v>6.4437257260999303E-2</v>
      </c>
      <c r="Q558" s="193">
        <v>0</v>
      </c>
      <c r="R558" s="193">
        <v>0</v>
      </c>
      <c r="S558" s="193">
        <v>6.9982750769791061E-2</v>
      </c>
      <c r="T558" s="193">
        <v>0.63124004859763783</v>
      </c>
      <c r="U558" s="193">
        <v>0</v>
      </c>
      <c r="V558" s="193">
        <v>0</v>
      </c>
      <c r="W558" s="193">
        <v>0</v>
      </c>
      <c r="X558" s="193"/>
      <c r="Y558" s="193">
        <v>1</v>
      </c>
      <c r="Z558" s="139"/>
    </row>
    <row r="559" spans="1:26" hidden="1" x14ac:dyDescent="0.2">
      <c r="A559" s="254" t="s">
        <v>2814</v>
      </c>
      <c r="B559" s="254"/>
      <c r="C559" s="293" t="s">
        <v>2093</v>
      </c>
      <c r="D559" s="294" t="s">
        <v>2094</v>
      </c>
      <c r="E559" s="240">
        <v>0</v>
      </c>
      <c r="F559" s="240">
        <v>0</v>
      </c>
      <c r="G559" s="240">
        <v>0</v>
      </c>
      <c r="H559" s="240">
        <v>0</v>
      </c>
      <c r="I559" s="240">
        <v>0</v>
      </c>
      <c r="J559" s="240">
        <v>0</v>
      </c>
      <c r="K559" s="240">
        <v>0</v>
      </c>
      <c r="L559" s="240">
        <v>1</v>
      </c>
      <c r="M559" s="240">
        <v>0</v>
      </c>
      <c r="N559" s="240">
        <v>0</v>
      </c>
      <c r="O559" s="240">
        <v>0</v>
      </c>
      <c r="P559" s="240">
        <v>0</v>
      </c>
      <c r="Q559" s="240">
        <v>0</v>
      </c>
      <c r="R559" s="240">
        <v>0</v>
      </c>
      <c r="S559" s="240">
        <v>0</v>
      </c>
      <c r="T559" s="240">
        <v>0</v>
      </c>
      <c r="U559" s="240">
        <v>0</v>
      </c>
      <c r="V559" s="240">
        <v>0</v>
      </c>
      <c r="W559" s="240">
        <v>0</v>
      </c>
      <c r="X559" s="240"/>
      <c r="Y559" s="240">
        <v>1</v>
      </c>
      <c r="Z559" s="139"/>
    </row>
    <row r="560" spans="1:26" hidden="1" x14ac:dyDescent="0.2">
      <c r="A560" s="252" t="s">
        <v>1101</v>
      </c>
      <c r="B560" s="306">
        <v>42247</v>
      </c>
      <c r="C560" s="205" t="s">
        <v>2095</v>
      </c>
      <c r="D560" s="206" t="s">
        <v>2096</v>
      </c>
      <c r="E560" s="201">
        <v>0</v>
      </c>
      <c r="F560" s="201">
        <v>2.3521341276072747E-3</v>
      </c>
      <c r="G560" s="201">
        <v>5.1964934543465143E-3</v>
      </c>
      <c r="H560" s="201">
        <v>0</v>
      </c>
      <c r="I560" s="201">
        <v>4.0348327611132155E-2</v>
      </c>
      <c r="J560" s="201">
        <v>1.7363280244400839E-3</v>
      </c>
      <c r="K560" s="201">
        <v>0</v>
      </c>
      <c r="L560" s="201">
        <v>0</v>
      </c>
      <c r="M560" s="201">
        <v>0</v>
      </c>
      <c r="N560" s="201">
        <v>0.17654974599694059</v>
      </c>
      <c r="O560" s="201">
        <v>2.3415126318642975E-2</v>
      </c>
      <c r="P560" s="201">
        <v>5.4099051964305388E-2</v>
      </c>
      <c r="Q560" s="201">
        <v>5.8051233612784218E-3</v>
      </c>
      <c r="R560" s="201">
        <v>0</v>
      </c>
      <c r="S560" s="201">
        <v>7.2217356115988188E-2</v>
      </c>
      <c r="T560" s="201">
        <v>0.61828031302531838</v>
      </c>
      <c r="U560" s="201">
        <v>0</v>
      </c>
      <c r="V560" s="201">
        <v>0</v>
      </c>
      <c r="W560" s="201">
        <v>0</v>
      </c>
      <c r="X560" s="201"/>
      <c r="Y560" s="853">
        <v>1</v>
      </c>
      <c r="Z560" s="139"/>
    </row>
    <row r="561" spans="1:26" hidden="1" x14ac:dyDescent="0.2">
      <c r="A561" s="279" t="s">
        <v>1101</v>
      </c>
      <c r="B561" s="279"/>
      <c r="C561" s="195" t="s">
        <v>2097</v>
      </c>
      <c r="D561" s="196" t="s">
        <v>2098</v>
      </c>
      <c r="E561" s="224">
        <v>0</v>
      </c>
      <c r="F561" s="224">
        <v>0</v>
      </c>
      <c r="G561" s="224">
        <v>0</v>
      </c>
      <c r="H561" s="224">
        <v>0</v>
      </c>
      <c r="I561" s="224">
        <v>0</v>
      </c>
      <c r="J561" s="224">
        <v>1</v>
      </c>
      <c r="K561" s="224">
        <v>0</v>
      </c>
      <c r="L561" s="224">
        <v>0</v>
      </c>
      <c r="M561" s="224">
        <v>0</v>
      </c>
      <c r="N561" s="224">
        <v>0</v>
      </c>
      <c r="O561" s="224">
        <v>0</v>
      </c>
      <c r="P561" s="224">
        <v>0</v>
      </c>
      <c r="Q561" s="224">
        <v>0</v>
      </c>
      <c r="R561" s="224">
        <v>0</v>
      </c>
      <c r="S561" s="224">
        <v>0</v>
      </c>
      <c r="T561" s="224">
        <v>0</v>
      </c>
      <c r="U561" s="224">
        <v>0</v>
      </c>
      <c r="V561" s="224">
        <v>0</v>
      </c>
      <c r="W561" s="224">
        <v>0</v>
      </c>
      <c r="X561" s="224"/>
      <c r="Y561" s="201">
        <v>1</v>
      </c>
      <c r="Z561" s="139"/>
    </row>
    <row r="562" spans="1:26" hidden="1" x14ac:dyDescent="0.2">
      <c r="A562" s="244" t="s">
        <v>1101</v>
      </c>
      <c r="B562" s="244"/>
      <c r="C562" s="214" t="s">
        <v>1302</v>
      </c>
      <c r="D562" s="215" t="s">
        <v>369</v>
      </c>
      <c r="E562" s="193">
        <v>0</v>
      </c>
      <c r="F562" s="193">
        <v>0</v>
      </c>
      <c r="G562" s="193">
        <v>0</v>
      </c>
      <c r="H562" s="193">
        <v>0</v>
      </c>
      <c r="I562" s="193">
        <v>0</v>
      </c>
      <c r="J562" s="193">
        <v>1</v>
      </c>
      <c r="K562" s="193">
        <v>0</v>
      </c>
      <c r="L562" s="193">
        <v>0</v>
      </c>
      <c r="M562" s="193">
        <v>0</v>
      </c>
      <c r="N562" s="193">
        <v>0</v>
      </c>
      <c r="O562" s="193">
        <v>0</v>
      </c>
      <c r="P562" s="193">
        <v>0</v>
      </c>
      <c r="Q562" s="193">
        <v>0</v>
      </c>
      <c r="R562" s="193">
        <v>0</v>
      </c>
      <c r="S562" s="193">
        <v>0</v>
      </c>
      <c r="T562" s="193">
        <v>0</v>
      </c>
      <c r="U562" s="193">
        <v>0</v>
      </c>
      <c r="V562" s="193"/>
      <c r="W562" s="193"/>
      <c r="X562" s="193"/>
      <c r="Y562" s="843">
        <v>1</v>
      </c>
      <c r="Z562" s="139"/>
    </row>
    <row r="563" spans="1:26" hidden="1" x14ac:dyDescent="0.2">
      <c r="A563" s="278" t="s">
        <v>1101</v>
      </c>
      <c r="B563" s="278"/>
      <c r="C563" s="208" t="s">
        <v>2099</v>
      </c>
      <c r="D563" s="209" t="s">
        <v>2100</v>
      </c>
      <c r="E563" s="307">
        <v>0</v>
      </c>
      <c r="F563" s="307">
        <v>0.53519241109976956</v>
      </c>
      <c r="G563" s="307">
        <v>0.37216828832272147</v>
      </c>
      <c r="H563" s="307">
        <v>0</v>
      </c>
      <c r="I563" s="307">
        <v>0</v>
      </c>
      <c r="J563" s="307">
        <v>0</v>
      </c>
      <c r="K563" s="307">
        <v>0</v>
      </c>
      <c r="L563" s="307">
        <v>0</v>
      </c>
      <c r="M563" s="307">
        <v>0</v>
      </c>
      <c r="N563" s="307">
        <v>0</v>
      </c>
      <c r="O563" s="307">
        <v>9.2639300577508812E-2</v>
      </c>
      <c r="P563" s="307">
        <v>0</v>
      </c>
      <c r="Q563" s="307">
        <v>0</v>
      </c>
      <c r="R563" s="307">
        <v>0</v>
      </c>
      <c r="S563" s="307">
        <v>0</v>
      </c>
      <c r="T563" s="307">
        <v>0</v>
      </c>
      <c r="U563" s="307">
        <v>0</v>
      </c>
      <c r="V563" s="307">
        <v>0</v>
      </c>
      <c r="W563" s="307">
        <v>0</v>
      </c>
      <c r="X563" s="307"/>
      <c r="Y563" s="853">
        <v>0.99999999999999978</v>
      </c>
      <c r="Z563" s="139"/>
    </row>
    <row r="564" spans="1:26" hidden="1" x14ac:dyDescent="0.2">
      <c r="A564" s="252" t="s">
        <v>1101</v>
      </c>
      <c r="B564" s="252"/>
      <c r="C564" s="205" t="s">
        <v>2101</v>
      </c>
      <c r="D564" s="206" t="s">
        <v>2102</v>
      </c>
      <c r="E564" s="201">
        <v>0</v>
      </c>
      <c r="F564" s="201">
        <v>0</v>
      </c>
      <c r="G564" s="201">
        <v>0</v>
      </c>
      <c r="H564" s="201">
        <v>1</v>
      </c>
      <c r="I564" s="201">
        <v>0</v>
      </c>
      <c r="J564" s="201">
        <v>0</v>
      </c>
      <c r="K564" s="201">
        <v>0</v>
      </c>
      <c r="L564" s="201">
        <v>0</v>
      </c>
      <c r="M564" s="201">
        <v>0</v>
      </c>
      <c r="N564" s="201">
        <v>0</v>
      </c>
      <c r="O564" s="201">
        <v>0</v>
      </c>
      <c r="P564" s="201">
        <v>0</v>
      </c>
      <c r="Q564" s="201">
        <v>0</v>
      </c>
      <c r="R564" s="201">
        <v>0</v>
      </c>
      <c r="S564" s="201">
        <v>0</v>
      </c>
      <c r="T564" s="201">
        <v>0</v>
      </c>
      <c r="U564" s="201">
        <v>0</v>
      </c>
      <c r="V564" s="201">
        <v>0</v>
      </c>
      <c r="W564" s="201">
        <v>0</v>
      </c>
      <c r="X564" s="201"/>
      <c r="Y564" s="201">
        <v>1</v>
      </c>
      <c r="Z564" s="139"/>
    </row>
    <row r="565" spans="1:26" hidden="1" x14ac:dyDescent="0.2">
      <c r="A565" s="252" t="s">
        <v>1101</v>
      </c>
      <c r="B565" s="252"/>
      <c r="C565" s="205" t="s">
        <v>2103</v>
      </c>
      <c r="D565" s="206" t="s">
        <v>2104</v>
      </c>
      <c r="E565" s="224">
        <v>0</v>
      </c>
      <c r="F565" s="224">
        <v>0</v>
      </c>
      <c r="G565" s="224">
        <v>9.6987204309806323E-3</v>
      </c>
      <c r="H565" s="224">
        <v>0</v>
      </c>
      <c r="I565" s="224">
        <v>0</v>
      </c>
      <c r="J565" s="224">
        <v>0</v>
      </c>
      <c r="K565" s="224">
        <v>0</v>
      </c>
      <c r="L565" s="224">
        <v>0</v>
      </c>
      <c r="M565" s="224">
        <v>0</v>
      </c>
      <c r="N565" s="224">
        <v>0.81030542393857963</v>
      </c>
      <c r="O565" s="224">
        <v>0</v>
      </c>
      <c r="P565" s="224">
        <v>6.301018739729268E-2</v>
      </c>
      <c r="Q565" s="224">
        <v>0</v>
      </c>
      <c r="R565" s="224">
        <v>0</v>
      </c>
      <c r="S565" s="224">
        <v>0.116985668233147</v>
      </c>
      <c r="T565" s="224">
        <v>0</v>
      </c>
      <c r="U565" s="224">
        <v>0</v>
      </c>
      <c r="V565" s="224">
        <v>0</v>
      </c>
      <c r="W565" s="224">
        <v>0</v>
      </c>
      <c r="X565" s="224"/>
      <c r="Y565" s="201">
        <v>1</v>
      </c>
      <c r="Z565" s="139"/>
    </row>
    <row r="566" spans="1:26" hidden="1" x14ac:dyDescent="0.2">
      <c r="A566" s="221" t="s">
        <v>2814</v>
      </c>
      <c r="B566" s="221"/>
      <c r="C566" s="234" t="s">
        <v>2105</v>
      </c>
      <c r="D566" s="235" t="s">
        <v>2106</v>
      </c>
      <c r="E566" s="240">
        <v>0.69851380042462841</v>
      </c>
      <c r="F566" s="240">
        <v>0</v>
      </c>
      <c r="G566" s="240">
        <v>0</v>
      </c>
      <c r="H566" s="240">
        <v>0</v>
      </c>
      <c r="I566" s="240">
        <v>0</v>
      </c>
      <c r="J566" s="240">
        <v>0</v>
      </c>
      <c r="K566" s="240">
        <v>0</v>
      </c>
      <c r="L566" s="240">
        <v>0.30148619957537154</v>
      </c>
      <c r="M566" s="240">
        <v>0</v>
      </c>
      <c r="N566" s="240">
        <v>0</v>
      </c>
      <c r="O566" s="240">
        <v>0</v>
      </c>
      <c r="P566" s="240">
        <v>0</v>
      </c>
      <c r="Q566" s="240">
        <v>0</v>
      </c>
      <c r="R566" s="240">
        <v>0</v>
      </c>
      <c r="S566" s="240">
        <v>0</v>
      </c>
      <c r="T566" s="240">
        <v>0</v>
      </c>
      <c r="U566" s="240">
        <v>0</v>
      </c>
      <c r="V566" s="240">
        <v>0</v>
      </c>
      <c r="W566" s="240">
        <v>0</v>
      </c>
      <c r="X566" s="240"/>
      <c r="Y566" s="240">
        <v>1</v>
      </c>
      <c r="Z566" s="139"/>
    </row>
    <row r="567" spans="1:26" hidden="1" x14ac:dyDescent="0.2">
      <c r="A567" s="270" t="s">
        <v>2814</v>
      </c>
      <c r="B567" s="270"/>
      <c r="C567" s="282" t="s">
        <v>2107</v>
      </c>
      <c r="D567" s="283" t="s">
        <v>2108</v>
      </c>
      <c r="E567" s="240">
        <v>0</v>
      </c>
      <c r="F567" s="240">
        <v>0</v>
      </c>
      <c r="G567" s="240">
        <v>0</v>
      </c>
      <c r="H567" s="240">
        <v>0</v>
      </c>
      <c r="I567" s="240">
        <v>0</v>
      </c>
      <c r="J567" s="240">
        <v>0</v>
      </c>
      <c r="K567" s="240">
        <v>0</v>
      </c>
      <c r="L567" s="240">
        <v>1</v>
      </c>
      <c r="M567" s="240">
        <v>0</v>
      </c>
      <c r="N567" s="240">
        <v>0</v>
      </c>
      <c r="O567" s="240">
        <v>0</v>
      </c>
      <c r="P567" s="240">
        <v>0</v>
      </c>
      <c r="Q567" s="240">
        <v>0</v>
      </c>
      <c r="R567" s="240">
        <v>0</v>
      </c>
      <c r="S567" s="240">
        <v>0</v>
      </c>
      <c r="T567" s="240">
        <v>0</v>
      </c>
      <c r="U567" s="240">
        <v>0</v>
      </c>
      <c r="V567" s="240">
        <v>0</v>
      </c>
      <c r="W567" s="240">
        <v>0</v>
      </c>
      <c r="X567" s="240"/>
      <c r="Y567" s="240">
        <v>1</v>
      </c>
      <c r="Z567" s="139"/>
    </row>
    <row r="568" spans="1:26" hidden="1" x14ac:dyDescent="0.2">
      <c r="A568" s="232" t="s">
        <v>2814</v>
      </c>
      <c r="B568" s="232"/>
      <c r="C568" s="234" t="s">
        <v>2109</v>
      </c>
      <c r="D568" s="235" t="s">
        <v>2110</v>
      </c>
      <c r="E568" s="236">
        <v>0</v>
      </c>
      <c r="F568" s="236">
        <v>0</v>
      </c>
      <c r="G568" s="236">
        <v>1</v>
      </c>
      <c r="H568" s="236">
        <v>0</v>
      </c>
      <c r="I568" s="236">
        <v>0</v>
      </c>
      <c r="J568" s="236">
        <v>0</v>
      </c>
      <c r="K568" s="236">
        <v>0</v>
      </c>
      <c r="L568" s="236">
        <v>0</v>
      </c>
      <c r="M568" s="236">
        <v>0</v>
      </c>
      <c r="N568" s="236">
        <v>0</v>
      </c>
      <c r="O568" s="236">
        <v>0</v>
      </c>
      <c r="P568" s="236">
        <v>0</v>
      </c>
      <c r="Q568" s="236">
        <v>0</v>
      </c>
      <c r="R568" s="236">
        <v>0</v>
      </c>
      <c r="S568" s="236">
        <v>0</v>
      </c>
      <c r="T568" s="236">
        <v>0</v>
      </c>
      <c r="U568" s="236">
        <v>0</v>
      </c>
      <c r="V568" s="236">
        <v>0</v>
      </c>
      <c r="W568" s="236">
        <v>0</v>
      </c>
      <c r="X568" s="236"/>
      <c r="Y568" s="236">
        <v>1</v>
      </c>
      <c r="Z568" s="139"/>
    </row>
    <row r="569" spans="1:26" hidden="1" x14ac:dyDescent="0.2">
      <c r="A569" s="278" t="s">
        <v>1101</v>
      </c>
      <c r="B569" s="278"/>
      <c r="C569" s="208" t="s">
        <v>2111</v>
      </c>
      <c r="D569" s="209" t="s">
        <v>2112</v>
      </c>
      <c r="E569" s="224">
        <v>0.7</v>
      </c>
      <c r="F569" s="224">
        <v>0</v>
      </c>
      <c r="G569" s="224">
        <v>0</v>
      </c>
      <c r="H569" s="224">
        <v>0</v>
      </c>
      <c r="I569" s="224">
        <v>0</v>
      </c>
      <c r="J569" s="224">
        <v>0</v>
      </c>
      <c r="K569" s="224">
        <v>0</v>
      </c>
      <c r="L569" s="224">
        <v>0.3</v>
      </c>
      <c r="M569" s="224">
        <v>0</v>
      </c>
      <c r="N569" s="224">
        <v>0</v>
      </c>
      <c r="O569" s="224">
        <v>0</v>
      </c>
      <c r="P569" s="224">
        <v>0</v>
      </c>
      <c r="Q569" s="224">
        <v>0</v>
      </c>
      <c r="R569" s="224">
        <v>0</v>
      </c>
      <c r="S569" s="224">
        <v>0</v>
      </c>
      <c r="T569" s="224">
        <v>0</v>
      </c>
      <c r="U569" s="224">
        <v>0</v>
      </c>
      <c r="V569" s="224">
        <v>0</v>
      </c>
      <c r="W569" s="224">
        <v>0</v>
      </c>
      <c r="X569" s="224"/>
      <c r="Y569" s="201">
        <v>1</v>
      </c>
      <c r="Z569" s="139"/>
    </row>
    <row r="570" spans="1:26" hidden="1" x14ac:dyDescent="0.2">
      <c r="A570" s="270" t="s">
        <v>2814</v>
      </c>
      <c r="B570" s="270"/>
      <c r="C570" s="282" t="s">
        <v>2113</v>
      </c>
      <c r="D570" s="283" t="s">
        <v>2114</v>
      </c>
      <c r="E570" s="240">
        <v>0</v>
      </c>
      <c r="F570" s="240">
        <v>0</v>
      </c>
      <c r="G570" s="240">
        <v>0</v>
      </c>
      <c r="H570" s="240">
        <v>1</v>
      </c>
      <c r="I570" s="240">
        <v>0</v>
      </c>
      <c r="J570" s="240">
        <v>0</v>
      </c>
      <c r="K570" s="240">
        <v>0</v>
      </c>
      <c r="L570" s="240">
        <v>0</v>
      </c>
      <c r="M570" s="240">
        <v>0</v>
      </c>
      <c r="N570" s="240">
        <v>0</v>
      </c>
      <c r="O570" s="240">
        <v>0</v>
      </c>
      <c r="P570" s="240">
        <v>0</v>
      </c>
      <c r="Q570" s="240">
        <v>0</v>
      </c>
      <c r="R570" s="240">
        <v>0</v>
      </c>
      <c r="S570" s="240">
        <v>0</v>
      </c>
      <c r="T570" s="240">
        <v>0</v>
      </c>
      <c r="U570" s="240">
        <v>0</v>
      </c>
      <c r="V570" s="240">
        <v>0</v>
      </c>
      <c r="W570" s="240">
        <v>0</v>
      </c>
      <c r="X570" s="240"/>
      <c r="Y570" s="240">
        <v>1</v>
      </c>
      <c r="Z570" s="139"/>
    </row>
    <row r="571" spans="1:26" hidden="1" x14ac:dyDescent="0.2">
      <c r="A571" s="232" t="s">
        <v>2814</v>
      </c>
      <c r="B571" s="232"/>
      <c r="C571" s="234" t="s">
        <v>2115</v>
      </c>
      <c r="D571" s="235" t="s">
        <v>769</v>
      </c>
      <c r="E571" s="236">
        <v>0</v>
      </c>
      <c r="F571" s="236">
        <v>0</v>
      </c>
      <c r="G571" s="236">
        <v>0</v>
      </c>
      <c r="H571" s="236">
        <v>1</v>
      </c>
      <c r="I571" s="236">
        <v>0</v>
      </c>
      <c r="J571" s="236">
        <v>0</v>
      </c>
      <c r="K571" s="236">
        <v>0</v>
      </c>
      <c r="L571" s="236">
        <v>0</v>
      </c>
      <c r="M571" s="236">
        <v>0</v>
      </c>
      <c r="N571" s="236">
        <v>0</v>
      </c>
      <c r="O571" s="236">
        <v>0</v>
      </c>
      <c r="P571" s="236">
        <v>0</v>
      </c>
      <c r="Q571" s="236">
        <v>0</v>
      </c>
      <c r="R571" s="236">
        <v>0</v>
      </c>
      <c r="S571" s="236">
        <v>0</v>
      </c>
      <c r="T571" s="236">
        <v>0</v>
      </c>
      <c r="U571" s="236">
        <v>0</v>
      </c>
      <c r="V571" s="236">
        <v>0</v>
      </c>
      <c r="W571" s="236">
        <v>0</v>
      </c>
      <c r="X571" s="236"/>
      <c r="Y571" s="236">
        <v>1</v>
      </c>
      <c r="Z571" s="139"/>
    </row>
    <row r="572" spans="1:26" ht="22.5" hidden="1" x14ac:dyDescent="0.2">
      <c r="A572" s="254" t="s">
        <v>2814</v>
      </c>
      <c r="B572" s="254"/>
      <c r="C572" s="293" t="s">
        <v>2116</v>
      </c>
      <c r="D572" s="294" t="s">
        <v>2117</v>
      </c>
      <c r="E572" s="240">
        <v>0</v>
      </c>
      <c r="F572" s="240">
        <v>0</v>
      </c>
      <c r="G572" s="240">
        <v>0</v>
      </c>
      <c r="H572" s="240">
        <v>1</v>
      </c>
      <c r="I572" s="240">
        <v>0</v>
      </c>
      <c r="J572" s="240">
        <v>0</v>
      </c>
      <c r="K572" s="240">
        <v>0</v>
      </c>
      <c r="L572" s="240">
        <v>0</v>
      </c>
      <c r="M572" s="240">
        <v>0</v>
      </c>
      <c r="N572" s="240">
        <v>0</v>
      </c>
      <c r="O572" s="240">
        <v>0</v>
      </c>
      <c r="P572" s="240">
        <v>0</v>
      </c>
      <c r="Q572" s="240">
        <v>0</v>
      </c>
      <c r="R572" s="240">
        <v>0</v>
      </c>
      <c r="S572" s="240">
        <v>0</v>
      </c>
      <c r="T572" s="240">
        <v>0</v>
      </c>
      <c r="U572" s="240">
        <v>0</v>
      </c>
      <c r="V572" s="240">
        <v>0</v>
      </c>
      <c r="W572" s="240">
        <v>0</v>
      </c>
      <c r="X572" s="240"/>
      <c r="Y572" s="240">
        <v>1</v>
      </c>
      <c r="Z572" s="139"/>
    </row>
    <row r="573" spans="1:26" hidden="1" x14ac:dyDescent="0.2">
      <c r="A573" s="221" t="s">
        <v>2814</v>
      </c>
      <c r="B573" s="221"/>
      <c r="C573" s="234" t="s">
        <v>2118</v>
      </c>
      <c r="D573" s="235" t="s">
        <v>2119</v>
      </c>
      <c r="E573" s="240">
        <v>0</v>
      </c>
      <c r="F573" s="240">
        <v>0</v>
      </c>
      <c r="G573" s="240">
        <v>0</v>
      </c>
      <c r="H573" s="240">
        <v>1</v>
      </c>
      <c r="I573" s="240">
        <v>0</v>
      </c>
      <c r="J573" s="240">
        <v>0</v>
      </c>
      <c r="K573" s="240">
        <v>0</v>
      </c>
      <c r="L573" s="240">
        <v>0</v>
      </c>
      <c r="M573" s="240">
        <v>0</v>
      </c>
      <c r="N573" s="240">
        <v>0</v>
      </c>
      <c r="O573" s="240">
        <v>0</v>
      </c>
      <c r="P573" s="240">
        <v>0</v>
      </c>
      <c r="Q573" s="240">
        <v>0</v>
      </c>
      <c r="R573" s="240">
        <v>0</v>
      </c>
      <c r="S573" s="240">
        <v>0</v>
      </c>
      <c r="T573" s="240">
        <v>0</v>
      </c>
      <c r="U573" s="240">
        <v>0</v>
      </c>
      <c r="V573" s="240">
        <v>0</v>
      </c>
      <c r="W573" s="240">
        <v>0</v>
      </c>
      <c r="X573" s="240"/>
      <c r="Y573" s="240">
        <v>1</v>
      </c>
      <c r="Z573" s="139"/>
    </row>
    <row r="574" spans="1:26" hidden="1" x14ac:dyDescent="0.2">
      <c r="A574" s="221" t="s">
        <v>2814</v>
      </c>
      <c r="B574" s="221"/>
      <c r="C574" s="234" t="s">
        <v>2120</v>
      </c>
      <c r="D574" s="235" t="s">
        <v>2121</v>
      </c>
      <c r="E574" s="240">
        <v>0</v>
      </c>
      <c r="F574" s="240">
        <v>0</v>
      </c>
      <c r="G574" s="240">
        <v>0</v>
      </c>
      <c r="H574" s="240">
        <v>1</v>
      </c>
      <c r="I574" s="240">
        <v>0</v>
      </c>
      <c r="J574" s="240">
        <v>0</v>
      </c>
      <c r="K574" s="240">
        <v>0</v>
      </c>
      <c r="L574" s="240">
        <v>0</v>
      </c>
      <c r="M574" s="240">
        <v>0</v>
      </c>
      <c r="N574" s="240">
        <v>0</v>
      </c>
      <c r="O574" s="240">
        <v>0</v>
      </c>
      <c r="P574" s="240">
        <v>0</v>
      </c>
      <c r="Q574" s="240">
        <v>0</v>
      </c>
      <c r="R574" s="240">
        <v>0</v>
      </c>
      <c r="S574" s="240">
        <v>0</v>
      </c>
      <c r="T574" s="240">
        <v>0</v>
      </c>
      <c r="U574" s="240">
        <v>0</v>
      </c>
      <c r="V574" s="240">
        <v>0</v>
      </c>
      <c r="W574" s="240">
        <v>0</v>
      </c>
      <c r="X574" s="240"/>
      <c r="Y574" s="240">
        <v>1</v>
      </c>
      <c r="Z574" s="139"/>
    </row>
    <row r="575" spans="1:26" hidden="1" x14ac:dyDescent="0.2">
      <c r="A575" s="252" t="s">
        <v>1101</v>
      </c>
      <c r="B575" s="252"/>
      <c r="C575" s="205" t="s">
        <v>2122</v>
      </c>
      <c r="D575" s="206" t="s">
        <v>2123</v>
      </c>
      <c r="E575" s="307">
        <v>0</v>
      </c>
      <c r="F575" s="307">
        <v>7.4155306018889589E-3</v>
      </c>
      <c r="G575" s="307">
        <v>0.96444768286804161</v>
      </c>
      <c r="H575" s="307">
        <v>0</v>
      </c>
      <c r="I575" s="307">
        <v>0</v>
      </c>
      <c r="J575" s="307">
        <v>0</v>
      </c>
      <c r="K575" s="307">
        <v>0</v>
      </c>
      <c r="L575" s="307">
        <v>0</v>
      </c>
      <c r="M575" s="307">
        <v>0</v>
      </c>
      <c r="N575" s="307">
        <v>0</v>
      </c>
      <c r="O575" s="307">
        <v>0</v>
      </c>
      <c r="P575" s="307">
        <v>0</v>
      </c>
      <c r="Q575" s="307">
        <v>0</v>
      </c>
      <c r="R575" s="307">
        <v>0</v>
      </c>
      <c r="S575" s="307">
        <v>2.8136786530069402E-2</v>
      </c>
      <c r="T575" s="307">
        <v>0</v>
      </c>
      <c r="U575" s="307">
        <v>0</v>
      </c>
      <c r="V575" s="307">
        <v>0</v>
      </c>
      <c r="W575" s="307">
        <v>0</v>
      </c>
      <c r="X575" s="307"/>
      <c r="Y575" s="853">
        <v>1</v>
      </c>
      <c r="Z575" s="139"/>
    </row>
    <row r="576" spans="1:26" hidden="1" x14ac:dyDescent="0.2">
      <c r="A576" s="270" t="s">
        <v>2814</v>
      </c>
      <c r="B576" s="270"/>
      <c r="C576" s="282" t="s">
        <v>2124</v>
      </c>
      <c r="D576" s="283" t="s">
        <v>2125</v>
      </c>
      <c r="E576" s="240">
        <v>1</v>
      </c>
      <c r="F576" s="240">
        <v>0</v>
      </c>
      <c r="G576" s="240">
        <v>0</v>
      </c>
      <c r="H576" s="240">
        <v>0</v>
      </c>
      <c r="I576" s="240">
        <v>0</v>
      </c>
      <c r="J576" s="240">
        <v>0</v>
      </c>
      <c r="K576" s="240">
        <v>0</v>
      </c>
      <c r="L576" s="240">
        <v>0</v>
      </c>
      <c r="M576" s="240">
        <v>0</v>
      </c>
      <c r="N576" s="240">
        <v>0</v>
      </c>
      <c r="O576" s="240">
        <v>0</v>
      </c>
      <c r="P576" s="240">
        <v>0</v>
      </c>
      <c r="Q576" s="240">
        <v>0</v>
      </c>
      <c r="R576" s="240">
        <v>0</v>
      </c>
      <c r="S576" s="240">
        <v>0</v>
      </c>
      <c r="T576" s="240">
        <v>0</v>
      </c>
      <c r="U576" s="240">
        <v>0</v>
      </c>
      <c r="V576" s="240">
        <v>0</v>
      </c>
      <c r="W576" s="240">
        <v>0</v>
      </c>
      <c r="X576" s="240"/>
      <c r="Y576" s="240">
        <v>1</v>
      </c>
      <c r="Z576" s="139"/>
    </row>
    <row r="577" spans="1:26" hidden="1" x14ac:dyDescent="0.2">
      <c r="A577" s="232" t="s">
        <v>2814</v>
      </c>
      <c r="B577" s="232"/>
      <c r="C577" s="234" t="s">
        <v>2126</v>
      </c>
      <c r="D577" s="235" t="s">
        <v>2127</v>
      </c>
      <c r="E577" s="236">
        <v>0.69957081545064381</v>
      </c>
      <c r="F577" s="236">
        <v>0</v>
      </c>
      <c r="G577" s="236">
        <v>0</v>
      </c>
      <c r="H577" s="236">
        <v>0</v>
      </c>
      <c r="I577" s="236">
        <v>0</v>
      </c>
      <c r="J577" s="236">
        <v>0</v>
      </c>
      <c r="K577" s="236">
        <v>0</v>
      </c>
      <c r="L577" s="236">
        <v>0.30042918454935619</v>
      </c>
      <c r="M577" s="236">
        <v>0</v>
      </c>
      <c r="N577" s="236">
        <v>0</v>
      </c>
      <c r="O577" s="236">
        <v>0</v>
      </c>
      <c r="P577" s="236">
        <v>0</v>
      </c>
      <c r="Q577" s="236">
        <v>0</v>
      </c>
      <c r="R577" s="236">
        <v>0</v>
      </c>
      <c r="S577" s="236">
        <v>0</v>
      </c>
      <c r="T577" s="236">
        <v>0</v>
      </c>
      <c r="U577" s="236">
        <v>0</v>
      </c>
      <c r="V577" s="236">
        <v>0</v>
      </c>
      <c r="W577" s="236">
        <v>0</v>
      </c>
      <c r="X577" s="236"/>
      <c r="Y577" s="236">
        <v>1</v>
      </c>
      <c r="Z577" s="139"/>
    </row>
    <row r="578" spans="1:26" hidden="1" x14ac:dyDescent="0.2">
      <c r="A578" s="244" t="s">
        <v>1101</v>
      </c>
      <c r="B578" s="244"/>
      <c r="C578" s="205" t="s">
        <v>2128</v>
      </c>
      <c r="D578" s="206" t="s">
        <v>2129</v>
      </c>
      <c r="E578" s="207">
        <v>0.4</v>
      </c>
      <c r="F578" s="207">
        <v>0</v>
      </c>
      <c r="G578" s="207">
        <v>0</v>
      </c>
      <c r="H578" s="207">
        <v>0</v>
      </c>
      <c r="I578" s="207">
        <v>0</v>
      </c>
      <c r="J578" s="207">
        <v>0</v>
      </c>
      <c r="K578" s="207">
        <v>0</v>
      </c>
      <c r="L578" s="207">
        <v>0.6</v>
      </c>
      <c r="M578" s="207">
        <v>0</v>
      </c>
      <c r="N578" s="207">
        <v>0</v>
      </c>
      <c r="O578" s="207">
        <v>0</v>
      </c>
      <c r="P578" s="207">
        <v>0</v>
      </c>
      <c r="Q578" s="207">
        <v>0</v>
      </c>
      <c r="R578" s="207">
        <v>0</v>
      </c>
      <c r="S578" s="207">
        <v>0</v>
      </c>
      <c r="T578" s="207">
        <v>0</v>
      </c>
      <c r="U578" s="207">
        <v>0</v>
      </c>
      <c r="V578" s="207">
        <v>0</v>
      </c>
      <c r="W578" s="207">
        <v>0</v>
      </c>
      <c r="X578" s="207"/>
      <c r="Y578" s="193">
        <v>1</v>
      </c>
      <c r="Z578" s="139"/>
    </row>
    <row r="579" spans="1:26" hidden="1" x14ac:dyDescent="0.2">
      <c r="A579" s="254" t="s">
        <v>2814</v>
      </c>
      <c r="B579" s="254"/>
      <c r="C579" s="293" t="s">
        <v>2130</v>
      </c>
      <c r="D579" s="294" t="s">
        <v>2131</v>
      </c>
      <c r="E579" s="240">
        <v>0</v>
      </c>
      <c r="F579" s="240">
        <v>0</v>
      </c>
      <c r="G579" s="240">
        <v>0</v>
      </c>
      <c r="H579" s="240">
        <v>0</v>
      </c>
      <c r="I579" s="240">
        <v>0</v>
      </c>
      <c r="J579" s="240">
        <v>0</v>
      </c>
      <c r="K579" s="240">
        <v>0</v>
      </c>
      <c r="L579" s="240">
        <v>1</v>
      </c>
      <c r="M579" s="240">
        <v>0</v>
      </c>
      <c r="N579" s="240">
        <v>0</v>
      </c>
      <c r="O579" s="240">
        <v>0</v>
      </c>
      <c r="P579" s="240">
        <v>0</v>
      </c>
      <c r="Q579" s="240">
        <v>0</v>
      </c>
      <c r="R579" s="240">
        <v>0</v>
      </c>
      <c r="S579" s="240">
        <v>0</v>
      </c>
      <c r="T579" s="240">
        <v>0</v>
      </c>
      <c r="U579" s="240">
        <v>0</v>
      </c>
      <c r="V579" s="240">
        <v>0</v>
      </c>
      <c r="W579" s="240">
        <v>0</v>
      </c>
      <c r="X579" s="240"/>
      <c r="Y579" s="240">
        <v>1</v>
      </c>
      <c r="Z579" s="139"/>
    </row>
    <row r="580" spans="1:26" hidden="1" x14ac:dyDescent="0.2">
      <c r="A580" s="270" t="s">
        <v>2814</v>
      </c>
      <c r="B580" s="270"/>
      <c r="C580" s="282" t="s">
        <v>2132</v>
      </c>
      <c r="D580" s="283" t="s">
        <v>2133</v>
      </c>
      <c r="E580" s="240">
        <v>0</v>
      </c>
      <c r="F580" s="240">
        <v>0</v>
      </c>
      <c r="G580" s="240">
        <v>0</v>
      </c>
      <c r="H580" s="240">
        <v>1</v>
      </c>
      <c r="I580" s="240">
        <v>0</v>
      </c>
      <c r="J580" s="240">
        <v>0</v>
      </c>
      <c r="K580" s="240">
        <v>0</v>
      </c>
      <c r="L580" s="240">
        <v>0</v>
      </c>
      <c r="M580" s="240">
        <v>0</v>
      </c>
      <c r="N580" s="240">
        <v>0</v>
      </c>
      <c r="O580" s="240">
        <v>0</v>
      </c>
      <c r="P580" s="240">
        <v>0</v>
      </c>
      <c r="Q580" s="240">
        <v>0</v>
      </c>
      <c r="R580" s="240">
        <v>0</v>
      </c>
      <c r="S580" s="240">
        <v>0</v>
      </c>
      <c r="T580" s="240">
        <v>0</v>
      </c>
      <c r="U580" s="240">
        <v>0</v>
      </c>
      <c r="V580" s="240">
        <v>0</v>
      </c>
      <c r="W580" s="240">
        <v>0</v>
      </c>
      <c r="X580" s="240"/>
      <c r="Y580" s="240">
        <v>1</v>
      </c>
      <c r="Z580" s="139"/>
    </row>
    <row r="581" spans="1:26" hidden="1" x14ac:dyDescent="0.2">
      <c r="A581" s="232" t="s">
        <v>2814</v>
      </c>
      <c r="B581" s="232"/>
      <c r="C581" s="234" t="s">
        <v>2134</v>
      </c>
      <c r="D581" s="235" t="s">
        <v>2135</v>
      </c>
      <c r="E581" s="236">
        <v>0</v>
      </c>
      <c r="F581" s="236">
        <v>0</v>
      </c>
      <c r="G581" s="236">
        <v>0</v>
      </c>
      <c r="H581" s="236">
        <v>1</v>
      </c>
      <c r="I581" s="236">
        <v>0</v>
      </c>
      <c r="J581" s="236">
        <v>0</v>
      </c>
      <c r="K581" s="236">
        <v>0</v>
      </c>
      <c r="L581" s="236">
        <v>0</v>
      </c>
      <c r="M581" s="236">
        <v>0</v>
      </c>
      <c r="N581" s="236">
        <v>0</v>
      </c>
      <c r="O581" s="236">
        <v>0</v>
      </c>
      <c r="P581" s="236">
        <v>0</v>
      </c>
      <c r="Q581" s="236">
        <v>0</v>
      </c>
      <c r="R581" s="236">
        <v>0</v>
      </c>
      <c r="S581" s="236">
        <v>0</v>
      </c>
      <c r="T581" s="236">
        <v>0</v>
      </c>
      <c r="U581" s="236">
        <v>0</v>
      </c>
      <c r="V581" s="236">
        <v>0</v>
      </c>
      <c r="W581" s="236">
        <v>0</v>
      </c>
      <c r="X581" s="236"/>
      <c r="Y581" s="236">
        <v>1</v>
      </c>
      <c r="Z581" s="139"/>
    </row>
    <row r="582" spans="1:26" hidden="1" x14ac:dyDescent="0.2">
      <c r="A582" s="238" t="s">
        <v>2814</v>
      </c>
      <c r="B582" s="238"/>
      <c r="C582" s="295" t="s">
        <v>2136</v>
      </c>
      <c r="D582" s="296" t="s">
        <v>2137</v>
      </c>
      <c r="E582" s="240">
        <v>0</v>
      </c>
      <c r="F582" s="240">
        <v>0</v>
      </c>
      <c r="G582" s="240">
        <v>0</v>
      </c>
      <c r="H582" s="240">
        <v>1</v>
      </c>
      <c r="I582" s="240">
        <v>0</v>
      </c>
      <c r="J582" s="240">
        <v>0</v>
      </c>
      <c r="K582" s="240">
        <v>0</v>
      </c>
      <c r="L582" s="240">
        <v>0</v>
      </c>
      <c r="M582" s="240">
        <v>0</v>
      </c>
      <c r="N582" s="240">
        <v>0</v>
      </c>
      <c r="O582" s="240">
        <v>0</v>
      </c>
      <c r="P582" s="240">
        <v>0</v>
      </c>
      <c r="Q582" s="240">
        <v>0</v>
      </c>
      <c r="R582" s="240">
        <v>0</v>
      </c>
      <c r="S582" s="240">
        <v>0</v>
      </c>
      <c r="T582" s="240">
        <v>0</v>
      </c>
      <c r="U582" s="240">
        <v>0</v>
      </c>
      <c r="V582" s="240">
        <v>0</v>
      </c>
      <c r="W582" s="240">
        <v>0</v>
      </c>
      <c r="X582" s="240"/>
      <c r="Y582" s="240">
        <v>1</v>
      </c>
      <c r="Z582" s="139"/>
    </row>
    <row r="583" spans="1:26" hidden="1" x14ac:dyDescent="0.2">
      <c r="A583" s="232" t="s">
        <v>2814</v>
      </c>
      <c r="B583" s="232"/>
      <c r="C583" s="308" t="s">
        <v>2825</v>
      </c>
      <c r="D583" s="309" t="s">
        <v>409</v>
      </c>
      <c r="E583" s="236">
        <v>0</v>
      </c>
      <c r="F583" s="236">
        <v>0</v>
      </c>
      <c r="G583" s="236">
        <v>0</v>
      </c>
      <c r="H583" s="236">
        <v>1</v>
      </c>
      <c r="I583" s="236">
        <v>0</v>
      </c>
      <c r="J583" s="236">
        <v>0</v>
      </c>
      <c r="K583" s="236">
        <v>0</v>
      </c>
      <c r="L583" s="236">
        <v>0</v>
      </c>
      <c r="M583" s="236">
        <v>0</v>
      </c>
      <c r="N583" s="236">
        <v>0</v>
      </c>
      <c r="O583" s="236">
        <v>0</v>
      </c>
      <c r="P583" s="236">
        <v>0</v>
      </c>
      <c r="Q583" s="236">
        <v>0</v>
      </c>
      <c r="R583" s="236">
        <v>0</v>
      </c>
      <c r="S583" s="236">
        <v>0</v>
      </c>
      <c r="T583" s="236">
        <v>0</v>
      </c>
      <c r="U583" s="236">
        <v>0</v>
      </c>
      <c r="V583" s="236">
        <v>0</v>
      </c>
      <c r="W583" s="236">
        <v>0</v>
      </c>
      <c r="X583" s="236"/>
      <c r="Y583" s="236">
        <v>1</v>
      </c>
      <c r="Z583" s="139"/>
    </row>
    <row r="584" spans="1:26" hidden="1" x14ac:dyDescent="0.2">
      <c r="A584" s="278" t="s">
        <v>1101</v>
      </c>
      <c r="B584" s="278"/>
      <c r="C584" s="208" t="s">
        <v>2138</v>
      </c>
      <c r="D584" s="209" t="s">
        <v>2139</v>
      </c>
      <c r="E584" s="201">
        <v>0</v>
      </c>
      <c r="F584" s="201">
        <v>0</v>
      </c>
      <c r="G584" s="201">
        <v>0</v>
      </c>
      <c r="H584" s="201">
        <v>1</v>
      </c>
      <c r="I584" s="201">
        <v>0</v>
      </c>
      <c r="J584" s="201">
        <v>0</v>
      </c>
      <c r="K584" s="201">
        <v>0</v>
      </c>
      <c r="L584" s="201">
        <v>0</v>
      </c>
      <c r="M584" s="201">
        <v>0</v>
      </c>
      <c r="N584" s="201">
        <v>0</v>
      </c>
      <c r="O584" s="201">
        <v>0</v>
      </c>
      <c r="P584" s="201">
        <v>0</v>
      </c>
      <c r="Q584" s="201">
        <v>0</v>
      </c>
      <c r="R584" s="201">
        <v>0</v>
      </c>
      <c r="S584" s="201">
        <v>0</v>
      </c>
      <c r="T584" s="201">
        <v>0</v>
      </c>
      <c r="U584" s="201">
        <v>0</v>
      </c>
      <c r="V584" s="201">
        <v>0</v>
      </c>
      <c r="W584" s="201">
        <v>0</v>
      </c>
      <c r="X584" s="201"/>
      <c r="Y584" s="201">
        <v>1</v>
      </c>
      <c r="Z584" s="139"/>
    </row>
    <row r="585" spans="1:26" hidden="1" x14ac:dyDescent="0.2">
      <c r="A585" s="252" t="s">
        <v>1101</v>
      </c>
      <c r="B585" s="252"/>
      <c r="C585" s="205" t="s">
        <v>2140</v>
      </c>
      <c r="D585" s="206" t="s">
        <v>2141</v>
      </c>
      <c r="E585" s="224">
        <v>0</v>
      </c>
      <c r="F585" s="224">
        <v>0</v>
      </c>
      <c r="G585" s="224">
        <v>1.3770487580632224E-2</v>
      </c>
      <c r="H585" s="224">
        <v>0</v>
      </c>
      <c r="I585" s="224">
        <v>0</v>
      </c>
      <c r="J585" s="224">
        <v>0</v>
      </c>
      <c r="K585" s="224">
        <v>0</v>
      </c>
      <c r="L585" s="224">
        <v>0</v>
      </c>
      <c r="M585" s="224">
        <v>0</v>
      </c>
      <c r="N585" s="224">
        <v>0.76543365427749077</v>
      </c>
      <c r="O585" s="224">
        <v>1.1704914450677388E-3</v>
      </c>
      <c r="P585" s="224">
        <v>0.11597828175966718</v>
      </c>
      <c r="Q585" s="224">
        <v>1.1016390071673317E-2</v>
      </c>
      <c r="R585" s="224">
        <v>0</v>
      </c>
      <c r="S585" s="224">
        <v>4.3528512646536517E-2</v>
      </c>
      <c r="T585" s="224">
        <v>0</v>
      </c>
      <c r="U585" s="224">
        <v>4.9102182218932068E-2</v>
      </c>
      <c r="V585" s="224">
        <v>0</v>
      </c>
      <c r="W585" s="224">
        <v>0</v>
      </c>
      <c r="X585" s="224"/>
      <c r="Y585" s="201">
        <v>0.99999999999999989</v>
      </c>
      <c r="Z585" s="139"/>
    </row>
    <row r="586" spans="1:26" hidden="1" x14ac:dyDescent="0.2">
      <c r="A586" s="221" t="s">
        <v>2814</v>
      </c>
      <c r="B586" s="219"/>
      <c r="C586" s="234" t="s">
        <v>2142</v>
      </c>
      <c r="D586" s="235" t="s">
        <v>2143</v>
      </c>
      <c r="E586" s="240">
        <v>1</v>
      </c>
      <c r="F586" s="240">
        <v>0</v>
      </c>
      <c r="G586" s="240">
        <v>0</v>
      </c>
      <c r="H586" s="240">
        <v>0</v>
      </c>
      <c r="I586" s="240">
        <v>0</v>
      </c>
      <c r="J586" s="240">
        <v>0</v>
      </c>
      <c r="K586" s="240">
        <v>0</v>
      </c>
      <c r="L586" s="240">
        <v>0</v>
      </c>
      <c r="M586" s="240">
        <v>0</v>
      </c>
      <c r="N586" s="240">
        <v>0</v>
      </c>
      <c r="O586" s="240">
        <v>0</v>
      </c>
      <c r="P586" s="240">
        <v>0</v>
      </c>
      <c r="Q586" s="240">
        <v>0</v>
      </c>
      <c r="R586" s="240">
        <v>0</v>
      </c>
      <c r="S586" s="240">
        <v>0</v>
      </c>
      <c r="T586" s="240">
        <v>0</v>
      </c>
      <c r="U586" s="240">
        <v>0</v>
      </c>
      <c r="V586" s="240">
        <v>0</v>
      </c>
      <c r="W586" s="240">
        <v>0</v>
      </c>
      <c r="X586" s="240"/>
      <c r="Y586" s="240">
        <v>1</v>
      </c>
      <c r="Z586" s="139"/>
    </row>
    <row r="587" spans="1:26" hidden="1" x14ac:dyDescent="0.2">
      <c r="A587" s="221" t="s">
        <v>2814</v>
      </c>
      <c r="B587" s="219"/>
      <c r="C587" s="234" t="s">
        <v>2144</v>
      </c>
      <c r="D587" s="235" t="s">
        <v>2145</v>
      </c>
      <c r="E587" s="240">
        <v>0.76326530612244892</v>
      </c>
      <c r="F587" s="240">
        <v>0</v>
      </c>
      <c r="G587" s="240">
        <v>0</v>
      </c>
      <c r="H587" s="240">
        <v>0</v>
      </c>
      <c r="I587" s="240">
        <v>0</v>
      </c>
      <c r="J587" s="240">
        <v>0</v>
      </c>
      <c r="K587" s="240">
        <v>0</v>
      </c>
      <c r="L587" s="240">
        <v>0.23673469387755106</v>
      </c>
      <c r="M587" s="240">
        <v>0</v>
      </c>
      <c r="N587" s="240">
        <v>0</v>
      </c>
      <c r="O587" s="240">
        <v>0</v>
      </c>
      <c r="P587" s="240">
        <v>0</v>
      </c>
      <c r="Q587" s="240">
        <v>0</v>
      </c>
      <c r="R587" s="240">
        <v>0</v>
      </c>
      <c r="S587" s="240">
        <v>0</v>
      </c>
      <c r="T587" s="240">
        <v>0</v>
      </c>
      <c r="U587" s="240">
        <v>0</v>
      </c>
      <c r="V587" s="240">
        <v>0</v>
      </c>
      <c r="W587" s="240">
        <v>0</v>
      </c>
      <c r="X587" s="240"/>
      <c r="Y587" s="240">
        <v>1</v>
      </c>
      <c r="Z587" s="139"/>
    </row>
    <row r="588" spans="1:26" hidden="1" x14ac:dyDescent="0.2">
      <c r="A588" s="279" t="s">
        <v>1101</v>
      </c>
      <c r="B588" s="279"/>
      <c r="C588" s="195" t="s">
        <v>2146</v>
      </c>
      <c r="D588" s="196" t="s">
        <v>2147</v>
      </c>
      <c r="E588" s="201">
        <v>0.39999999999999997</v>
      </c>
      <c r="F588" s="201">
        <v>0</v>
      </c>
      <c r="G588" s="201">
        <v>0</v>
      </c>
      <c r="H588" s="201">
        <v>0</v>
      </c>
      <c r="I588" s="201">
        <v>0</v>
      </c>
      <c r="J588" s="201">
        <v>0</v>
      </c>
      <c r="K588" s="201">
        <v>0</v>
      </c>
      <c r="L588" s="201">
        <v>0.60000000000000009</v>
      </c>
      <c r="M588" s="201">
        <v>0</v>
      </c>
      <c r="N588" s="201">
        <v>0</v>
      </c>
      <c r="O588" s="201">
        <v>0</v>
      </c>
      <c r="P588" s="201">
        <v>0</v>
      </c>
      <c r="Q588" s="201">
        <v>0</v>
      </c>
      <c r="R588" s="201">
        <v>0</v>
      </c>
      <c r="S588" s="201">
        <v>0</v>
      </c>
      <c r="T588" s="201">
        <v>0</v>
      </c>
      <c r="U588" s="201">
        <v>0</v>
      </c>
      <c r="V588" s="201">
        <v>0</v>
      </c>
      <c r="W588" s="201">
        <v>0</v>
      </c>
      <c r="X588" s="201"/>
      <c r="Y588" s="201">
        <v>1</v>
      </c>
      <c r="Z588" s="139"/>
    </row>
    <row r="589" spans="1:26" hidden="1" x14ac:dyDescent="0.2">
      <c r="A589" s="232" t="s">
        <v>2814</v>
      </c>
      <c r="B589" s="232"/>
      <c r="C589" s="234" t="s">
        <v>2148</v>
      </c>
      <c r="D589" s="235" t="s">
        <v>2149</v>
      </c>
      <c r="E589" s="236">
        <v>1</v>
      </c>
      <c r="F589" s="236">
        <v>0</v>
      </c>
      <c r="G589" s="236">
        <v>0</v>
      </c>
      <c r="H589" s="236">
        <v>0</v>
      </c>
      <c r="I589" s="236">
        <v>0</v>
      </c>
      <c r="J589" s="236">
        <v>0</v>
      </c>
      <c r="K589" s="236">
        <v>0</v>
      </c>
      <c r="L589" s="236">
        <v>0</v>
      </c>
      <c r="M589" s="236">
        <v>0</v>
      </c>
      <c r="N589" s="236">
        <v>0</v>
      </c>
      <c r="O589" s="236">
        <v>0</v>
      </c>
      <c r="P589" s="236">
        <v>0</v>
      </c>
      <c r="Q589" s="236">
        <v>0</v>
      </c>
      <c r="R589" s="236">
        <v>0</v>
      </c>
      <c r="S589" s="236">
        <v>0</v>
      </c>
      <c r="T589" s="236">
        <v>0</v>
      </c>
      <c r="U589" s="236">
        <v>0</v>
      </c>
      <c r="V589" s="236">
        <v>0</v>
      </c>
      <c r="W589" s="236">
        <v>0</v>
      </c>
      <c r="X589" s="236"/>
      <c r="Y589" s="236">
        <v>1</v>
      </c>
      <c r="Z589" s="139"/>
    </row>
    <row r="590" spans="1:26" hidden="1" x14ac:dyDescent="0.2">
      <c r="A590" s="289" t="s">
        <v>1101</v>
      </c>
      <c r="B590" s="289"/>
      <c r="C590" s="241" t="s">
        <v>2150</v>
      </c>
      <c r="D590" s="242" t="s">
        <v>2151</v>
      </c>
      <c r="E590" s="201">
        <v>0.39999999999999991</v>
      </c>
      <c r="F590" s="201">
        <v>0</v>
      </c>
      <c r="G590" s="201">
        <v>0</v>
      </c>
      <c r="H590" s="201">
        <v>0</v>
      </c>
      <c r="I590" s="201">
        <v>0</v>
      </c>
      <c r="J590" s="201">
        <v>0</v>
      </c>
      <c r="K590" s="201">
        <v>0</v>
      </c>
      <c r="L590" s="201">
        <v>0.60000000000000009</v>
      </c>
      <c r="M590" s="201">
        <v>0</v>
      </c>
      <c r="N590" s="201">
        <v>0</v>
      </c>
      <c r="O590" s="201">
        <v>0</v>
      </c>
      <c r="P590" s="201">
        <v>0</v>
      </c>
      <c r="Q590" s="201">
        <v>0</v>
      </c>
      <c r="R590" s="201">
        <v>0</v>
      </c>
      <c r="S590" s="201">
        <v>0</v>
      </c>
      <c r="T590" s="201">
        <v>0</v>
      </c>
      <c r="U590" s="201">
        <v>0</v>
      </c>
      <c r="V590" s="201">
        <v>0</v>
      </c>
      <c r="W590" s="201">
        <v>0</v>
      </c>
      <c r="X590" s="201"/>
      <c r="Y590" s="201">
        <v>1</v>
      </c>
      <c r="Z590" s="139"/>
    </row>
    <row r="591" spans="1:26" hidden="1" x14ac:dyDescent="0.2">
      <c r="A591" s="232" t="s">
        <v>2814</v>
      </c>
      <c r="B591" s="232"/>
      <c r="C591" s="234" t="s">
        <v>2152</v>
      </c>
      <c r="D591" s="235" t="s">
        <v>2153</v>
      </c>
      <c r="E591" s="236">
        <v>1</v>
      </c>
      <c r="F591" s="236">
        <v>0</v>
      </c>
      <c r="G591" s="236">
        <v>0</v>
      </c>
      <c r="H591" s="236">
        <v>0</v>
      </c>
      <c r="I591" s="236">
        <v>0</v>
      </c>
      <c r="J591" s="236">
        <v>0</v>
      </c>
      <c r="K591" s="236">
        <v>0</v>
      </c>
      <c r="L591" s="236">
        <v>0</v>
      </c>
      <c r="M591" s="236">
        <v>0</v>
      </c>
      <c r="N591" s="236">
        <v>0</v>
      </c>
      <c r="O591" s="236">
        <v>0</v>
      </c>
      <c r="P591" s="236">
        <v>0</v>
      </c>
      <c r="Q591" s="236">
        <v>0</v>
      </c>
      <c r="R591" s="236">
        <v>0</v>
      </c>
      <c r="S591" s="236">
        <v>0</v>
      </c>
      <c r="T591" s="236">
        <v>0</v>
      </c>
      <c r="U591" s="236">
        <v>0</v>
      </c>
      <c r="V591" s="236">
        <v>0</v>
      </c>
      <c r="W591" s="236">
        <v>0</v>
      </c>
      <c r="X591" s="236"/>
      <c r="Y591" s="236">
        <v>1</v>
      </c>
      <c r="Z591" s="139"/>
    </row>
    <row r="592" spans="1:26" hidden="1" x14ac:dyDescent="0.2">
      <c r="A592" s="232" t="s">
        <v>2814</v>
      </c>
      <c r="B592" s="232"/>
      <c r="C592" s="234" t="s">
        <v>2154</v>
      </c>
      <c r="D592" s="235" t="s">
        <v>2155</v>
      </c>
      <c r="E592" s="236">
        <v>0</v>
      </c>
      <c r="F592" s="236">
        <v>0</v>
      </c>
      <c r="G592" s="236">
        <v>0</v>
      </c>
      <c r="H592" s="236">
        <v>0</v>
      </c>
      <c r="I592" s="236">
        <v>0</v>
      </c>
      <c r="J592" s="236">
        <v>0</v>
      </c>
      <c r="K592" s="236">
        <v>0</v>
      </c>
      <c r="L592" s="236">
        <v>1</v>
      </c>
      <c r="M592" s="236">
        <v>0</v>
      </c>
      <c r="N592" s="236">
        <v>0</v>
      </c>
      <c r="O592" s="236">
        <v>0</v>
      </c>
      <c r="P592" s="236">
        <v>0</v>
      </c>
      <c r="Q592" s="236">
        <v>0</v>
      </c>
      <c r="R592" s="236">
        <v>0</v>
      </c>
      <c r="S592" s="236">
        <v>0</v>
      </c>
      <c r="T592" s="236">
        <v>0</v>
      </c>
      <c r="U592" s="236">
        <v>0</v>
      </c>
      <c r="V592" s="236">
        <v>0</v>
      </c>
      <c r="W592" s="236">
        <v>0</v>
      </c>
      <c r="X592" s="236"/>
      <c r="Y592" s="236">
        <v>1</v>
      </c>
      <c r="Z592" s="139"/>
    </row>
    <row r="593" spans="1:26" hidden="1" x14ac:dyDescent="0.2">
      <c r="A593" s="232" t="s">
        <v>2814</v>
      </c>
      <c r="B593" s="232"/>
      <c r="C593" s="234" t="s">
        <v>2156</v>
      </c>
      <c r="D593" s="235" t="s">
        <v>2157</v>
      </c>
      <c r="E593" s="236">
        <v>0</v>
      </c>
      <c r="F593" s="236">
        <v>0</v>
      </c>
      <c r="G593" s="236">
        <v>0</v>
      </c>
      <c r="H593" s="236">
        <v>1</v>
      </c>
      <c r="I593" s="236">
        <v>0</v>
      </c>
      <c r="J593" s="236">
        <v>0</v>
      </c>
      <c r="K593" s="236">
        <v>0</v>
      </c>
      <c r="L593" s="236">
        <v>0</v>
      </c>
      <c r="M593" s="236">
        <v>0</v>
      </c>
      <c r="N593" s="236">
        <v>0</v>
      </c>
      <c r="O593" s="236">
        <v>0</v>
      </c>
      <c r="P593" s="236">
        <v>0</v>
      </c>
      <c r="Q593" s="236">
        <v>0</v>
      </c>
      <c r="R593" s="236">
        <v>0</v>
      </c>
      <c r="S593" s="236">
        <v>0</v>
      </c>
      <c r="T593" s="236">
        <v>0</v>
      </c>
      <c r="U593" s="236">
        <v>0</v>
      </c>
      <c r="V593" s="236">
        <v>0</v>
      </c>
      <c r="W593" s="236">
        <v>0</v>
      </c>
      <c r="X593" s="236"/>
      <c r="Y593" s="236">
        <v>1</v>
      </c>
      <c r="Z593" s="139"/>
    </row>
    <row r="594" spans="1:26" hidden="1" x14ac:dyDescent="0.2">
      <c r="A594" s="232" t="s">
        <v>2814</v>
      </c>
      <c r="B594" s="232"/>
      <c r="C594" s="234" t="s">
        <v>2158</v>
      </c>
      <c r="D594" s="235" t="s">
        <v>2159</v>
      </c>
      <c r="E594" s="236">
        <v>1</v>
      </c>
      <c r="F594" s="236">
        <v>0</v>
      </c>
      <c r="G594" s="236">
        <v>0</v>
      </c>
      <c r="H594" s="236">
        <v>0</v>
      </c>
      <c r="I594" s="236">
        <v>0</v>
      </c>
      <c r="J594" s="236">
        <v>0</v>
      </c>
      <c r="K594" s="236">
        <v>0</v>
      </c>
      <c r="L594" s="236">
        <v>0</v>
      </c>
      <c r="M594" s="236">
        <v>0</v>
      </c>
      <c r="N594" s="236">
        <v>0</v>
      </c>
      <c r="O594" s="236">
        <v>0</v>
      </c>
      <c r="P594" s="236">
        <v>0</v>
      </c>
      <c r="Q594" s="236">
        <v>0</v>
      </c>
      <c r="R594" s="236">
        <v>0</v>
      </c>
      <c r="S594" s="236">
        <v>0</v>
      </c>
      <c r="T594" s="236">
        <v>0</v>
      </c>
      <c r="U594" s="236">
        <v>0</v>
      </c>
      <c r="V594" s="236">
        <v>0</v>
      </c>
      <c r="W594" s="236">
        <v>0</v>
      </c>
      <c r="X594" s="236"/>
      <c r="Y594" s="236">
        <v>1</v>
      </c>
      <c r="Z594" s="139"/>
    </row>
    <row r="595" spans="1:26" hidden="1" x14ac:dyDescent="0.2">
      <c r="A595" s="232" t="s">
        <v>2814</v>
      </c>
      <c r="B595" s="232"/>
      <c r="C595" s="234" t="s">
        <v>2160</v>
      </c>
      <c r="D595" s="235" t="s">
        <v>2161</v>
      </c>
      <c r="E595" s="236">
        <v>0.76171875000000011</v>
      </c>
      <c r="F595" s="236">
        <v>0</v>
      </c>
      <c r="G595" s="236">
        <v>0</v>
      </c>
      <c r="H595" s="236">
        <v>0</v>
      </c>
      <c r="I595" s="236">
        <v>0</v>
      </c>
      <c r="J595" s="236">
        <v>0</v>
      </c>
      <c r="K595" s="236">
        <v>0</v>
      </c>
      <c r="L595" s="236">
        <v>0.23828125</v>
      </c>
      <c r="M595" s="236">
        <v>0</v>
      </c>
      <c r="N595" s="236">
        <v>0</v>
      </c>
      <c r="O595" s="236">
        <v>0</v>
      </c>
      <c r="P595" s="236">
        <v>0</v>
      </c>
      <c r="Q595" s="236">
        <v>0</v>
      </c>
      <c r="R595" s="236">
        <v>0</v>
      </c>
      <c r="S595" s="236">
        <v>0</v>
      </c>
      <c r="T595" s="236">
        <v>0</v>
      </c>
      <c r="U595" s="236">
        <v>0</v>
      </c>
      <c r="V595" s="236">
        <v>0</v>
      </c>
      <c r="W595" s="236">
        <v>0</v>
      </c>
      <c r="X595" s="236"/>
      <c r="Y595" s="236">
        <v>1</v>
      </c>
      <c r="Z595" s="139"/>
    </row>
    <row r="596" spans="1:26" hidden="1" x14ac:dyDescent="0.2">
      <c r="A596" s="244" t="s">
        <v>1101</v>
      </c>
      <c r="B596" s="244"/>
      <c r="C596" s="205" t="s">
        <v>2162</v>
      </c>
      <c r="D596" s="206" t="s">
        <v>2163</v>
      </c>
      <c r="E596" s="193">
        <v>0.4</v>
      </c>
      <c r="F596" s="193">
        <v>0</v>
      </c>
      <c r="G596" s="193">
        <v>0</v>
      </c>
      <c r="H596" s="193">
        <v>0</v>
      </c>
      <c r="I596" s="193">
        <v>0</v>
      </c>
      <c r="J596" s="193">
        <v>0</v>
      </c>
      <c r="K596" s="193">
        <v>0</v>
      </c>
      <c r="L596" s="193">
        <v>0.6</v>
      </c>
      <c r="M596" s="193">
        <v>0</v>
      </c>
      <c r="N596" s="193">
        <v>0</v>
      </c>
      <c r="O596" s="193">
        <v>0</v>
      </c>
      <c r="P596" s="193">
        <v>0</v>
      </c>
      <c r="Q596" s="193">
        <v>0</v>
      </c>
      <c r="R596" s="193">
        <v>0</v>
      </c>
      <c r="S596" s="193">
        <v>0</v>
      </c>
      <c r="T596" s="193">
        <v>0</v>
      </c>
      <c r="U596" s="193">
        <v>0</v>
      </c>
      <c r="V596" s="193">
        <v>0</v>
      </c>
      <c r="W596" s="193">
        <v>0</v>
      </c>
      <c r="X596" s="193"/>
      <c r="Y596" s="193">
        <v>1</v>
      </c>
      <c r="Z596" s="139"/>
    </row>
    <row r="597" spans="1:26" hidden="1" x14ac:dyDescent="0.2">
      <c r="A597" s="232" t="s">
        <v>2814</v>
      </c>
      <c r="B597" s="232"/>
      <c r="C597" s="234" t="s">
        <v>2164</v>
      </c>
      <c r="D597" s="235" t="s">
        <v>2165</v>
      </c>
      <c r="E597" s="236">
        <v>0</v>
      </c>
      <c r="F597" s="236">
        <v>0</v>
      </c>
      <c r="G597" s="236">
        <v>0</v>
      </c>
      <c r="H597" s="236">
        <v>0</v>
      </c>
      <c r="I597" s="236">
        <v>0</v>
      </c>
      <c r="J597" s="236">
        <v>0</v>
      </c>
      <c r="K597" s="236">
        <v>0</v>
      </c>
      <c r="L597" s="236">
        <v>1</v>
      </c>
      <c r="M597" s="236">
        <v>0</v>
      </c>
      <c r="N597" s="236">
        <v>0</v>
      </c>
      <c r="O597" s="236">
        <v>0</v>
      </c>
      <c r="P597" s="236">
        <v>0</v>
      </c>
      <c r="Q597" s="236">
        <v>0</v>
      </c>
      <c r="R597" s="236">
        <v>0</v>
      </c>
      <c r="S597" s="236">
        <v>0</v>
      </c>
      <c r="T597" s="236">
        <v>0</v>
      </c>
      <c r="U597" s="236">
        <v>0</v>
      </c>
      <c r="V597" s="236">
        <v>0</v>
      </c>
      <c r="W597" s="236">
        <v>0</v>
      </c>
      <c r="X597" s="236"/>
      <c r="Y597" s="236">
        <v>1</v>
      </c>
      <c r="Z597" s="139"/>
    </row>
    <row r="598" spans="1:26" hidden="1" x14ac:dyDescent="0.2">
      <c r="A598" s="244" t="s">
        <v>1101</v>
      </c>
      <c r="B598" s="244"/>
      <c r="C598" s="205" t="s">
        <v>2166</v>
      </c>
      <c r="D598" s="206" t="s">
        <v>2167</v>
      </c>
      <c r="E598" s="207">
        <v>0</v>
      </c>
      <c r="F598" s="207">
        <v>5.8458079356652634E-2</v>
      </c>
      <c r="G598" s="207">
        <v>0.20127561199010083</v>
      </c>
      <c r="H598" s="207">
        <v>0</v>
      </c>
      <c r="I598" s="207">
        <v>0</v>
      </c>
      <c r="J598" s="207">
        <v>3.8589540478922518E-2</v>
      </c>
      <c r="K598" s="207">
        <v>0</v>
      </c>
      <c r="L598" s="207">
        <v>0</v>
      </c>
      <c r="M598" s="207">
        <v>0</v>
      </c>
      <c r="N598" s="207">
        <v>0.24300530309730867</v>
      </c>
      <c r="O598" s="207">
        <v>4.2990443785161966E-2</v>
      </c>
      <c r="P598" s="207">
        <v>0.1333342796891081</v>
      </c>
      <c r="Q598" s="207">
        <v>7.3349811171043323E-3</v>
      </c>
      <c r="R598" s="207">
        <v>0</v>
      </c>
      <c r="S598" s="207">
        <v>0.18744127403063937</v>
      </c>
      <c r="T598" s="207">
        <v>8.7570486455001484E-2</v>
      </c>
      <c r="U598" s="207">
        <v>0</v>
      </c>
      <c r="V598" s="207">
        <v>0</v>
      </c>
      <c r="W598" s="207">
        <v>0</v>
      </c>
      <c r="X598" s="207"/>
      <c r="Y598" s="193">
        <v>0.99999999999999978</v>
      </c>
      <c r="Z598" s="139"/>
    </row>
    <row r="599" spans="1:26" hidden="1" x14ac:dyDescent="0.2">
      <c r="A599" s="244" t="s">
        <v>1101</v>
      </c>
      <c r="B599" s="244"/>
      <c r="C599" s="205" t="s">
        <v>2168</v>
      </c>
      <c r="D599" s="206" t="s">
        <v>2169</v>
      </c>
      <c r="E599" s="207">
        <v>0</v>
      </c>
      <c r="F599" s="207">
        <v>0</v>
      </c>
      <c r="G599" s="207">
        <v>0</v>
      </c>
      <c r="H599" s="207">
        <v>0</v>
      </c>
      <c r="I599" s="207">
        <v>0</v>
      </c>
      <c r="J599" s="207">
        <v>7.5075271507818994E-2</v>
      </c>
      <c r="K599" s="207">
        <v>0</v>
      </c>
      <c r="L599" s="207">
        <v>0</v>
      </c>
      <c r="M599" s="207">
        <v>0</v>
      </c>
      <c r="N599" s="207">
        <v>0.40432211362734893</v>
      </c>
      <c r="O599" s="207">
        <v>4.060320934122745E-2</v>
      </c>
      <c r="P599" s="207">
        <v>0.19665966742387228</v>
      </c>
      <c r="Q599" s="207">
        <v>1.2367399726250412E-2</v>
      </c>
      <c r="R599" s="207">
        <v>0</v>
      </c>
      <c r="S599" s="207">
        <v>0.15050089803403974</v>
      </c>
      <c r="T599" s="207">
        <v>0.12047144033944221</v>
      </c>
      <c r="U599" s="207">
        <v>0</v>
      </c>
      <c r="V599" s="207">
        <v>0</v>
      </c>
      <c r="W599" s="207">
        <v>0</v>
      </c>
      <c r="X599" s="207"/>
      <c r="Y599" s="193">
        <v>1</v>
      </c>
      <c r="Z599" s="139"/>
    </row>
    <row r="600" spans="1:26" hidden="1" x14ac:dyDescent="0.2">
      <c r="A600" s="244" t="s">
        <v>1101</v>
      </c>
      <c r="B600" s="244"/>
      <c r="C600" s="205" t="s">
        <v>2170</v>
      </c>
      <c r="D600" s="206" t="s">
        <v>2171</v>
      </c>
      <c r="E600" s="207">
        <v>0</v>
      </c>
      <c r="F600" s="207">
        <v>0</v>
      </c>
      <c r="G600" s="207">
        <v>0</v>
      </c>
      <c r="H600" s="207">
        <v>0</v>
      </c>
      <c r="I600" s="207">
        <v>0</v>
      </c>
      <c r="J600" s="207">
        <v>5.1384474277712672E-2</v>
      </c>
      <c r="K600" s="207">
        <v>0</v>
      </c>
      <c r="L600" s="207">
        <v>0</v>
      </c>
      <c r="M600" s="207">
        <v>0</v>
      </c>
      <c r="N600" s="207">
        <v>0.46429315208702998</v>
      </c>
      <c r="O600" s="207">
        <v>3.0316839824409487E-2</v>
      </c>
      <c r="P600" s="207">
        <v>0.20393450437450267</v>
      </c>
      <c r="Q600" s="207">
        <v>1.2709716146697287E-2</v>
      </c>
      <c r="R600" s="207">
        <v>0</v>
      </c>
      <c r="S600" s="207">
        <v>0.12711584999937833</v>
      </c>
      <c r="T600" s="207">
        <v>0.11024546329026945</v>
      </c>
      <c r="U600" s="207">
        <v>0</v>
      </c>
      <c r="V600" s="207">
        <v>0</v>
      </c>
      <c r="W600" s="207">
        <v>0</v>
      </c>
      <c r="X600" s="207"/>
      <c r="Y600" s="193">
        <v>0.99999999999999978</v>
      </c>
      <c r="Z600" s="139"/>
    </row>
    <row r="601" spans="1:26" hidden="1" x14ac:dyDescent="0.2">
      <c r="A601" s="244" t="s">
        <v>1101</v>
      </c>
      <c r="B601" s="244"/>
      <c r="C601" s="205" t="s">
        <v>2172</v>
      </c>
      <c r="D601" s="206" t="s">
        <v>2173</v>
      </c>
      <c r="E601" s="207">
        <v>0</v>
      </c>
      <c r="F601" s="207">
        <v>3.1937668436580143E-3</v>
      </c>
      <c r="G601" s="207">
        <v>1.7180138275306185E-2</v>
      </c>
      <c r="H601" s="207">
        <v>0</v>
      </c>
      <c r="I601" s="207">
        <v>3.0368028343667505E-3</v>
      </c>
      <c r="J601" s="207">
        <v>1.0471733911609485E-2</v>
      </c>
      <c r="K601" s="207">
        <v>0</v>
      </c>
      <c r="L601" s="207">
        <v>0</v>
      </c>
      <c r="M601" s="207">
        <v>0</v>
      </c>
      <c r="N601" s="207">
        <v>0.13153548748818406</v>
      </c>
      <c r="O601" s="207">
        <v>1.3391401791397769E-2</v>
      </c>
      <c r="P601" s="207">
        <v>5.977495367678904E-2</v>
      </c>
      <c r="Q601" s="207">
        <v>1.0524092581665987E-2</v>
      </c>
      <c r="R601" s="207">
        <v>0</v>
      </c>
      <c r="S601" s="207">
        <v>5.7986180302751981E-2</v>
      </c>
      <c r="T601" s="207">
        <v>0.68385786419464012</v>
      </c>
      <c r="U601" s="207">
        <v>9.0475780996305943E-3</v>
      </c>
      <c r="V601" s="207">
        <v>0</v>
      </c>
      <c r="W601" s="207">
        <v>0</v>
      </c>
      <c r="X601" s="207"/>
      <c r="Y601" s="193">
        <v>1</v>
      </c>
      <c r="Z601" s="139"/>
    </row>
    <row r="602" spans="1:26" hidden="1" x14ac:dyDescent="0.2">
      <c r="A602" s="244" t="s">
        <v>1101</v>
      </c>
      <c r="B602" s="244"/>
      <c r="C602" s="205" t="s">
        <v>2174</v>
      </c>
      <c r="D602" s="206" t="s">
        <v>2175</v>
      </c>
      <c r="E602" s="207">
        <v>0</v>
      </c>
      <c r="F602" s="207">
        <v>9.256545364691263E-3</v>
      </c>
      <c r="G602" s="207">
        <v>2.9362718085306543E-2</v>
      </c>
      <c r="H602" s="207">
        <v>0</v>
      </c>
      <c r="I602" s="207">
        <v>0</v>
      </c>
      <c r="J602" s="207">
        <v>4.8042087678458245E-2</v>
      </c>
      <c r="K602" s="207">
        <v>0</v>
      </c>
      <c r="L602" s="207">
        <v>0</v>
      </c>
      <c r="M602" s="207">
        <v>0</v>
      </c>
      <c r="N602" s="207">
        <v>0.43112968901593163</v>
      </c>
      <c r="O602" s="207">
        <v>2.196827233474425E-2</v>
      </c>
      <c r="P602" s="207">
        <v>0.23599935481264589</v>
      </c>
      <c r="Q602" s="207">
        <v>2.6006783464469916E-2</v>
      </c>
      <c r="R602" s="207">
        <v>0</v>
      </c>
      <c r="S602" s="207">
        <v>8.4803894929928292E-2</v>
      </c>
      <c r="T602" s="207">
        <v>0.11343065431382394</v>
      </c>
      <c r="U602" s="207">
        <v>0</v>
      </c>
      <c r="V602" s="207">
        <v>0</v>
      </c>
      <c r="W602" s="207">
        <v>0</v>
      </c>
      <c r="X602" s="207"/>
      <c r="Y602" s="193">
        <v>1</v>
      </c>
      <c r="Z602" s="139"/>
    </row>
    <row r="603" spans="1:26" hidden="1" x14ac:dyDescent="0.2">
      <c r="A603" s="277" t="s">
        <v>1101</v>
      </c>
      <c r="B603" s="289"/>
      <c r="C603" s="241" t="s">
        <v>2176</v>
      </c>
      <c r="D603" s="242" t="s">
        <v>2177</v>
      </c>
      <c r="E603" s="310">
        <v>0</v>
      </c>
      <c r="F603" s="310">
        <v>0</v>
      </c>
      <c r="G603" s="310">
        <v>0</v>
      </c>
      <c r="H603" s="310">
        <v>0</v>
      </c>
      <c r="I603" s="310">
        <v>0</v>
      </c>
      <c r="J603" s="310">
        <v>0</v>
      </c>
      <c r="K603" s="310">
        <v>0</v>
      </c>
      <c r="L603" s="310">
        <v>0</v>
      </c>
      <c r="M603" s="310">
        <v>0</v>
      </c>
      <c r="N603" s="310">
        <v>1.0774446608556466E-2</v>
      </c>
      <c r="O603" s="310">
        <v>0</v>
      </c>
      <c r="P603" s="310">
        <v>2.2827539477671866E-3</v>
      </c>
      <c r="Q603" s="310">
        <v>0</v>
      </c>
      <c r="R603" s="310">
        <v>0</v>
      </c>
      <c r="S603" s="310">
        <v>3.1019365725648675E-3</v>
      </c>
      <c r="T603" s="310">
        <v>0</v>
      </c>
      <c r="U603" s="310">
        <v>0.9838408628711115</v>
      </c>
      <c r="V603" s="310">
        <v>0</v>
      </c>
      <c r="W603" s="310">
        <v>0</v>
      </c>
      <c r="X603" s="310"/>
      <c r="Y603" s="218">
        <v>1</v>
      </c>
      <c r="Z603" s="139"/>
    </row>
    <row r="604" spans="1:26" hidden="1" x14ac:dyDescent="0.2">
      <c r="A604" s="244" t="s">
        <v>1101</v>
      </c>
      <c r="B604" s="244"/>
      <c r="C604" s="205" t="s">
        <v>2178</v>
      </c>
      <c r="D604" s="206" t="s">
        <v>2179</v>
      </c>
      <c r="E604" s="193">
        <v>0</v>
      </c>
      <c r="F604" s="193">
        <v>0</v>
      </c>
      <c r="G604" s="193">
        <v>2.0050483144596381E-2</v>
      </c>
      <c r="H604" s="193">
        <v>0</v>
      </c>
      <c r="I604" s="193">
        <v>0</v>
      </c>
      <c r="J604" s="193">
        <v>0</v>
      </c>
      <c r="K604" s="193">
        <v>0</v>
      </c>
      <c r="L604" s="193">
        <v>0</v>
      </c>
      <c r="M604" s="193">
        <v>0</v>
      </c>
      <c r="N604" s="193">
        <v>0.81333491669740399</v>
      </c>
      <c r="O604" s="193">
        <v>0</v>
      </c>
      <c r="P604" s="193">
        <v>2.3985390475659753E-2</v>
      </c>
      <c r="Q604" s="193">
        <v>0</v>
      </c>
      <c r="R604" s="193">
        <v>0</v>
      </c>
      <c r="S604" s="193">
        <v>5.0567320025448753E-2</v>
      </c>
      <c r="T604" s="193">
        <v>0</v>
      </c>
      <c r="U604" s="193">
        <v>9.2061889656891119E-2</v>
      </c>
      <c r="V604" s="193">
        <v>0</v>
      </c>
      <c r="W604" s="193">
        <v>0</v>
      </c>
      <c r="X604" s="193"/>
      <c r="Y604" s="193">
        <v>0.99999999999999989</v>
      </c>
      <c r="Z604" s="139"/>
    </row>
    <row r="605" spans="1:26" hidden="1" x14ac:dyDescent="0.2">
      <c r="A605" s="244" t="s">
        <v>1101</v>
      </c>
      <c r="B605" s="244"/>
      <c r="C605" s="205" t="s">
        <v>2180</v>
      </c>
      <c r="D605" s="206" t="s">
        <v>2181</v>
      </c>
      <c r="E605" s="207">
        <v>0</v>
      </c>
      <c r="F605" s="207">
        <v>3.5874797117277223E-2</v>
      </c>
      <c r="G605" s="207">
        <v>2.3808346451751242E-2</v>
      </c>
      <c r="H605" s="207">
        <v>0</v>
      </c>
      <c r="I605" s="207">
        <v>0.12501234022001539</v>
      </c>
      <c r="J605" s="207">
        <v>2.6987436178185317E-2</v>
      </c>
      <c r="K605" s="207">
        <v>0</v>
      </c>
      <c r="L605" s="207">
        <v>0</v>
      </c>
      <c r="M605" s="207">
        <v>0</v>
      </c>
      <c r="N605" s="207">
        <v>0.26278850383708402</v>
      </c>
      <c r="O605" s="207">
        <v>1.8886529568798448E-2</v>
      </c>
      <c r="P605" s="207">
        <v>0.28949392385184941</v>
      </c>
      <c r="Q605" s="207">
        <v>1.0448332901207837E-2</v>
      </c>
      <c r="R605" s="207">
        <v>0</v>
      </c>
      <c r="S605" s="207">
        <v>0.20254411958884808</v>
      </c>
      <c r="T605" s="207">
        <v>4.1556702849829446E-3</v>
      </c>
      <c r="U605" s="207">
        <v>0</v>
      </c>
      <c r="V605" s="207">
        <v>0</v>
      </c>
      <c r="W605" s="207">
        <v>0</v>
      </c>
      <c r="X605" s="207"/>
      <c r="Y605" s="193">
        <v>1</v>
      </c>
      <c r="Z605" s="139"/>
    </row>
    <row r="606" spans="1:26" hidden="1" x14ac:dyDescent="0.2">
      <c r="A606" s="244" t="s">
        <v>1101</v>
      </c>
      <c r="B606" s="244"/>
      <c r="C606" s="205" t="s">
        <v>2182</v>
      </c>
      <c r="D606" s="206" t="s">
        <v>2183</v>
      </c>
      <c r="E606" s="207">
        <v>0</v>
      </c>
      <c r="F606" s="207">
        <v>0</v>
      </c>
      <c r="G606" s="207">
        <v>0</v>
      </c>
      <c r="H606" s="207">
        <v>0</v>
      </c>
      <c r="I606" s="207">
        <v>0</v>
      </c>
      <c r="J606" s="207">
        <v>0</v>
      </c>
      <c r="K606" s="207">
        <v>0</v>
      </c>
      <c r="L606" s="207">
        <v>0</v>
      </c>
      <c r="M606" s="207">
        <v>0</v>
      </c>
      <c r="N606" s="207">
        <v>0.70678894587670316</v>
      </c>
      <c r="O606" s="207">
        <v>0</v>
      </c>
      <c r="P606" s="207">
        <v>0.12390850976378552</v>
      </c>
      <c r="Q606" s="207">
        <v>1.11955487104098E-2</v>
      </c>
      <c r="R606" s="207">
        <v>0</v>
      </c>
      <c r="S606" s="207">
        <v>0.13718230125896475</v>
      </c>
      <c r="T606" s="207">
        <v>2.0924694390136864E-2</v>
      </c>
      <c r="U606" s="207">
        <v>0</v>
      </c>
      <c r="V606" s="207">
        <v>0</v>
      </c>
      <c r="W606" s="207">
        <v>0</v>
      </c>
      <c r="X606" s="207"/>
      <c r="Y606" s="193">
        <v>1.0000000000000002</v>
      </c>
      <c r="Z606" s="139"/>
    </row>
    <row r="607" spans="1:26" hidden="1" x14ac:dyDescent="0.2">
      <c r="A607" s="244" t="s">
        <v>1101</v>
      </c>
      <c r="B607" s="244"/>
      <c r="C607" s="205" t="s">
        <v>2184</v>
      </c>
      <c r="D607" s="206" t="s">
        <v>2185</v>
      </c>
      <c r="E607" s="207">
        <v>0</v>
      </c>
      <c r="F607" s="207">
        <v>5.6770824009062084E-3</v>
      </c>
      <c r="G607" s="207">
        <v>1.4448188754050168E-2</v>
      </c>
      <c r="H607" s="207">
        <v>0</v>
      </c>
      <c r="I607" s="207">
        <v>0</v>
      </c>
      <c r="J607" s="207">
        <v>2.0973141900410677E-2</v>
      </c>
      <c r="K607" s="207">
        <v>0</v>
      </c>
      <c r="L607" s="207">
        <v>0</v>
      </c>
      <c r="M607" s="207">
        <v>0</v>
      </c>
      <c r="N607" s="207">
        <v>0.42795830919049144</v>
      </c>
      <c r="O607" s="207">
        <v>2.5258577813638664E-2</v>
      </c>
      <c r="P607" s="207">
        <v>0.18680494886824217</v>
      </c>
      <c r="Q607" s="207">
        <v>1.1546793727163013E-2</v>
      </c>
      <c r="R607" s="207">
        <v>0</v>
      </c>
      <c r="S607" s="207">
        <v>0.14232869996244751</v>
      </c>
      <c r="T607" s="207">
        <v>0.16500425738265023</v>
      </c>
      <c r="U607" s="207">
        <v>0</v>
      </c>
      <c r="V607" s="207">
        <v>0</v>
      </c>
      <c r="W607" s="207">
        <v>0</v>
      </c>
      <c r="X607" s="207"/>
      <c r="Y607" s="193">
        <v>1</v>
      </c>
      <c r="Z607" s="139"/>
    </row>
    <row r="608" spans="1:26" hidden="1" x14ac:dyDescent="0.2">
      <c r="A608" s="244" t="s">
        <v>1101</v>
      </c>
      <c r="B608" s="244"/>
      <c r="C608" s="205" t="s">
        <v>2186</v>
      </c>
      <c r="D608" s="206" t="s">
        <v>2187</v>
      </c>
      <c r="E608" s="193">
        <v>0</v>
      </c>
      <c r="F608" s="193">
        <v>0</v>
      </c>
      <c r="G608" s="193">
        <v>1.053883052959762E-2</v>
      </c>
      <c r="H608" s="193">
        <v>0</v>
      </c>
      <c r="I608" s="193">
        <v>0</v>
      </c>
      <c r="J608" s="193">
        <v>0</v>
      </c>
      <c r="K608" s="193">
        <v>0</v>
      </c>
      <c r="L608" s="193">
        <v>0</v>
      </c>
      <c r="M608" s="193">
        <v>0</v>
      </c>
      <c r="N608" s="193">
        <v>8.298467076600255E-2</v>
      </c>
      <c r="O608" s="193">
        <v>0</v>
      </c>
      <c r="P608" s="193">
        <v>1.9045352932649955E-2</v>
      </c>
      <c r="Q608" s="193">
        <v>0</v>
      </c>
      <c r="R608" s="193">
        <v>0</v>
      </c>
      <c r="S608" s="193">
        <v>1.2191319480238974E-2</v>
      </c>
      <c r="T608" s="193">
        <v>0.87523982629151087</v>
      </c>
      <c r="U608" s="193">
        <v>0</v>
      </c>
      <c r="V608" s="193">
        <v>0</v>
      </c>
      <c r="W608" s="193">
        <v>0</v>
      </c>
      <c r="X608" s="193"/>
      <c r="Y608" s="193">
        <v>1</v>
      </c>
      <c r="Z608" s="139"/>
    </row>
    <row r="609" spans="1:26" hidden="1" x14ac:dyDescent="0.2">
      <c r="A609" s="277" t="s">
        <v>1101</v>
      </c>
      <c r="B609" s="289"/>
      <c r="C609" s="241" t="s">
        <v>2188</v>
      </c>
      <c r="D609" s="242" t="s">
        <v>2189</v>
      </c>
      <c r="E609" s="218">
        <v>0</v>
      </c>
      <c r="F609" s="218">
        <v>0</v>
      </c>
      <c r="G609" s="218">
        <v>3.6071293474744582E-3</v>
      </c>
      <c r="H609" s="218">
        <v>0</v>
      </c>
      <c r="I609" s="218">
        <v>0</v>
      </c>
      <c r="J609" s="218">
        <v>0</v>
      </c>
      <c r="K609" s="218">
        <v>0</v>
      </c>
      <c r="L609" s="218">
        <v>0</v>
      </c>
      <c r="M609" s="218">
        <v>0</v>
      </c>
      <c r="N609" s="218">
        <v>3.2756183456837396E-2</v>
      </c>
      <c r="O609" s="218">
        <v>0</v>
      </c>
      <c r="P609" s="218">
        <v>7.0958005513723056E-3</v>
      </c>
      <c r="Q609" s="218">
        <v>0</v>
      </c>
      <c r="R609" s="218">
        <v>0</v>
      </c>
      <c r="S609" s="218">
        <v>3.9000283249914823E-3</v>
      </c>
      <c r="T609" s="218">
        <v>0.95264085831932432</v>
      </c>
      <c r="U609" s="218">
        <v>0</v>
      </c>
      <c r="V609" s="218">
        <v>0</v>
      </c>
      <c r="W609" s="218">
        <v>0</v>
      </c>
      <c r="X609" s="218"/>
      <c r="Y609" s="218">
        <v>1</v>
      </c>
      <c r="Z609" s="139"/>
    </row>
    <row r="610" spans="1:26" hidden="1" x14ac:dyDescent="0.2">
      <c r="A610" s="255" t="s">
        <v>2594</v>
      </c>
      <c r="B610" s="311"/>
      <c r="C610" s="267" t="s">
        <v>2221</v>
      </c>
      <c r="D610" s="268" t="s">
        <v>453</v>
      </c>
      <c r="E610" s="260"/>
      <c r="F610" s="260"/>
      <c r="G610" s="260"/>
      <c r="H610" s="260">
        <v>1</v>
      </c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>
        <v>1</v>
      </c>
      <c r="Z610" s="139"/>
    </row>
    <row r="611" spans="1:26" hidden="1" x14ac:dyDescent="0.2">
      <c r="A611" s="746" t="s">
        <v>2599</v>
      </c>
      <c r="B611" s="759"/>
      <c r="C611" s="765" t="s">
        <v>2203</v>
      </c>
      <c r="D611" s="766" t="s">
        <v>456</v>
      </c>
      <c r="E611" s="744">
        <v>0</v>
      </c>
      <c r="F611" s="744">
        <v>0</v>
      </c>
      <c r="G611" s="744">
        <v>0</v>
      </c>
      <c r="H611" s="744">
        <v>0</v>
      </c>
      <c r="I611" s="744">
        <v>0</v>
      </c>
      <c r="J611" s="744">
        <v>0</v>
      </c>
      <c r="K611" s="744">
        <v>0</v>
      </c>
      <c r="L611" s="744">
        <v>0</v>
      </c>
      <c r="M611" s="744">
        <v>0</v>
      </c>
      <c r="N611" s="744">
        <v>0</v>
      </c>
      <c r="O611" s="744">
        <v>0</v>
      </c>
      <c r="P611" s="744">
        <v>0</v>
      </c>
      <c r="Q611" s="744">
        <v>0</v>
      </c>
      <c r="R611" s="744">
        <v>0</v>
      </c>
      <c r="S611" s="744">
        <v>1</v>
      </c>
      <c r="T611" s="744">
        <v>0</v>
      </c>
      <c r="U611" s="744">
        <v>0</v>
      </c>
      <c r="V611" s="744">
        <v>0</v>
      </c>
      <c r="W611" s="744">
        <v>0</v>
      </c>
      <c r="X611" s="744">
        <v>0</v>
      </c>
      <c r="Y611" s="850">
        <v>1</v>
      </c>
      <c r="Z611" s="139"/>
    </row>
    <row r="612" spans="1:26" hidden="1" x14ac:dyDescent="0.2">
      <c r="A612" s="255" t="s">
        <v>2594</v>
      </c>
      <c r="B612" s="312"/>
      <c r="C612" s="313" t="s">
        <v>2198</v>
      </c>
      <c r="D612" s="314" t="s">
        <v>462</v>
      </c>
      <c r="E612" s="256"/>
      <c r="F612" s="256"/>
      <c r="G612" s="256"/>
      <c r="H612" s="256">
        <v>1</v>
      </c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849">
        <v>1</v>
      </c>
      <c r="Z612" s="139"/>
    </row>
    <row r="613" spans="1:26" hidden="1" x14ac:dyDescent="0.2">
      <c r="A613" s="255" t="s">
        <v>2594</v>
      </c>
      <c r="B613" s="311"/>
      <c r="C613" s="315" t="s">
        <v>2227</v>
      </c>
      <c r="D613" s="316" t="s">
        <v>2228</v>
      </c>
      <c r="E613" s="260"/>
      <c r="F613" s="260"/>
      <c r="G613" s="260"/>
      <c r="H613" s="260">
        <v>1</v>
      </c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>
        <v>1</v>
      </c>
      <c r="Z613" s="139"/>
    </row>
    <row r="614" spans="1:26" hidden="1" x14ac:dyDescent="0.2">
      <c r="A614" s="746" t="s">
        <v>2599</v>
      </c>
      <c r="B614" s="759"/>
      <c r="C614" s="765" t="s">
        <v>2215</v>
      </c>
      <c r="D614" s="766" t="s">
        <v>488</v>
      </c>
      <c r="E614" s="744">
        <v>0.94610002385945868</v>
      </c>
      <c r="F614" s="744">
        <v>0</v>
      </c>
      <c r="G614" s="744">
        <v>0</v>
      </c>
      <c r="H614" s="744">
        <v>1.9999901207826222E-2</v>
      </c>
      <c r="I614" s="744">
        <v>0</v>
      </c>
      <c r="J614" s="744">
        <v>0</v>
      </c>
      <c r="K614" s="744">
        <v>0</v>
      </c>
      <c r="L614" s="744">
        <v>3.390007493271506E-2</v>
      </c>
      <c r="M614" s="744">
        <v>0</v>
      </c>
      <c r="N614" s="744">
        <v>0</v>
      </c>
      <c r="O614" s="744">
        <v>0</v>
      </c>
      <c r="P614" s="744">
        <v>0</v>
      </c>
      <c r="Q614" s="744">
        <v>0</v>
      </c>
      <c r="R614" s="744">
        <v>0</v>
      </c>
      <c r="S614" s="744">
        <v>0</v>
      </c>
      <c r="T614" s="744">
        <v>0</v>
      </c>
      <c r="U614" s="744">
        <v>0</v>
      </c>
      <c r="V614" s="744">
        <v>0</v>
      </c>
      <c r="W614" s="744">
        <v>0</v>
      </c>
      <c r="X614" s="744">
        <v>0</v>
      </c>
      <c r="Y614" s="850">
        <v>1</v>
      </c>
      <c r="Z614" s="139"/>
    </row>
    <row r="615" spans="1:26" hidden="1" x14ac:dyDescent="0.2">
      <c r="A615" s="255" t="s">
        <v>2594</v>
      </c>
      <c r="B615" s="317"/>
      <c r="C615" s="318" t="s">
        <v>2229</v>
      </c>
      <c r="D615" s="319" t="s">
        <v>490</v>
      </c>
      <c r="E615" s="256"/>
      <c r="F615" s="256"/>
      <c r="G615" s="256"/>
      <c r="H615" s="256"/>
      <c r="I615" s="256"/>
      <c r="J615" s="256"/>
      <c r="K615" s="256"/>
      <c r="L615" s="256">
        <v>1</v>
      </c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>
        <v>1</v>
      </c>
      <c r="Z615" s="139"/>
    </row>
    <row r="616" spans="1:26" hidden="1" x14ac:dyDescent="0.2">
      <c r="A616" s="255" t="s">
        <v>2594</v>
      </c>
      <c r="B616" s="320"/>
      <c r="C616" s="321" t="s">
        <v>2224</v>
      </c>
      <c r="D616" s="322" t="s">
        <v>501</v>
      </c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380">
        <v>0</v>
      </c>
      <c r="U616" s="256"/>
      <c r="V616" s="256"/>
      <c r="W616" s="380">
        <v>1</v>
      </c>
      <c r="X616" s="380"/>
      <c r="Y616" s="849">
        <v>1</v>
      </c>
      <c r="Z616" s="139"/>
    </row>
    <row r="617" spans="1:26" hidden="1" x14ac:dyDescent="0.2">
      <c r="A617" s="746" t="s">
        <v>2599</v>
      </c>
      <c r="B617" s="759"/>
      <c r="C617" s="765" t="s">
        <v>2216</v>
      </c>
      <c r="D617" s="766" t="s">
        <v>503</v>
      </c>
      <c r="E617" s="744">
        <v>0</v>
      </c>
      <c r="F617" s="744">
        <v>0</v>
      </c>
      <c r="G617" s="744">
        <v>0</v>
      </c>
      <c r="H617" s="744">
        <v>0</v>
      </c>
      <c r="I617" s="744">
        <v>0</v>
      </c>
      <c r="J617" s="744">
        <v>0</v>
      </c>
      <c r="K617" s="744">
        <v>0</v>
      </c>
      <c r="L617" s="744">
        <v>0</v>
      </c>
      <c r="M617" s="744">
        <v>0</v>
      </c>
      <c r="N617" s="744">
        <v>0</v>
      </c>
      <c r="O617" s="744">
        <v>0</v>
      </c>
      <c r="P617" s="744">
        <v>0</v>
      </c>
      <c r="Q617" s="744">
        <v>0</v>
      </c>
      <c r="R617" s="744">
        <v>0</v>
      </c>
      <c r="S617" s="744">
        <v>0</v>
      </c>
      <c r="T617" s="744">
        <v>0</v>
      </c>
      <c r="U617" s="744">
        <v>0</v>
      </c>
      <c r="V617" s="744">
        <v>0</v>
      </c>
      <c r="W617" s="744">
        <v>1</v>
      </c>
      <c r="X617" s="744">
        <v>0</v>
      </c>
      <c r="Y617" s="236">
        <v>1</v>
      </c>
      <c r="Z617" s="139"/>
    </row>
    <row r="618" spans="1:26" hidden="1" x14ac:dyDescent="0.2">
      <c r="A618" s="746" t="s">
        <v>2599</v>
      </c>
      <c r="B618" s="779"/>
      <c r="C618" s="780" t="s">
        <v>2217</v>
      </c>
      <c r="D618" s="781" t="s">
        <v>505</v>
      </c>
      <c r="E618" s="744">
        <v>0</v>
      </c>
      <c r="F618" s="744">
        <v>0</v>
      </c>
      <c r="G618" s="744">
        <v>0</v>
      </c>
      <c r="H618" s="744">
        <v>0</v>
      </c>
      <c r="I618" s="744">
        <v>0</v>
      </c>
      <c r="J618" s="744">
        <v>0</v>
      </c>
      <c r="K618" s="744">
        <v>0</v>
      </c>
      <c r="L618" s="744">
        <v>0</v>
      </c>
      <c r="M618" s="744">
        <v>0</v>
      </c>
      <c r="N618" s="744">
        <v>0</v>
      </c>
      <c r="O618" s="744">
        <v>0</v>
      </c>
      <c r="P618" s="744">
        <v>0</v>
      </c>
      <c r="Q618" s="744">
        <v>0</v>
      </c>
      <c r="R618" s="744">
        <v>0</v>
      </c>
      <c r="S618" s="744">
        <v>0</v>
      </c>
      <c r="T618" s="744">
        <v>0</v>
      </c>
      <c r="U618" s="744">
        <v>0</v>
      </c>
      <c r="V618" s="744">
        <v>0</v>
      </c>
      <c r="W618" s="744">
        <v>1</v>
      </c>
      <c r="X618" s="744">
        <v>0</v>
      </c>
      <c r="Y618" s="849">
        <v>1</v>
      </c>
      <c r="Z618" s="139"/>
    </row>
    <row r="619" spans="1:26" hidden="1" x14ac:dyDescent="0.2">
      <c r="A619" s="244"/>
      <c r="B619" s="244"/>
      <c r="C619" s="205" t="s">
        <v>2212</v>
      </c>
      <c r="D619" s="206" t="s">
        <v>522</v>
      </c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>
        <v>1</v>
      </c>
      <c r="T619" s="193"/>
      <c r="U619" s="193"/>
      <c r="V619" s="193"/>
      <c r="W619" s="193"/>
      <c r="X619" s="193"/>
      <c r="Y619" s="843">
        <v>1</v>
      </c>
      <c r="Z619" s="139"/>
    </row>
    <row r="620" spans="1:26" hidden="1" x14ac:dyDescent="0.2">
      <c r="A620" s="746" t="s">
        <v>2599</v>
      </c>
      <c r="B620" s="759"/>
      <c r="C620" s="765" t="s">
        <v>2219</v>
      </c>
      <c r="D620" s="766" t="s">
        <v>524</v>
      </c>
      <c r="E620" s="744">
        <v>0</v>
      </c>
      <c r="F620" s="744">
        <v>0</v>
      </c>
      <c r="G620" s="744">
        <v>0</v>
      </c>
      <c r="H620" s="744">
        <v>1</v>
      </c>
      <c r="I620" s="744">
        <v>0</v>
      </c>
      <c r="J620" s="744">
        <v>0</v>
      </c>
      <c r="K620" s="744">
        <v>0</v>
      </c>
      <c r="L620" s="744">
        <v>0</v>
      </c>
      <c r="M620" s="744">
        <v>0</v>
      </c>
      <c r="N620" s="744">
        <v>0</v>
      </c>
      <c r="O620" s="744">
        <v>0</v>
      </c>
      <c r="P620" s="744">
        <v>0</v>
      </c>
      <c r="Q620" s="744">
        <v>0</v>
      </c>
      <c r="R620" s="744">
        <v>0</v>
      </c>
      <c r="S620" s="744">
        <v>0</v>
      </c>
      <c r="T620" s="744">
        <v>0</v>
      </c>
      <c r="U620" s="744">
        <v>0</v>
      </c>
      <c r="V620" s="744">
        <v>0</v>
      </c>
      <c r="W620" s="744">
        <v>0</v>
      </c>
      <c r="X620" s="744">
        <v>0</v>
      </c>
      <c r="Y620" s="236">
        <v>1</v>
      </c>
      <c r="Z620" s="139"/>
    </row>
    <row r="621" spans="1:26" hidden="1" x14ac:dyDescent="0.2">
      <c r="A621" s="746" t="s">
        <v>2599</v>
      </c>
      <c r="B621" s="779"/>
      <c r="C621" s="780" t="s">
        <v>2213</v>
      </c>
      <c r="D621" s="781" t="s">
        <v>531</v>
      </c>
      <c r="E621" s="744">
        <v>0</v>
      </c>
      <c r="F621" s="744">
        <v>0</v>
      </c>
      <c r="G621" s="744">
        <v>0</v>
      </c>
      <c r="H621" s="744">
        <v>0</v>
      </c>
      <c r="I621" s="744">
        <v>0</v>
      </c>
      <c r="J621" s="744">
        <v>0</v>
      </c>
      <c r="K621" s="744">
        <v>0</v>
      </c>
      <c r="L621" s="744">
        <v>1</v>
      </c>
      <c r="M621" s="744">
        <v>0</v>
      </c>
      <c r="N621" s="744">
        <v>0</v>
      </c>
      <c r="O621" s="744">
        <v>0</v>
      </c>
      <c r="P621" s="744">
        <v>0</v>
      </c>
      <c r="Q621" s="744">
        <v>0</v>
      </c>
      <c r="R621" s="744">
        <v>0</v>
      </c>
      <c r="S621" s="744">
        <v>0</v>
      </c>
      <c r="T621" s="744">
        <v>0</v>
      </c>
      <c r="U621" s="744">
        <v>0</v>
      </c>
      <c r="V621" s="744">
        <v>0</v>
      </c>
      <c r="W621" s="744">
        <v>0</v>
      </c>
      <c r="X621" s="744">
        <v>0</v>
      </c>
      <c r="Y621" s="220">
        <v>1</v>
      </c>
      <c r="Z621" s="139"/>
    </row>
    <row r="622" spans="1:26" hidden="1" x14ac:dyDescent="0.2">
      <c r="A622" s="746" t="s">
        <v>2599</v>
      </c>
      <c r="B622" s="759"/>
      <c r="C622" s="765" t="s">
        <v>2214</v>
      </c>
      <c r="D622" s="766" t="s">
        <v>533</v>
      </c>
      <c r="E622" s="744">
        <v>1</v>
      </c>
      <c r="F622" s="744">
        <v>0</v>
      </c>
      <c r="G622" s="744">
        <v>0</v>
      </c>
      <c r="H622" s="744">
        <v>0</v>
      </c>
      <c r="I622" s="744">
        <v>0</v>
      </c>
      <c r="J622" s="744">
        <v>0</v>
      </c>
      <c r="K622" s="744">
        <v>0</v>
      </c>
      <c r="L622" s="744">
        <v>0</v>
      </c>
      <c r="M622" s="744">
        <v>0</v>
      </c>
      <c r="N622" s="744">
        <v>0</v>
      </c>
      <c r="O622" s="744">
        <v>0</v>
      </c>
      <c r="P622" s="744">
        <v>0</v>
      </c>
      <c r="Q622" s="744">
        <v>0</v>
      </c>
      <c r="R622" s="744">
        <v>0</v>
      </c>
      <c r="S622" s="744">
        <v>0</v>
      </c>
      <c r="T622" s="744">
        <v>0</v>
      </c>
      <c r="U622" s="744">
        <v>0</v>
      </c>
      <c r="V622" s="744">
        <v>0</v>
      </c>
      <c r="W622" s="744">
        <v>0</v>
      </c>
      <c r="X622" s="744">
        <v>0</v>
      </c>
      <c r="Y622" s="850">
        <v>1</v>
      </c>
      <c r="Z622" s="139"/>
    </row>
    <row r="623" spans="1:26" hidden="1" x14ac:dyDescent="0.2">
      <c r="A623" s="219" t="s">
        <v>2814</v>
      </c>
      <c r="B623" s="238"/>
      <c r="C623" s="323" t="s">
        <v>2826</v>
      </c>
      <c r="D623" s="324" t="s">
        <v>546</v>
      </c>
      <c r="E623" s="220">
        <v>0</v>
      </c>
      <c r="F623" s="220">
        <v>0</v>
      </c>
      <c r="G623" s="220">
        <v>7.9009741412236476E-2</v>
      </c>
      <c r="H623" s="220">
        <v>0</v>
      </c>
      <c r="I623" s="220">
        <v>0</v>
      </c>
      <c r="J623" s="220">
        <v>0</v>
      </c>
      <c r="K623" s="220">
        <v>0</v>
      </c>
      <c r="L623" s="220">
        <v>0</v>
      </c>
      <c r="M623" s="220">
        <v>0</v>
      </c>
      <c r="N623" s="220">
        <v>0</v>
      </c>
      <c r="O623" s="220">
        <v>0</v>
      </c>
      <c r="P623" s="220">
        <v>0</v>
      </c>
      <c r="Q623" s="220">
        <v>0</v>
      </c>
      <c r="R623" s="220">
        <v>0</v>
      </c>
      <c r="S623" s="220">
        <v>0.92099025858776351</v>
      </c>
      <c r="T623" s="220">
        <v>0</v>
      </c>
      <c r="U623" s="220">
        <v>0</v>
      </c>
      <c r="V623" s="220">
        <v>0</v>
      </c>
      <c r="W623" s="220">
        <v>0</v>
      </c>
      <c r="X623" s="220"/>
      <c r="Y623" s="220">
        <v>1</v>
      </c>
      <c r="Z623" s="139"/>
    </row>
    <row r="624" spans="1:26" hidden="1" x14ac:dyDescent="0.2">
      <c r="A624" s="255" t="s">
        <v>2594</v>
      </c>
      <c r="B624" s="311"/>
      <c r="C624" s="267" t="s">
        <v>2220</v>
      </c>
      <c r="D624" s="268" t="s">
        <v>576</v>
      </c>
      <c r="E624" s="260"/>
      <c r="F624" s="260"/>
      <c r="G624" s="260"/>
      <c r="H624" s="260"/>
      <c r="I624" s="260"/>
      <c r="J624" s="260"/>
      <c r="K624" s="260"/>
      <c r="L624" s="260"/>
      <c r="M624" s="260"/>
      <c r="N624" s="260">
        <v>0.42</v>
      </c>
      <c r="O624" s="260">
        <v>0.15</v>
      </c>
      <c r="P624" s="260">
        <v>0.2</v>
      </c>
      <c r="Q624" s="260"/>
      <c r="R624" s="260"/>
      <c r="S624" s="260">
        <v>0.23</v>
      </c>
      <c r="T624" s="260"/>
      <c r="U624" s="260"/>
      <c r="V624" s="260"/>
      <c r="W624" s="260"/>
      <c r="X624" s="260"/>
      <c r="Y624" s="260">
        <v>1</v>
      </c>
      <c r="Z624" s="139"/>
    </row>
    <row r="625" spans="1:26" hidden="1" x14ac:dyDescent="0.2">
      <c r="A625" s="255" t="s">
        <v>2594</v>
      </c>
      <c r="B625" s="317"/>
      <c r="C625" s="325" t="s">
        <v>2225</v>
      </c>
      <c r="D625" s="319" t="s">
        <v>578</v>
      </c>
      <c r="E625" s="256"/>
      <c r="F625" s="256"/>
      <c r="G625" s="256"/>
      <c r="H625" s="256"/>
      <c r="I625" s="256"/>
      <c r="J625" s="256"/>
      <c r="K625" s="256"/>
      <c r="L625" s="256"/>
      <c r="M625" s="256"/>
      <c r="N625" s="256">
        <v>0.35</v>
      </c>
      <c r="O625" s="256"/>
      <c r="P625" s="256">
        <v>0.5</v>
      </c>
      <c r="Q625" s="256"/>
      <c r="R625" s="256"/>
      <c r="S625" s="256">
        <v>0.15</v>
      </c>
      <c r="T625" s="256"/>
      <c r="U625" s="256"/>
      <c r="V625" s="256"/>
      <c r="W625" s="256"/>
      <c r="X625" s="256"/>
      <c r="Y625" s="849">
        <v>1</v>
      </c>
      <c r="Z625" s="139"/>
    </row>
    <row r="626" spans="1:26" hidden="1" x14ac:dyDescent="0.2">
      <c r="A626" s="252"/>
      <c r="B626" s="252"/>
      <c r="C626" s="326" t="s">
        <v>2222</v>
      </c>
      <c r="D626" s="298" t="s">
        <v>609</v>
      </c>
      <c r="E626" s="201"/>
      <c r="F626" s="201"/>
      <c r="G626" s="201"/>
      <c r="H626" s="201"/>
      <c r="I626" s="201"/>
      <c r="J626" s="201">
        <v>1</v>
      </c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>
        <v>1</v>
      </c>
      <c r="Z626" s="139"/>
    </row>
    <row r="627" spans="1:26" hidden="1" x14ac:dyDescent="0.2">
      <c r="A627" s="255" t="s">
        <v>2594</v>
      </c>
      <c r="B627" s="320"/>
      <c r="C627" s="327" t="s">
        <v>2230</v>
      </c>
      <c r="D627" s="322" t="s">
        <v>618</v>
      </c>
      <c r="E627" s="256">
        <v>0.4</v>
      </c>
      <c r="F627" s="256"/>
      <c r="G627" s="256"/>
      <c r="H627" s="256">
        <v>0.2</v>
      </c>
      <c r="I627" s="256"/>
      <c r="J627" s="256"/>
      <c r="K627" s="256">
        <v>0.4</v>
      </c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>
        <v>1</v>
      </c>
      <c r="Z627" s="139"/>
    </row>
    <row r="628" spans="1:26" hidden="1" x14ac:dyDescent="0.2">
      <c r="A628" s="746" t="s">
        <v>2599</v>
      </c>
      <c r="B628" s="759"/>
      <c r="C628" s="742" t="s">
        <v>2234</v>
      </c>
      <c r="D628" s="790" t="s">
        <v>622</v>
      </c>
      <c r="E628" s="744">
        <v>0</v>
      </c>
      <c r="F628" s="744">
        <v>0</v>
      </c>
      <c r="G628" s="744">
        <v>0</v>
      </c>
      <c r="H628" s="744">
        <v>0</v>
      </c>
      <c r="I628" s="744">
        <v>0</v>
      </c>
      <c r="J628" s="744">
        <v>0</v>
      </c>
      <c r="K628" s="744">
        <v>0</v>
      </c>
      <c r="L628" s="744">
        <v>0</v>
      </c>
      <c r="M628" s="744">
        <v>0</v>
      </c>
      <c r="N628" s="744">
        <v>0</v>
      </c>
      <c r="O628" s="744">
        <v>0</v>
      </c>
      <c r="P628" s="744">
        <v>0</v>
      </c>
      <c r="Q628" s="744">
        <v>0</v>
      </c>
      <c r="R628" s="744">
        <v>0</v>
      </c>
      <c r="S628" s="744">
        <v>1</v>
      </c>
      <c r="T628" s="744">
        <v>0</v>
      </c>
      <c r="U628" s="744">
        <v>0</v>
      </c>
      <c r="V628" s="744">
        <v>0</v>
      </c>
      <c r="W628" s="744">
        <v>0</v>
      </c>
      <c r="X628" s="744">
        <v>0</v>
      </c>
      <c r="Y628" s="236">
        <v>1</v>
      </c>
      <c r="Z628" s="139"/>
    </row>
    <row r="629" spans="1:26" hidden="1" x14ac:dyDescent="0.2">
      <c r="A629" s="254" t="s">
        <v>2814</v>
      </c>
      <c r="B629" s="254"/>
      <c r="C629" s="328" t="s">
        <v>2827</v>
      </c>
      <c r="D629" s="329" t="s">
        <v>624</v>
      </c>
      <c r="E629" s="240">
        <v>0</v>
      </c>
      <c r="F629" s="240">
        <v>0</v>
      </c>
      <c r="G629" s="240">
        <v>0</v>
      </c>
      <c r="H629" s="240">
        <v>0</v>
      </c>
      <c r="I629" s="240">
        <v>0</v>
      </c>
      <c r="J629" s="240">
        <v>0</v>
      </c>
      <c r="K629" s="240">
        <v>0</v>
      </c>
      <c r="L629" s="240">
        <v>0</v>
      </c>
      <c r="M629" s="240">
        <v>0</v>
      </c>
      <c r="N629" s="240">
        <v>0</v>
      </c>
      <c r="O629" s="240">
        <v>0</v>
      </c>
      <c r="P629" s="240">
        <v>0</v>
      </c>
      <c r="Q629" s="240">
        <v>0</v>
      </c>
      <c r="R629" s="240">
        <v>0</v>
      </c>
      <c r="S629" s="240">
        <v>1</v>
      </c>
      <c r="T629" s="240">
        <v>0</v>
      </c>
      <c r="U629" s="240">
        <v>0</v>
      </c>
      <c r="V629" s="240">
        <v>0</v>
      </c>
      <c r="W629" s="240">
        <v>0</v>
      </c>
      <c r="X629" s="240"/>
      <c r="Y629" s="240">
        <v>1</v>
      </c>
      <c r="Z629" s="139"/>
    </row>
    <row r="630" spans="1:26" hidden="1" x14ac:dyDescent="0.2">
      <c r="A630" s="221" t="s">
        <v>2814</v>
      </c>
      <c r="B630" s="221"/>
      <c r="C630" s="280" t="s">
        <v>2828</v>
      </c>
      <c r="D630" s="281" t="s">
        <v>626</v>
      </c>
      <c r="E630" s="240">
        <v>0</v>
      </c>
      <c r="F630" s="240">
        <v>0</v>
      </c>
      <c r="G630" s="240">
        <v>0</v>
      </c>
      <c r="H630" s="240">
        <v>0</v>
      </c>
      <c r="I630" s="240">
        <v>0</v>
      </c>
      <c r="J630" s="240">
        <v>0</v>
      </c>
      <c r="K630" s="240">
        <v>0</v>
      </c>
      <c r="L630" s="240">
        <v>0</v>
      </c>
      <c r="M630" s="240">
        <v>0</v>
      </c>
      <c r="N630" s="240">
        <v>0</v>
      </c>
      <c r="O630" s="240">
        <v>0</v>
      </c>
      <c r="P630" s="240">
        <v>0</v>
      </c>
      <c r="Q630" s="240">
        <v>0</v>
      </c>
      <c r="R630" s="240">
        <v>0</v>
      </c>
      <c r="S630" s="240">
        <v>1</v>
      </c>
      <c r="T630" s="240">
        <v>0</v>
      </c>
      <c r="U630" s="240">
        <v>0</v>
      </c>
      <c r="V630" s="240">
        <v>0</v>
      </c>
      <c r="W630" s="240">
        <v>0</v>
      </c>
      <c r="X630" s="240"/>
      <c r="Y630" s="240">
        <v>1</v>
      </c>
      <c r="Z630" s="139"/>
    </row>
    <row r="631" spans="1:26" hidden="1" x14ac:dyDescent="0.2">
      <c r="A631" s="746" t="s">
        <v>2599</v>
      </c>
      <c r="B631" s="786"/>
      <c r="C631" s="761" t="s">
        <v>2235</v>
      </c>
      <c r="D631" s="791" t="s">
        <v>630</v>
      </c>
      <c r="E631" s="744">
        <v>0</v>
      </c>
      <c r="F631" s="744">
        <v>0</v>
      </c>
      <c r="G631" s="744">
        <v>0</v>
      </c>
      <c r="H631" s="744">
        <v>0</v>
      </c>
      <c r="I631" s="744">
        <v>0</v>
      </c>
      <c r="J631" s="744">
        <v>0</v>
      </c>
      <c r="K631" s="744">
        <v>0</v>
      </c>
      <c r="L631" s="744">
        <v>1</v>
      </c>
      <c r="M631" s="744">
        <v>0</v>
      </c>
      <c r="N631" s="744">
        <v>0</v>
      </c>
      <c r="O631" s="744">
        <v>0</v>
      </c>
      <c r="P631" s="744">
        <v>0</v>
      </c>
      <c r="Q631" s="744">
        <v>0</v>
      </c>
      <c r="R631" s="744">
        <v>0</v>
      </c>
      <c r="S631" s="744">
        <v>0</v>
      </c>
      <c r="T631" s="744">
        <v>0</v>
      </c>
      <c r="U631" s="744">
        <v>0</v>
      </c>
      <c r="V631" s="744">
        <v>0</v>
      </c>
      <c r="W631" s="744">
        <v>0</v>
      </c>
      <c r="X631" s="744">
        <v>0</v>
      </c>
      <c r="Y631" s="855">
        <v>1</v>
      </c>
      <c r="Z631" s="139"/>
    </row>
    <row r="632" spans="1:26" hidden="1" x14ac:dyDescent="0.2">
      <c r="A632" s="232" t="s">
        <v>2814</v>
      </c>
      <c r="B632" s="232"/>
      <c r="C632" s="308" t="s">
        <v>2829</v>
      </c>
      <c r="D632" s="309" t="s">
        <v>632</v>
      </c>
      <c r="E632" s="236">
        <v>0</v>
      </c>
      <c r="F632" s="236">
        <v>0</v>
      </c>
      <c r="G632" s="236">
        <v>0</v>
      </c>
      <c r="H632" s="236">
        <v>0</v>
      </c>
      <c r="I632" s="236">
        <v>0</v>
      </c>
      <c r="J632" s="236">
        <v>0</v>
      </c>
      <c r="K632" s="236">
        <v>0</v>
      </c>
      <c r="L632" s="236">
        <v>0</v>
      </c>
      <c r="M632" s="236">
        <v>0</v>
      </c>
      <c r="N632" s="236">
        <v>1</v>
      </c>
      <c r="O632" s="236">
        <v>0</v>
      </c>
      <c r="P632" s="236">
        <v>0</v>
      </c>
      <c r="Q632" s="236">
        <v>0</v>
      </c>
      <c r="R632" s="236">
        <v>0</v>
      </c>
      <c r="S632" s="236">
        <v>0</v>
      </c>
      <c r="T632" s="236">
        <v>0</v>
      </c>
      <c r="U632" s="236">
        <v>0</v>
      </c>
      <c r="V632" s="236">
        <v>0</v>
      </c>
      <c r="W632" s="236">
        <v>0</v>
      </c>
      <c r="X632" s="236"/>
      <c r="Y632" s="236">
        <v>1</v>
      </c>
      <c r="Z632" s="139"/>
    </row>
    <row r="633" spans="1:26" hidden="1" x14ac:dyDescent="0.2">
      <c r="A633" s="232" t="s">
        <v>2814</v>
      </c>
      <c r="B633" s="232"/>
      <c r="C633" s="280" t="s">
        <v>2618</v>
      </c>
      <c r="D633" s="281" t="s">
        <v>634</v>
      </c>
      <c r="E633" s="236">
        <v>0</v>
      </c>
      <c r="F633" s="236">
        <v>0</v>
      </c>
      <c r="G633" s="236">
        <v>0</v>
      </c>
      <c r="H633" s="236">
        <v>0</v>
      </c>
      <c r="I633" s="236">
        <v>0</v>
      </c>
      <c r="J633" s="236">
        <v>0</v>
      </c>
      <c r="K633" s="236">
        <v>0</v>
      </c>
      <c r="L633" s="236">
        <v>0</v>
      </c>
      <c r="M633" s="236">
        <v>0</v>
      </c>
      <c r="N633" s="236">
        <v>0.53950080701675884</v>
      </c>
      <c r="O633" s="236">
        <v>0</v>
      </c>
      <c r="P633" s="236">
        <v>4.3465636144460681E-3</v>
      </c>
      <c r="Q633" s="236">
        <v>0</v>
      </c>
      <c r="R633" s="236">
        <v>0</v>
      </c>
      <c r="S633" s="236">
        <v>0.45615262936879514</v>
      </c>
      <c r="T633" s="236">
        <v>0</v>
      </c>
      <c r="U633" s="236">
        <v>0</v>
      </c>
      <c r="V633" s="236">
        <v>0</v>
      </c>
      <c r="W633" s="236">
        <v>0</v>
      </c>
      <c r="X633" s="236"/>
      <c r="Y633" s="236">
        <v>1</v>
      </c>
      <c r="Z633" s="139"/>
    </row>
    <row r="634" spans="1:26" hidden="1" x14ac:dyDescent="0.2">
      <c r="A634" s="232" t="s">
        <v>2814</v>
      </c>
      <c r="B634" s="232"/>
      <c r="C634" s="280" t="s">
        <v>2619</v>
      </c>
      <c r="D634" s="281" t="s">
        <v>636</v>
      </c>
      <c r="E634" s="236">
        <v>0</v>
      </c>
      <c r="F634" s="236">
        <v>0</v>
      </c>
      <c r="G634" s="236">
        <v>0</v>
      </c>
      <c r="H634" s="236">
        <v>0</v>
      </c>
      <c r="I634" s="236">
        <v>0</v>
      </c>
      <c r="J634" s="236">
        <v>0</v>
      </c>
      <c r="K634" s="236">
        <v>0</v>
      </c>
      <c r="L634" s="236">
        <v>0</v>
      </c>
      <c r="M634" s="236">
        <v>0</v>
      </c>
      <c r="N634" s="236">
        <v>0.80302042797577333</v>
      </c>
      <c r="O634" s="236">
        <v>0</v>
      </c>
      <c r="P634" s="236">
        <v>0</v>
      </c>
      <c r="Q634" s="236">
        <v>0</v>
      </c>
      <c r="R634" s="236">
        <v>0</v>
      </c>
      <c r="S634" s="236">
        <v>3.7904425834167359E-2</v>
      </c>
      <c r="T634" s="236">
        <v>0.15907514619005939</v>
      </c>
      <c r="U634" s="236">
        <v>0</v>
      </c>
      <c r="V634" s="236">
        <v>0</v>
      </c>
      <c r="W634" s="236">
        <v>0</v>
      </c>
      <c r="X634" s="236"/>
      <c r="Y634" s="236">
        <v>1</v>
      </c>
      <c r="Z634" s="139"/>
    </row>
    <row r="635" spans="1:26" hidden="1" x14ac:dyDescent="0.2">
      <c r="A635" s="255" t="s">
        <v>2594</v>
      </c>
      <c r="B635" s="317"/>
      <c r="C635" s="332" t="s">
        <v>2236</v>
      </c>
      <c r="D635" s="333" t="s">
        <v>638</v>
      </c>
      <c r="E635" s="330"/>
      <c r="F635" s="330"/>
      <c r="G635" s="330"/>
      <c r="H635" s="330"/>
      <c r="I635" s="330"/>
      <c r="J635" s="330"/>
      <c r="K635" s="330"/>
      <c r="L635" s="330"/>
      <c r="M635" s="330"/>
      <c r="N635" s="331">
        <v>1</v>
      </c>
      <c r="O635" s="330"/>
      <c r="P635" s="330"/>
      <c r="Q635" s="330"/>
      <c r="R635" s="330"/>
      <c r="S635" s="330"/>
      <c r="T635" s="330"/>
      <c r="U635" s="330"/>
      <c r="V635" s="330"/>
      <c r="W635" s="330"/>
      <c r="X635" s="684"/>
      <c r="Y635" s="856">
        <v>1</v>
      </c>
      <c r="Z635" s="139"/>
    </row>
    <row r="636" spans="1:26" hidden="1" x14ac:dyDescent="0.2">
      <c r="A636" s="746" t="s">
        <v>2599</v>
      </c>
      <c r="B636" s="786"/>
      <c r="C636" s="792" t="s">
        <v>2576</v>
      </c>
      <c r="D636" s="793" t="s">
        <v>2830</v>
      </c>
      <c r="E636" s="744">
        <v>0</v>
      </c>
      <c r="F636" s="744">
        <v>0</v>
      </c>
      <c r="G636" s="744">
        <v>0</v>
      </c>
      <c r="H636" s="744">
        <v>0</v>
      </c>
      <c r="I636" s="744">
        <v>0</v>
      </c>
      <c r="J636" s="744">
        <v>0</v>
      </c>
      <c r="K636" s="744">
        <v>0</v>
      </c>
      <c r="L636" s="744">
        <v>1</v>
      </c>
      <c r="M636" s="744">
        <v>0</v>
      </c>
      <c r="N636" s="744">
        <v>0</v>
      </c>
      <c r="O636" s="744">
        <v>0</v>
      </c>
      <c r="P636" s="744">
        <v>0</v>
      </c>
      <c r="Q636" s="744">
        <v>0</v>
      </c>
      <c r="R636" s="744">
        <v>0</v>
      </c>
      <c r="S636" s="744">
        <v>0</v>
      </c>
      <c r="T636" s="744">
        <v>0</v>
      </c>
      <c r="U636" s="744">
        <v>0</v>
      </c>
      <c r="V636" s="744">
        <v>0</v>
      </c>
      <c r="W636" s="744">
        <v>0</v>
      </c>
      <c r="X636" s="744">
        <v>0</v>
      </c>
      <c r="Y636" s="857">
        <v>1</v>
      </c>
      <c r="Z636" s="139"/>
    </row>
    <row r="637" spans="1:26" hidden="1" x14ac:dyDescent="0.2">
      <c r="A637" s="244"/>
      <c r="B637" s="244"/>
      <c r="C637" s="205" t="s">
        <v>2231</v>
      </c>
      <c r="D637" s="298" t="s">
        <v>2232</v>
      </c>
      <c r="E637" s="334">
        <v>0</v>
      </c>
      <c r="F637" s="334">
        <v>5.7400584606765734E-3</v>
      </c>
      <c r="G637" s="334">
        <v>1.5528084018823466E-2</v>
      </c>
      <c r="H637" s="334">
        <v>0</v>
      </c>
      <c r="I637" s="334">
        <v>0</v>
      </c>
      <c r="J637" s="334">
        <v>0</v>
      </c>
      <c r="K637" s="334">
        <v>0</v>
      </c>
      <c r="L637" s="334">
        <v>0</v>
      </c>
      <c r="M637" s="334">
        <v>0</v>
      </c>
      <c r="N637" s="334">
        <v>0.58960966564926298</v>
      </c>
      <c r="O637" s="334">
        <v>2.9423991588269634E-3</v>
      </c>
      <c r="P637" s="334">
        <v>5.385952699257171E-2</v>
      </c>
      <c r="Q637" s="334">
        <v>1.3432690289350006E-2</v>
      </c>
      <c r="R637" s="334">
        <v>0</v>
      </c>
      <c r="S637" s="334">
        <v>0.12634335750505657</v>
      </c>
      <c r="T637" s="334">
        <v>0.15105328267038085</v>
      </c>
      <c r="U637" s="334">
        <v>4.149093525505089E-2</v>
      </c>
      <c r="V637" s="334">
        <v>0</v>
      </c>
      <c r="W637" s="334">
        <v>0</v>
      </c>
      <c r="X637" s="334"/>
      <c r="Y637" s="334">
        <v>1</v>
      </c>
      <c r="Z637" s="139"/>
    </row>
    <row r="638" spans="1:26" hidden="1" x14ac:dyDescent="0.2">
      <c r="A638" s="277"/>
      <c r="B638" s="278"/>
      <c r="C638" s="335" t="s">
        <v>1604</v>
      </c>
      <c r="D638" s="336" t="s">
        <v>1605</v>
      </c>
      <c r="E638" s="201">
        <v>0</v>
      </c>
      <c r="F638" s="201">
        <v>0</v>
      </c>
      <c r="G638" s="201">
        <v>0.03</v>
      </c>
      <c r="H638" s="201">
        <v>0</v>
      </c>
      <c r="I638" s="201">
        <v>0</v>
      </c>
      <c r="J638" s="201">
        <v>0</v>
      </c>
      <c r="K638" s="201">
        <v>0</v>
      </c>
      <c r="L638" s="201">
        <v>0</v>
      </c>
      <c r="M638" s="201"/>
      <c r="N638" s="201">
        <v>0.18</v>
      </c>
      <c r="O638" s="201">
        <v>0</v>
      </c>
      <c r="P638" s="201">
        <v>0.01</v>
      </c>
      <c r="Q638" s="201">
        <v>0</v>
      </c>
      <c r="R638" s="201">
        <v>0</v>
      </c>
      <c r="S638" s="201">
        <v>0.02</v>
      </c>
      <c r="T638" s="201">
        <v>0.76</v>
      </c>
      <c r="U638" s="201">
        <v>0</v>
      </c>
      <c r="V638" s="201"/>
      <c r="W638" s="201"/>
      <c r="X638" s="685"/>
      <c r="Y638" s="858">
        <v>1</v>
      </c>
      <c r="Z638" s="139"/>
    </row>
    <row r="639" spans="1:26" hidden="1" x14ac:dyDescent="0.2">
      <c r="A639" s="221" t="s">
        <v>2814</v>
      </c>
      <c r="B639" s="221"/>
      <c r="C639" s="337" t="s">
        <v>2831</v>
      </c>
      <c r="D639" s="338" t="s">
        <v>2299</v>
      </c>
      <c r="E639" s="240">
        <v>0</v>
      </c>
      <c r="F639" s="240">
        <v>0</v>
      </c>
      <c r="G639" s="240">
        <v>0</v>
      </c>
      <c r="H639" s="240">
        <v>1</v>
      </c>
      <c r="I639" s="240">
        <v>0</v>
      </c>
      <c r="J639" s="240">
        <v>0</v>
      </c>
      <c r="K639" s="240">
        <v>0</v>
      </c>
      <c r="L639" s="240">
        <v>0</v>
      </c>
      <c r="M639" s="240">
        <v>0</v>
      </c>
      <c r="N639" s="240">
        <v>0</v>
      </c>
      <c r="O639" s="240">
        <v>0</v>
      </c>
      <c r="P639" s="240">
        <v>0</v>
      </c>
      <c r="Q639" s="240">
        <v>0</v>
      </c>
      <c r="R639" s="240">
        <v>0</v>
      </c>
      <c r="S639" s="240">
        <v>0</v>
      </c>
      <c r="T639" s="240">
        <v>0</v>
      </c>
      <c r="U639" s="240">
        <v>0</v>
      </c>
      <c r="V639" s="240">
        <v>0</v>
      </c>
      <c r="W639" s="240">
        <v>0</v>
      </c>
      <c r="X639" s="240"/>
      <c r="Y639" s="240">
        <v>1</v>
      </c>
      <c r="Z639" s="139"/>
    </row>
    <row r="640" spans="1:26" hidden="1" x14ac:dyDescent="0.2">
      <c r="A640" s="221" t="s">
        <v>2814</v>
      </c>
      <c r="B640" s="221"/>
      <c r="C640" s="337" t="s">
        <v>2832</v>
      </c>
      <c r="D640" s="338" t="s">
        <v>265</v>
      </c>
      <c r="E640" s="240">
        <v>0</v>
      </c>
      <c r="F640" s="240">
        <v>0</v>
      </c>
      <c r="G640" s="240">
        <v>0</v>
      </c>
      <c r="H640" s="240">
        <v>0</v>
      </c>
      <c r="I640" s="240">
        <v>0</v>
      </c>
      <c r="J640" s="240">
        <v>0</v>
      </c>
      <c r="K640" s="240">
        <v>0</v>
      </c>
      <c r="L640" s="240">
        <v>0</v>
      </c>
      <c r="M640" s="240">
        <v>0</v>
      </c>
      <c r="N640" s="240">
        <v>0</v>
      </c>
      <c r="O640" s="240">
        <v>0</v>
      </c>
      <c r="P640" s="240">
        <v>0</v>
      </c>
      <c r="Q640" s="240">
        <v>0</v>
      </c>
      <c r="R640" s="240">
        <v>0</v>
      </c>
      <c r="S640" s="240">
        <v>1</v>
      </c>
      <c r="T640" s="240">
        <v>0</v>
      </c>
      <c r="U640" s="240">
        <v>0</v>
      </c>
      <c r="V640" s="240">
        <v>0</v>
      </c>
      <c r="W640" s="240">
        <v>0</v>
      </c>
      <c r="X640" s="240"/>
      <c r="Y640" s="240">
        <v>1</v>
      </c>
      <c r="Z640" s="139"/>
    </row>
    <row r="641" spans="1:26" hidden="1" x14ac:dyDescent="0.2">
      <c r="A641" s="221" t="s">
        <v>2814</v>
      </c>
      <c r="B641" s="221"/>
      <c r="C641" s="337" t="s">
        <v>2833</v>
      </c>
      <c r="D641" s="338" t="s">
        <v>2300</v>
      </c>
      <c r="E641" s="240">
        <v>0</v>
      </c>
      <c r="F641" s="240">
        <v>0</v>
      </c>
      <c r="G641" s="240">
        <v>0</v>
      </c>
      <c r="H641" s="240">
        <v>1</v>
      </c>
      <c r="I641" s="240">
        <v>0</v>
      </c>
      <c r="J641" s="240">
        <v>0</v>
      </c>
      <c r="K641" s="240">
        <v>0</v>
      </c>
      <c r="L641" s="240">
        <v>0</v>
      </c>
      <c r="M641" s="240">
        <v>0</v>
      </c>
      <c r="N641" s="240">
        <v>0</v>
      </c>
      <c r="O641" s="240">
        <v>0</v>
      </c>
      <c r="P641" s="240">
        <v>0</v>
      </c>
      <c r="Q641" s="240">
        <v>0</v>
      </c>
      <c r="R641" s="240">
        <v>0</v>
      </c>
      <c r="S641" s="240">
        <v>0</v>
      </c>
      <c r="T641" s="240">
        <v>0</v>
      </c>
      <c r="U641" s="240">
        <v>0</v>
      </c>
      <c r="V641" s="240">
        <v>0</v>
      </c>
      <c r="W641" s="240">
        <v>0</v>
      </c>
      <c r="X641" s="240"/>
      <c r="Y641" s="240">
        <v>1</v>
      </c>
      <c r="Z641" s="139"/>
    </row>
    <row r="642" spans="1:26" hidden="1" x14ac:dyDescent="0.2">
      <c r="A642" s="221" t="s">
        <v>2814</v>
      </c>
      <c r="B642" s="221"/>
      <c r="C642" s="337" t="s">
        <v>2238</v>
      </c>
      <c r="D642" s="338" t="s">
        <v>337</v>
      </c>
      <c r="E642" s="240">
        <v>0</v>
      </c>
      <c r="F642" s="240">
        <v>0</v>
      </c>
      <c r="G642" s="240">
        <v>0</v>
      </c>
      <c r="H642" s="240">
        <v>1</v>
      </c>
      <c r="I642" s="240">
        <v>0</v>
      </c>
      <c r="J642" s="240">
        <v>0</v>
      </c>
      <c r="K642" s="240">
        <v>0</v>
      </c>
      <c r="L642" s="240">
        <v>0</v>
      </c>
      <c r="M642" s="240">
        <v>0</v>
      </c>
      <c r="N642" s="240">
        <v>0</v>
      </c>
      <c r="O642" s="240">
        <v>0</v>
      </c>
      <c r="P642" s="240">
        <v>0</v>
      </c>
      <c r="Q642" s="240">
        <v>0</v>
      </c>
      <c r="R642" s="240">
        <v>0</v>
      </c>
      <c r="S642" s="240">
        <v>0</v>
      </c>
      <c r="T642" s="240">
        <v>0</v>
      </c>
      <c r="U642" s="240">
        <v>0</v>
      </c>
      <c r="V642" s="240">
        <v>0</v>
      </c>
      <c r="W642" s="240">
        <v>0</v>
      </c>
      <c r="X642" s="240"/>
      <c r="Y642" s="240">
        <v>1</v>
      </c>
      <c r="Z642" s="139"/>
    </row>
    <row r="643" spans="1:26" hidden="1" x14ac:dyDescent="0.2">
      <c r="A643" s="221" t="s">
        <v>2814</v>
      </c>
      <c r="B643" s="221"/>
      <c r="C643" s="337" t="s">
        <v>2834</v>
      </c>
      <c r="D643" s="338" t="s">
        <v>2381</v>
      </c>
      <c r="E643" s="240">
        <v>0</v>
      </c>
      <c r="F643" s="240">
        <v>0</v>
      </c>
      <c r="G643" s="240">
        <v>0</v>
      </c>
      <c r="H643" s="240">
        <v>1</v>
      </c>
      <c r="I643" s="240">
        <v>0</v>
      </c>
      <c r="J643" s="240">
        <v>0</v>
      </c>
      <c r="K643" s="240">
        <v>0</v>
      </c>
      <c r="L643" s="240">
        <v>0</v>
      </c>
      <c r="M643" s="240">
        <v>0</v>
      </c>
      <c r="N643" s="240">
        <v>0</v>
      </c>
      <c r="O643" s="240">
        <v>0</v>
      </c>
      <c r="P643" s="240">
        <v>0</v>
      </c>
      <c r="Q643" s="240">
        <v>0</v>
      </c>
      <c r="R643" s="240">
        <v>0</v>
      </c>
      <c r="S643" s="240">
        <v>0</v>
      </c>
      <c r="T643" s="240">
        <v>0</v>
      </c>
      <c r="U643" s="240">
        <v>0</v>
      </c>
      <c r="V643" s="240">
        <v>0</v>
      </c>
      <c r="W643" s="240">
        <v>0</v>
      </c>
      <c r="X643" s="240"/>
      <c r="Y643" s="240">
        <v>1</v>
      </c>
      <c r="Z643" s="139"/>
    </row>
    <row r="644" spans="1:26" hidden="1" x14ac:dyDescent="0.2">
      <c r="A644" s="221" t="s">
        <v>2814</v>
      </c>
      <c r="B644" s="221"/>
      <c r="C644" s="337" t="s">
        <v>2835</v>
      </c>
      <c r="D644" s="338" t="s">
        <v>2304</v>
      </c>
      <c r="E644" s="240">
        <v>0</v>
      </c>
      <c r="F644" s="240">
        <v>0</v>
      </c>
      <c r="G644" s="240">
        <v>0</v>
      </c>
      <c r="H644" s="240">
        <v>1</v>
      </c>
      <c r="I644" s="240">
        <v>0</v>
      </c>
      <c r="J644" s="240">
        <v>0</v>
      </c>
      <c r="K644" s="240">
        <v>0</v>
      </c>
      <c r="L644" s="240">
        <v>0</v>
      </c>
      <c r="M644" s="240">
        <v>0</v>
      </c>
      <c r="N644" s="240">
        <v>0</v>
      </c>
      <c r="O644" s="240">
        <v>0</v>
      </c>
      <c r="P644" s="240">
        <v>0</v>
      </c>
      <c r="Q644" s="240">
        <v>0</v>
      </c>
      <c r="R644" s="240">
        <v>0</v>
      </c>
      <c r="S644" s="240">
        <v>0</v>
      </c>
      <c r="T644" s="240">
        <v>0</v>
      </c>
      <c r="U644" s="240">
        <v>0</v>
      </c>
      <c r="V644" s="240">
        <v>0</v>
      </c>
      <c r="W644" s="240">
        <v>0</v>
      </c>
      <c r="X644" s="240"/>
      <c r="Y644" s="240">
        <v>1</v>
      </c>
      <c r="Z644" s="139"/>
    </row>
    <row r="645" spans="1:26" hidden="1" x14ac:dyDescent="0.2">
      <c r="A645" s="221" t="s">
        <v>2814</v>
      </c>
      <c r="B645" s="221"/>
      <c r="C645" s="337" t="s">
        <v>2239</v>
      </c>
      <c r="D645" s="338" t="s">
        <v>377</v>
      </c>
      <c r="E645" s="240">
        <v>0</v>
      </c>
      <c r="F645" s="240">
        <v>0</v>
      </c>
      <c r="G645" s="240">
        <v>0</v>
      </c>
      <c r="H645" s="240">
        <v>0</v>
      </c>
      <c r="I645" s="240">
        <v>0</v>
      </c>
      <c r="J645" s="240">
        <v>0</v>
      </c>
      <c r="K645" s="240">
        <v>0</v>
      </c>
      <c r="L645" s="240">
        <v>1</v>
      </c>
      <c r="M645" s="240">
        <v>0</v>
      </c>
      <c r="N645" s="240">
        <v>0</v>
      </c>
      <c r="O645" s="240">
        <v>0</v>
      </c>
      <c r="P645" s="240">
        <v>0</v>
      </c>
      <c r="Q645" s="240">
        <v>0</v>
      </c>
      <c r="R645" s="240">
        <v>0</v>
      </c>
      <c r="S645" s="240">
        <v>0</v>
      </c>
      <c r="T645" s="240">
        <v>0</v>
      </c>
      <c r="U645" s="240">
        <v>0</v>
      </c>
      <c r="V645" s="240">
        <v>0</v>
      </c>
      <c r="W645" s="240">
        <v>0</v>
      </c>
      <c r="X645" s="240"/>
      <c r="Y645" s="240">
        <v>1</v>
      </c>
      <c r="Z645" s="139"/>
    </row>
    <row r="646" spans="1:26" hidden="1" x14ac:dyDescent="0.2">
      <c r="A646" s="221" t="s">
        <v>2814</v>
      </c>
      <c r="B646" s="221"/>
      <c r="C646" s="337" t="s">
        <v>2836</v>
      </c>
      <c r="D646" s="338" t="s">
        <v>380</v>
      </c>
      <c r="E646" s="240">
        <v>0</v>
      </c>
      <c r="F646" s="240">
        <v>0</v>
      </c>
      <c r="G646" s="240">
        <v>0</v>
      </c>
      <c r="H646" s="240">
        <v>0</v>
      </c>
      <c r="I646" s="240">
        <v>0</v>
      </c>
      <c r="J646" s="240">
        <v>0</v>
      </c>
      <c r="K646" s="240">
        <v>0</v>
      </c>
      <c r="L646" s="240">
        <v>0</v>
      </c>
      <c r="M646" s="240">
        <v>0</v>
      </c>
      <c r="N646" s="240">
        <v>1</v>
      </c>
      <c r="O646" s="240">
        <v>0</v>
      </c>
      <c r="P646" s="240">
        <v>0</v>
      </c>
      <c r="Q646" s="240">
        <v>0</v>
      </c>
      <c r="R646" s="240">
        <v>0</v>
      </c>
      <c r="S646" s="240">
        <v>0</v>
      </c>
      <c r="T646" s="240">
        <v>0</v>
      </c>
      <c r="U646" s="240">
        <v>0</v>
      </c>
      <c r="V646" s="240">
        <v>0</v>
      </c>
      <c r="W646" s="240">
        <v>0</v>
      </c>
      <c r="X646" s="240"/>
      <c r="Y646" s="240">
        <v>1</v>
      </c>
      <c r="Z646" s="139"/>
    </row>
    <row r="647" spans="1:26" hidden="1" x14ac:dyDescent="0.2">
      <c r="A647" s="221" t="s">
        <v>2814</v>
      </c>
      <c r="B647" s="338"/>
      <c r="C647" s="337" t="s">
        <v>2837</v>
      </c>
      <c r="D647" s="338" t="s">
        <v>2306</v>
      </c>
      <c r="E647" s="240">
        <v>0</v>
      </c>
      <c r="F647" s="240">
        <v>0</v>
      </c>
      <c r="G647" s="240">
        <v>0</v>
      </c>
      <c r="H647" s="240">
        <v>1</v>
      </c>
      <c r="I647" s="240">
        <v>0</v>
      </c>
      <c r="J647" s="240">
        <v>0</v>
      </c>
      <c r="K647" s="240">
        <v>0</v>
      </c>
      <c r="L647" s="240">
        <v>0</v>
      </c>
      <c r="M647" s="240">
        <v>0</v>
      </c>
      <c r="N647" s="240">
        <v>0</v>
      </c>
      <c r="O647" s="240">
        <v>0</v>
      </c>
      <c r="P647" s="240">
        <v>0</v>
      </c>
      <c r="Q647" s="240">
        <v>0</v>
      </c>
      <c r="R647" s="240">
        <v>0</v>
      </c>
      <c r="S647" s="240">
        <v>0</v>
      </c>
      <c r="T647" s="240">
        <v>0</v>
      </c>
      <c r="U647" s="240">
        <v>0</v>
      </c>
      <c r="V647" s="240">
        <v>0</v>
      </c>
      <c r="W647" s="240">
        <v>0</v>
      </c>
      <c r="X647" s="240"/>
      <c r="Y647" s="240">
        <v>1</v>
      </c>
      <c r="Z647" s="139"/>
    </row>
    <row r="648" spans="1:26" hidden="1" x14ac:dyDescent="0.2">
      <c r="A648" s="221" t="s">
        <v>2814</v>
      </c>
      <c r="B648" s="338"/>
      <c r="C648" s="337" t="s">
        <v>2838</v>
      </c>
      <c r="D648" s="338" t="s">
        <v>384</v>
      </c>
      <c r="E648" s="240">
        <v>0</v>
      </c>
      <c r="F648" s="240">
        <v>0</v>
      </c>
      <c r="G648" s="240">
        <v>0</v>
      </c>
      <c r="H648" s="240">
        <v>1</v>
      </c>
      <c r="I648" s="240">
        <v>0</v>
      </c>
      <c r="J648" s="240">
        <v>0</v>
      </c>
      <c r="K648" s="240">
        <v>0</v>
      </c>
      <c r="L648" s="240">
        <v>0</v>
      </c>
      <c r="M648" s="240">
        <v>0</v>
      </c>
      <c r="N648" s="240">
        <v>0</v>
      </c>
      <c r="O648" s="240">
        <v>0</v>
      </c>
      <c r="P648" s="240">
        <v>0</v>
      </c>
      <c r="Q648" s="240">
        <v>0</v>
      </c>
      <c r="R648" s="240">
        <v>0</v>
      </c>
      <c r="S648" s="240">
        <v>0</v>
      </c>
      <c r="T648" s="240">
        <v>0</v>
      </c>
      <c r="U648" s="240">
        <v>0</v>
      </c>
      <c r="V648" s="240">
        <v>0</v>
      </c>
      <c r="W648" s="240">
        <v>0</v>
      </c>
      <c r="X648" s="240"/>
      <c r="Y648" s="240">
        <v>1</v>
      </c>
      <c r="Z648" s="139"/>
    </row>
    <row r="649" spans="1:26" hidden="1" x14ac:dyDescent="0.2">
      <c r="A649" s="221" t="s">
        <v>2814</v>
      </c>
      <c r="B649" s="338"/>
      <c r="C649" s="337" t="s">
        <v>2240</v>
      </c>
      <c r="D649" s="338" t="s">
        <v>389</v>
      </c>
      <c r="E649" s="240">
        <v>0</v>
      </c>
      <c r="F649" s="240">
        <v>0</v>
      </c>
      <c r="G649" s="240">
        <v>0</v>
      </c>
      <c r="H649" s="240">
        <v>0</v>
      </c>
      <c r="I649" s="240">
        <v>0</v>
      </c>
      <c r="J649" s="240">
        <v>0</v>
      </c>
      <c r="K649" s="240">
        <v>0</v>
      </c>
      <c r="L649" s="240">
        <v>1</v>
      </c>
      <c r="M649" s="240">
        <v>0</v>
      </c>
      <c r="N649" s="240">
        <v>0</v>
      </c>
      <c r="O649" s="240">
        <v>0</v>
      </c>
      <c r="P649" s="240">
        <v>0</v>
      </c>
      <c r="Q649" s="240">
        <v>0</v>
      </c>
      <c r="R649" s="240">
        <v>0</v>
      </c>
      <c r="S649" s="240">
        <v>0</v>
      </c>
      <c r="T649" s="240">
        <v>0</v>
      </c>
      <c r="U649" s="240">
        <v>0</v>
      </c>
      <c r="V649" s="240">
        <v>0</v>
      </c>
      <c r="W649" s="240">
        <v>0</v>
      </c>
      <c r="X649" s="240"/>
      <c r="Y649" s="240">
        <v>1</v>
      </c>
      <c r="Z649" s="139"/>
    </row>
    <row r="650" spans="1:26" hidden="1" x14ac:dyDescent="0.2">
      <c r="A650" s="221" t="s">
        <v>2814</v>
      </c>
      <c r="B650" s="338"/>
      <c r="C650" s="337" t="s">
        <v>2839</v>
      </c>
      <c r="D650" s="338" t="s">
        <v>391</v>
      </c>
      <c r="E650" s="240">
        <v>0</v>
      </c>
      <c r="F650" s="240">
        <v>0</v>
      </c>
      <c r="G650" s="240">
        <v>0</v>
      </c>
      <c r="H650" s="240">
        <v>1</v>
      </c>
      <c r="I650" s="240">
        <v>0</v>
      </c>
      <c r="J650" s="240">
        <v>0</v>
      </c>
      <c r="K650" s="240">
        <v>0</v>
      </c>
      <c r="L650" s="240">
        <v>0</v>
      </c>
      <c r="M650" s="240">
        <v>0</v>
      </c>
      <c r="N650" s="240">
        <v>0</v>
      </c>
      <c r="O650" s="240">
        <v>0</v>
      </c>
      <c r="P650" s="240">
        <v>0</v>
      </c>
      <c r="Q650" s="240">
        <v>0</v>
      </c>
      <c r="R650" s="240">
        <v>0</v>
      </c>
      <c r="S650" s="240">
        <v>0</v>
      </c>
      <c r="T650" s="240">
        <v>0</v>
      </c>
      <c r="U650" s="240">
        <v>0</v>
      </c>
      <c r="V650" s="240">
        <v>0</v>
      </c>
      <c r="W650" s="240">
        <v>0</v>
      </c>
      <c r="X650" s="240"/>
      <c r="Y650" s="240">
        <v>1</v>
      </c>
      <c r="Z650" s="139"/>
    </row>
    <row r="651" spans="1:26" hidden="1" x14ac:dyDescent="0.2">
      <c r="A651" s="221" t="s">
        <v>2814</v>
      </c>
      <c r="B651" s="338"/>
      <c r="C651" s="337" t="s">
        <v>2840</v>
      </c>
      <c r="D651" s="338" t="s">
        <v>2309</v>
      </c>
      <c r="E651" s="240">
        <v>0</v>
      </c>
      <c r="F651" s="240">
        <v>0</v>
      </c>
      <c r="G651" s="240">
        <v>0</v>
      </c>
      <c r="H651" s="240">
        <v>1</v>
      </c>
      <c r="I651" s="240">
        <v>0</v>
      </c>
      <c r="J651" s="240">
        <v>0</v>
      </c>
      <c r="K651" s="240">
        <v>0</v>
      </c>
      <c r="L651" s="240">
        <v>0</v>
      </c>
      <c r="M651" s="240">
        <v>0</v>
      </c>
      <c r="N651" s="240">
        <v>0</v>
      </c>
      <c r="O651" s="240">
        <v>0</v>
      </c>
      <c r="P651" s="240">
        <v>0</v>
      </c>
      <c r="Q651" s="240">
        <v>0</v>
      </c>
      <c r="R651" s="240">
        <v>0</v>
      </c>
      <c r="S651" s="240">
        <v>0</v>
      </c>
      <c r="T651" s="240">
        <v>0</v>
      </c>
      <c r="U651" s="240">
        <v>0</v>
      </c>
      <c r="V651" s="240">
        <v>0</v>
      </c>
      <c r="W651" s="240">
        <v>0</v>
      </c>
      <c r="X651" s="240"/>
      <c r="Y651" s="240">
        <v>1</v>
      </c>
      <c r="Z651" s="139"/>
    </row>
    <row r="652" spans="1:26" hidden="1" x14ac:dyDescent="0.2">
      <c r="A652" s="221" t="s">
        <v>2814</v>
      </c>
      <c r="B652" s="338"/>
      <c r="C652" s="337" t="s">
        <v>2841</v>
      </c>
      <c r="D652" s="338" t="s">
        <v>2310</v>
      </c>
      <c r="E652" s="240">
        <v>0</v>
      </c>
      <c r="F652" s="240">
        <v>0</v>
      </c>
      <c r="G652" s="240">
        <v>0</v>
      </c>
      <c r="H652" s="240">
        <v>1</v>
      </c>
      <c r="I652" s="240">
        <v>0</v>
      </c>
      <c r="J652" s="240">
        <v>0</v>
      </c>
      <c r="K652" s="240">
        <v>0</v>
      </c>
      <c r="L652" s="240">
        <v>0</v>
      </c>
      <c r="M652" s="240">
        <v>0</v>
      </c>
      <c r="N652" s="240">
        <v>0</v>
      </c>
      <c r="O652" s="240">
        <v>0</v>
      </c>
      <c r="P652" s="240">
        <v>0</v>
      </c>
      <c r="Q652" s="240">
        <v>0</v>
      </c>
      <c r="R652" s="240">
        <v>0</v>
      </c>
      <c r="S652" s="240">
        <v>0</v>
      </c>
      <c r="T652" s="240">
        <v>0</v>
      </c>
      <c r="U652" s="240">
        <v>0</v>
      </c>
      <c r="V652" s="240">
        <v>0</v>
      </c>
      <c r="W652" s="240">
        <v>0</v>
      </c>
      <c r="X652" s="240"/>
      <c r="Y652" s="240">
        <v>1</v>
      </c>
      <c r="Z652" s="139"/>
    </row>
    <row r="653" spans="1:26" hidden="1" x14ac:dyDescent="0.2">
      <c r="A653" s="221" t="s">
        <v>2814</v>
      </c>
      <c r="B653" s="338"/>
      <c r="C653" s="337" t="s">
        <v>2842</v>
      </c>
      <c r="D653" s="338" t="s">
        <v>403</v>
      </c>
      <c r="E653" s="240">
        <v>0</v>
      </c>
      <c r="F653" s="240">
        <v>0</v>
      </c>
      <c r="G653" s="240">
        <v>0</v>
      </c>
      <c r="H653" s="240">
        <v>1</v>
      </c>
      <c r="I653" s="240">
        <v>0</v>
      </c>
      <c r="J653" s="240">
        <v>0</v>
      </c>
      <c r="K653" s="240">
        <v>0</v>
      </c>
      <c r="L653" s="240">
        <v>0</v>
      </c>
      <c r="M653" s="240">
        <v>0</v>
      </c>
      <c r="N653" s="240">
        <v>0</v>
      </c>
      <c r="O653" s="240">
        <v>0</v>
      </c>
      <c r="P653" s="240">
        <v>0</v>
      </c>
      <c r="Q653" s="240">
        <v>0</v>
      </c>
      <c r="R653" s="240">
        <v>0</v>
      </c>
      <c r="S653" s="240">
        <v>0</v>
      </c>
      <c r="T653" s="240">
        <v>0</v>
      </c>
      <c r="U653" s="240">
        <v>0</v>
      </c>
      <c r="V653" s="240">
        <v>0</v>
      </c>
      <c r="W653" s="240">
        <v>0</v>
      </c>
      <c r="X653" s="240"/>
      <c r="Y653" s="240">
        <v>1</v>
      </c>
      <c r="Z653" s="139"/>
    </row>
    <row r="654" spans="1:26" hidden="1" x14ac:dyDescent="0.2">
      <c r="A654" s="221" t="s">
        <v>2814</v>
      </c>
      <c r="B654" s="338"/>
      <c r="C654" s="337" t="s">
        <v>2843</v>
      </c>
      <c r="D654" s="338" t="s">
        <v>407</v>
      </c>
      <c r="E654" s="240">
        <v>0</v>
      </c>
      <c r="F654" s="240">
        <v>0</v>
      </c>
      <c r="G654" s="240">
        <v>0</v>
      </c>
      <c r="H654" s="240">
        <v>0</v>
      </c>
      <c r="I654" s="240">
        <v>0</v>
      </c>
      <c r="J654" s="240">
        <v>0</v>
      </c>
      <c r="K654" s="240">
        <v>0</v>
      </c>
      <c r="L654" s="240">
        <v>0</v>
      </c>
      <c r="M654" s="240">
        <v>0</v>
      </c>
      <c r="N654" s="240">
        <v>1</v>
      </c>
      <c r="O654" s="240">
        <v>0</v>
      </c>
      <c r="P654" s="240">
        <v>0</v>
      </c>
      <c r="Q654" s="240">
        <v>0</v>
      </c>
      <c r="R654" s="240">
        <v>0</v>
      </c>
      <c r="S654" s="240">
        <v>0</v>
      </c>
      <c r="T654" s="240">
        <v>0</v>
      </c>
      <c r="U654" s="240">
        <v>0</v>
      </c>
      <c r="V654" s="240">
        <v>0</v>
      </c>
      <c r="W654" s="240">
        <v>0</v>
      </c>
      <c r="X654" s="240"/>
      <c r="Y654" s="240">
        <v>1</v>
      </c>
      <c r="Z654" s="139"/>
    </row>
    <row r="655" spans="1:26" hidden="1" x14ac:dyDescent="0.2">
      <c r="A655" s="221" t="s">
        <v>2814</v>
      </c>
      <c r="B655" s="338"/>
      <c r="C655" s="337" t="s">
        <v>2844</v>
      </c>
      <c r="D655" s="338" t="s">
        <v>421</v>
      </c>
      <c r="E655" s="240">
        <v>0</v>
      </c>
      <c r="F655" s="240">
        <v>0</v>
      </c>
      <c r="G655" s="240">
        <v>1</v>
      </c>
      <c r="H655" s="240">
        <v>0</v>
      </c>
      <c r="I655" s="240">
        <v>0</v>
      </c>
      <c r="J655" s="240">
        <v>0</v>
      </c>
      <c r="K655" s="240">
        <v>0</v>
      </c>
      <c r="L655" s="240">
        <v>0</v>
      </c>
      <c r="M655" s="240">
        <v>0</v>
      </c>
      <c r="N655" s="240">
        <v>0</v>
      </c>
      <c r="O655" s="240">
        <v>0</v>
      </c>
      <c r="P655" s="240">
        <v>0</v>
      </c>
      <c r="Q655" s="240">
        <v>0</v>
      </c>
      <c r="R655" s="240">
        <v>0</v>
      </c>
      <c r="S655" s="240">
        <v>0</v>
      </c>
      <c r="T655" s="240">
        <v>0</v>
      </c>
      <c r="U655" s="240">
        <v>0</v>
      </c>
      <c r="V655" s="240">
        <v>0</v>
      </c>
      <c r="W655" s="240">
        <v>0</v>
      </c>
      <c r="X655" s="240"/>
      <c r="Y655" s="240">
        <v>1</v>
      </c>
      <c r="Z655" s="139"/>
    </row>
    <row r="656" spans="1:26" hidden="1" x14ac:dyDescent="0.2">
      <c r="A656" s="221" t="s">
        <v>2814</v>
      </c>
      <c r="B656" s="338"/>
      <c r="C656" s="337" t="s">
        <v>2845</v>
      </c>
      <c r="D656" s="338" t="s">
        <v>423</v>
      </c>
      <c r="E656" s="240">
        <v>0</v>
      </c>
      <c r="F656" s="240">
        <v>0</v>
      </c>
      <c r="G656" s="240">
        <v>0</v>
      </c>
      <c r="H656" s="240">
        <v>1</v>
      </c>
      <c r="I656" s="240">
        <v>0</v>
      </c>
      <c r="J656" s="240">
        <v>0</v>
      </c>
      <c r="K656" s="240">
        <v>0</v>
      </c>
      <c r="L656" s="240">
        <v>0</v>
      </c>
      <c r="M656" s="240">
        <v>0</v>
      </c>
      <c r="N656" s="240">
        <v>0</v>
      </c>
      <c r="O656" s="240">
        <v>0</v>
      </c>
      <c r="P656" s="240">
        <v>0</v>
      </c>
      <c r="Q656" s="240">
        <v>0</v>
      </c>
      <c r="R656" s="240">
        <v>0</v>
      </c>
      <c r="S656" s="240">
        <v>0</v>
      </c>
      <c r="T656" s="240">
        <v>0</v>
      </c>
      <c r="U656" s="240">
        <v>0</v>
      </c>
      <c r="V656" s="240">
        <v>0</v>
      </c>
      <c r="W656" s="240">
        <v>0</v>
      </c>
      <c r="X656" s="240"/>
      <c r="Y656" s="240">
        <v>1</v>
      </c>
      <c r="Z656" s="139"/>
    </row>
    <row r="657" spans="1:26" hidden="1" x14ac:dyDescent="0.2">
      <c r="A657" s="221" t="s">
        <v>2814</v>
      </c>
      <c r="B657" s="338"/>
      <c r="C657" s="337" t="s">
        <v>2846</v>
      </c>
      <c r="D657" s="338" t="s">
        <v>2383</v>
      </c>
      <c r="E657" s="240">
        <v>0</v>
      </c>
      <c r="F657" s="240">
        <v>0</v>
      </c>
      <c r="G657" s="240">
        <v>0</v>
      </c>
      <c r="H657" s="240">
        <v>1</v>
      </c>
      <c r="I657" s="240">
        <v>0</v>
      </c>
      <c r="J657" s="240">
        <v>0</v>
      </c>
      <c r="K657" s="240">
        <v>0</v>
      </c>
      <c r="L657" s="240">
        <v>0</v>
      </c>
      <c r="M657" s="240">
        <v>0</v>
      </c>
      <c r="N657" s="240">
        <v>0</v>
      </c>
      <c r="O657" s="240">
        <v>0</v>
      </c>
      <c r="P657" s="240">
        <v>0</v>
      </c>
      <c r="Q657" s="240">
        <v>0</v>
      </c>
      <c r="R657" s="240">
        <v>0</v>
      </c>
      <c r="S657" s="240">
        <v>0</v>
      </c>
      <c r="T657" s="240">
        <v>0</v>
      </c>
      <c r="U657" s="240">
        <v>0</v>
      </c>
      <c r="V657" s="240">
        <v>0</v>
      </c>
      <c r="W657" s="240">
        <v>0</v>
      </c>
      <c r="X657" s="240"/>
      <c r="Y657" s="240">
        <v>1</v>
      </c>
      <c r="Z657" s="139"/>
    </row>
    <row r="658" spans="1:26" hidden="1" x14ac:dyDescent="0.2">
      <c r="A658" s="221" t="s">
        <v>2814</v>
      </c>
      <c r="B658" s="338"/>
      <c r="C658" s="337" t="s">
        <v>2847</v>
      </c>
      <c r="D658" s="338" t="s">
        <v>2313</v>
      </c>
      <c r="E658" s="240">
        <v>0</v>
      </c>
      <c r="F658" s="240">
        <v>0</v>
      </c>
      <c r="G658" s="240">
        <v>0</v>
      </c>
      <c r="H658" s="240">
        <v>1</v>
      </c>
      <c r="I658" s="240">
        <v>0</v>
      </c>
      <c r="J658" s="240">
        <v>0</v>
      </c>
      <c r="K658" s="240">
        <v>0</v>
      </c>
      <c r="L658" s="240">
        <v>0</v>
      </c>
      <c r="M658" s="240">
        <v>0</v>
      </c>
      <c r="N658" s="240">
        <v>0</v>
      </c>
      <c r="O658" s="240">
        <v>0</v>
      </c>
      <c r="P658" s="240">
        <v>0</v>
      </c>
      <c r="Q658" s="240">
        <v>0</v>
      </c>
      <c r="R658" s="240">
        <v>0</v>
      </c>
      <c r="S658" s="240">
        <v>0</v>
      </c>
      <c r="T658" s="240">
        <v>0</v>
      </c>
      <c r="U658" s="240">
        <v>0</v>
      </c>
      <c r="V658" s="240">
        <v>0</v>
      </c>
      <c r="W658" s="240">
        <v>0</v>
      </c>
      <c r="X658" s="240"/>
      <c r="Y658" s="240">
        <v>1</v>
      </c>
      <c r="Z658" s="139"/>
    </row>
    <row r="659" spans="1:26" hidden="1" x14ac:dyDescent="0.2">
      <c r="A659" s="221" t="s">
        <v>2814</v>
      </c>
      <c r="B659" s="338"/>
      <c r="C659" s="337" t="s">
        <v>2241</v>
      </c>
      <c r="D659" s="338" t="s">
        <v>433</v>
      </c>
      <c r="E659" s="240">
        <v>0</v>
      </c>
      <c r="F659" s="240">
        <v>0</v>
      </c>
      <c r="G659" s="240">
        <v>0</v>
      </c>
      <c r="H659" s="240">
        <v>1</v>
      </c>
      <c r="I659" s="240">
        <v>0</v>
      </c>
      <c r="J659" s="240">
        <v>0</v>
      </c>
      <c r="K659" s="240">
        <v>0</v>
      </c>
      <c r="L659" s="240">
        <v>0</v>
      </c>
      <c r="M659" s="240">
        <v>0</v>
      </c>
      <c r="N659" s="240">
        <v>0</v>
      </c>
      <c r="O659" s="240">
        <v>0</v>
      </c>
      <c r="P659" s="240">
        <v>0</v>
      </c>
      <c r="Q659" s="240">
        <v>0</v>
      </c>
      <c r="R659" s="240">
        <v>0</v>
      </c>
      <c r="S659" s="240">
        <v>0</v>
      </c>
      <c r="T659" s="240">
        <v>0</v>
      </c>
      <c r="U659" s="240">
        <v>0</v>
      </c>
      <c r="V659" s="240">
        <v>0</v>
      </c>
      <c r="W659" s="240">
        <v>0</v>
      </c>
      <c r="X659" s="240"/>
      <c r="Y659" s="240">
        <v>1</v>
      </c>
      <c r="Z659" s="139"/>
    </row>
    <row r="660" spans="1:26" hidden="1" x14ac:dyDescent="0.2">
      <c r="A660" s="221" t="s">
        <v>2814</v>
      </c>
      <c r="B660" s="338"/>
      <c r="C660" s="337" t="s">
        <v>2848</v>
      </c>
      <c r="D660" s="338" t="s">
        <v>435</v>
      </c>
      <c r="E660" s="240">
        <v>0</v>
      </c>
      <c r="F660" s="240">
        <v>0.12332278275832378</v>
      </c>
      <c r="G660" s="240">
        <v>0.50480138362441784</v>
      </c>
      <c r="H660" s="240">
        <v>0</v>
      </c>
      <c r="I660" s="240">
        <v>0</v>
      </c>
      <c r="J660" s="240">
        <v>0</v>
      </c>
      <c r="K660" s="240">
        <v>0</v>
      </c>
      <c r="L660" s="240">
        <v>0</v>
      </c>
      <c r="M660" s="240">
        <v>0</v>
      </c>
      <c r="N660" s="240">
        <v>0</v>
      </c>
      <c r="O660" s="240">
        <v>0</v>
      </c>
      <c r="P660" s="240">
        <v>0</v>
      </c>
      <c r="Q660" s="240">
        <v>0</v>
      </c>
      <c r="R660" s="240">
        <v>0</v>
      </c>
      <c r="S660" s="240">
        <v>0.37187583361725846</v>
      </c>
      <c r="T660" s="240">
        <v>0</v>
      </c>
      <c r="U660" s="240">
        <v>0</v>
      </c>
      <c r="V660" s="240">
        <v>0</v>
      </c>
      <c r="W660" s="240">
        <v>0</v>
      </c>
      <c r="X660" s="240"/>
      <c r="Y660" s="240">
        <v>1</v>
      </c>
      <c r="Z660" s="139"/>
    </row>
    <row r="661" spans="1:26" hidden="1" x14ac:dyDescent="0.2">
      <c r="A661" s="221" t="s">
        <v>2814</v>
      </c>
      <c r="B661" s="338"/>
      <c r="C661" s="337" t="s">
        <v>2849</v>
      </c>
      <c r="D661" s="338" t="s">
        <v>437</v>
      </c>
      <c r="E661" s="240">
        <v>0.69872958257713258</v>
      </c>
      <c r="F661" s="240">
        <v>0</v>
      </c>
      <c r="G661" s="240">
        <v>0</v>
      </c>
      <c r="H661" s="240">
        <v>0</v>
      </c>
      <c r="I661" s="240">
        <v>0</v>
      </c>
      <c r="J661" s="240">
        <v>0</v>
      </c>
      <c r="K661" s="240">
        <v>0</v>
      </c>
      <c r="L661" s="240">
        <v>0.30127041742286753</v>
      </c>
      <c r="M661" s="240">
        <v>0</v>
      </c>
      <c r="N661" s="240">
        <v>0</v>
      </c>
      <c r="O661" s="240">
        <v>0</v>
      </c>
      <c r="P661" s="240">
        <v>0</v>
      </c>
      <c r="Q661" s="240">
        <v>0</v>
      </c>
      <c r="R661" s="240">
        <v>0</v>
      </c>
      <c r="S661" s="240">
        <v>0</v>
      </c>
      <c r="T661" s="240">
        <v>0</v>
      </c>
      <c r="U661" s="240">
        <v>0</v>
      </c>
      <c r="V661" s="240">
        <v>0</v>
      </c>
      <c r="W661" s="240">
        <v>0</v>
      </c>
      <c r="X661" s="240"/>
      <c r="Y661" s="240">
        <v>1</v>
      </c>
      <c r="Z661" s="139"/>
    </row>
    <row r="662" spans="1:26" hidden="1" x14ac:dyDescent="0.2">
      <c r="A662" s="221" t="s">
        <v>2814</v>
      </c>
      <c r="B662" s="338"/>
      <c r="C662" s="337" t="s">
        <v>2850</v>
      </c>
      <c r="D662" s="338" t="s">
        <v>439</v>
      </c>
      <c r="E662" s="240">
        <v>0</v>
      </c>
      <c r="F662" s="240">
        <v>0</v>
      </c>
      <c r="G662" s="240">
        <v>0</v>
      </c>
      <c r="H662" s="240">
        <v>0</v>
      </c>
      <c r="I662" s="240">
        <v>0</v>
      </c>
      <c r="J662" s="240">
        <v>0</v>
      </c>
      <c r="K662" s="240">
        <v>0</v>
      </c>
      <c r="L662" s="240">
        <v>1</v>
      </c>
      <c r="M662" s="240">
        <v>0</v>
      </c>
      <c r="N662" s="240">
        <v>0</v>
      </c>
      <c r="O662" s="240">
        <v>0</v>
      </c>
      <c r="P662" s="240">
        <v>0</v>
      </c>
      <c r="Q662" s="240">
        <v>0</v>
      </c>
      <c r="R662" s="240">
        <v>0</v>
      </c>
      <c r="S662" s="240">
        <v>0</v>
      </c>
      <c r="T662" s="240">
        <v>0</v>
      </c>
      <c r="U662" s="240">
        <v>0</v>
      </c>
      <c r="V662" s="240">
        <v>0</v>
      </c>
      <c r="W662" s="240">
        <v>0</v>
      </c>
      <c r="X662" s="240"/>
      <c r="Y662" s="240">
        <v>1</v>
      </c>
      <c r="Z662" s="139"/>
    </row>
    <row r="663" spans="1:26" hidden="1" x14ac:dyDescent="0.2">
      <c r="A663" s="270" t="s">
        <v>2814</v>
      </c>
      <c r="B663" s="338"/>
      <c r="C663" s="337" t="s">
        <v>2851</v>
      </c>
      <c r="D663" s="338" t="s">
        <v>441</v>
      </c>
      <c r="E663" s="240">
        <v>0</v>
      </c>
      <c r="F663" s="240">
        <v>0</v>
      </c>
      <c r="G663" s="240">
        <v>0</v>
      </c>
      <c r="H663" s="240">
        <v>0</v>
      </c>
      <c r="I663" s="240">
        <v>0</v>
      </c>
      <c r="J663" s="240">
        <v>0</v>
      </c>
      <c r="K663" s="240">
        <v>0</v>
      </c>
      <c r="L663" s="240">
        <v>1</v>
      </c>
      <c r="M663" s="240">
        <v>0</v>
      </c>
      <c r="N663" s="240">
        <v>0</v>
      </c>
      <c r="O663" s="240">
        <v>0</v>
      </c>
      <c r="P663" s="240">
        <v>0</v>
      </c>
      <c r="Q663" s="240">
        <v>0</v>
      </c>
      <c r="R663" s="240">
        <v>0</v>
      </c>
      <c r="S663" s="240">
        <v>0</v>
      </c>
      <c r="T663" s="240">
        <v>0</v>
      </c>
      <c r="U663" s="240">
        <v>0</v>
      </c>
      <c r="V663" s="240">
        <v>0</v>
      </c>
      <c r="W663" s="240">
        <v>0</v>
      </c>
      <c r="X663" s="240"/>
      <c r="Y663" s="240">
        <v>1</v>
      </c>
      <c r="Z663" s="139"/>
    </row>
    <row r="664" spans="1:26" hidden="1" x14ac:dyDescent="0.2">
      <c r="A664" s="339"/>
      <c r="B664" s="339"/>
      <c r="C664" s="340" t="s">
        <v>2852</v>
      </c>
      <c r="D664" s="339" t="s">
        <v>1089</v>
      </c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859">
        <v>0</v>
      </c>
      <c r="Z664" s="139"/>
    </row>
    <row r="665" spans="1:26" hidden="1" x14ac:dyDescent="0.2">
      <c r="A665" s="339"/>
      <c r="B665" s="339"/>
      <c r="C665" s="340" t="s">
        <v>2853</v>
      </c>
      <c r="D665" s="339" t="s">
        <v>1090</v>
      </c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859">
        <v>0</v>
      </c>
      <c r="Z665" s="139"/>
    </row>
    <row r="666" spans="1:26" hidden="1" x14ac:dyDescent="0.2">
      <c r="A666" s="238" t="s">
        <v>2814</v>
      </c>
      <c r="B666" s="338"/>
      <c r="C666" s="337" t="s">
        <v>2854</v>
      </c>
      <c r="D666" s="338" t="s">
        <v>443</v>
      </c>
      <c r="E666" s="240">
        <v>0</v>
      </c>
      <c r="F666" s="240">
        <v>0</v>
      </c>
      <c r="G666" s="240">
        <v>0</v>
      </c>
      <c r="H666" s="240">
        <v>1</v>
      </c>
      <c r="I666" s="240">
        <v>0</v>
      </c>
      <c r="J666" s="240">
        <v>0</v>
      </c>
      <c r="K666" s="240">
        <v>0</v>
      </c>
      <c r="L666" s="240">
        <v>0</v>
      </c>
      <c r="M666" s="240">
        <v>0</v>
      </c>
      <c r="N666" s="240">
        <v>0</v>
      </c>
      <c r="O666" s="240">
        <v>0</v>
      </c>
      <c r="P666" s="240">
        <v>0</v>
      </c>
      <c r="Q666" s="240">
        <v>0</v>
      </c>
      <c r="R666" s="240">
        <v>0</v>
      </c>
      <c r="S666" s="240">
        <v>0</v>
      </c>
      <c r="T666" s="240">
        <v>0</v>
      </c>
      <c r="U666" s="240">
        <v>0</v>
      </c>
      <c r="V666" s="240">
        <v>0</v>
      </c>
      <c r="W666" s="240">
        <v>0</v>
      </c>
      <c r="X666" s="240"/>
      <c r="Y666" s="240">
        <v>1</v>
      </c>
      <c r="Z666" s="139"/>
    </row>
    <row r="667" spans="1:26" hidden="1" x14ac:dyDescent="0.2">
      <c r="A667" s="339"/>
      <c r="B667" s="339"/>
      <c r="C667" s="340" t="s">
        <v>2855</v>
      </c>
      <c r="D667" s="339" t="s">
        <v>1091</v>
      </c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859">
        <v>0</v>
      </c>
      <c r="Z667" s="139"/>
    </row>
    <row r="668" spans="1:26" hidden="1" x14ac:dyDescent="0.2">
      <c r="A668" s="254" t="s">
        <v>2814</v>
      </c>
      <c r="B668" s="338"/>
      <c r="C668" s="337" t="s">
        <v>2856</v>
      </c>
      <c r="D668" s="338" t="s">
        <v>2384</v>
      </c>
      <c r="E668" s="240">
        <v>0</v>
      </c>
      <c r="F668" s="240">
        <v>0</v>
      </c>
      <c r="G668" s="240">
        <v>0</v>
      </c>
      <c r="H668" s="240">
        <v>1</v>
      </c>
      <c r="I668" s="240">
        <v>0</v>
      </c>
      <c r="J668" s="240">
        <v>0</v>
      </c>
      <c r="K668" s="240">
        <v>0</v>
      </c>
      <c r="L668" s="240">
        <v>0</v>
      </c>
      <c r="M668" s="240">
        <v>0</v>
      </c>
      <c r="N668" s="240">
        <v>0</v>
      </c>
      <c r="O668" s="240">
        <v>0</v>
      </c>
      <c r="P668" s="240">
        <v>0</v>
      </c>
      <c r="Q668" s="240">
        <v>0</v>
      </c>
      <c r="R668" s="240">
        <v>0</v>
      </c>
      <c r="S668" s="240">
        <v>0</v>
      </c>
      <c r="T668" s="240">
        <v>0</v>
      </c>
      <c r="U668" s="240">
        <v>0</v>
      </c>
      <c r="V668" s="240">
        <v>0</v>
      </c>
      <c r="W668" s="240">
        <v>0</v>
      </c>
      <c r="X668" s="240"/>
      <c r="Y668" s="240">
        <v>1</v>
      </c>
      <c r="Z668" s="139"/>
    </row>
    <row r="669" spans="1:26" hidden="1" x14ac:dyDescent="0.2">
      <c r="A669" s="221" t="s">
        <v>2814</v>
      </c>
      <c r="B669" s="338"/>
      <c r="C669" s="337" t="s">
        <v>2857</v>
      </c>
      <c r="D669" s="338" t="s">
        <v>2314</v>
      </c>
      <c r="E669" s="240">
        <v>0</v>
      </c>
      <c r="F669" s="240">
        <v>0</v>
      </c>
      <c r="G669" s="240">
        <v>0</v>
      </c>
      <c r="H669" s="240">
        <v>1</v>
      </c>
      <c r="I669" s="240">
        <v>0</v>
      </c>
      <c r="J669" s="240">
        <v>0</v>
      </c>
      <c r="K669" s="240">
        <v>0</v>
      </c>
      <c r="L669" s="240">
        <v>0</v>
      </c>
      <c r="M669" s="240">
        <v>0</v>
      </c>
      <c r="N669" s="240">
        <v>0</v>
      </c>
      <c r="O669" s="240">
        <v>0</v>
      </c>
      <c r="P669" s="240">
        <v>0</v>
      </c>
      <c r="Q669" s="240">
        <v>0</v>
      </c>
      <c r="R669" s="240">
        <v>0</v>
      </c>
      <c r="S669" s="240">
        <v>0</v>
      </c>
      <c r="T669" s="240">
        <v>0</v>
      </c>
      <c r="U669" s="240">
        <v>0</v>
      </c>
      <c r="V669" s="240">
        <v>0</v>
      </c>
      <c r="W669" s="240">
        <v>0</v>
      </c>
      <c r="X669" s="240"/>
      <c r="Y669" s="240">
        <v>1</v>
      </c>
      <c r="Z669" s="139"/>
    </row>
    <row r="670" spans="1:26" hidden="1" x14ac:dyDescent="0.2">
      <c r="A670" s="270" t="s">
        <v>2814</v>
      </c>
      <c r="B670" s="338"/>
      <c r="C670" s="337" t="s">
        <v>2858</v>
      </c>
      <c r="D670" s="338" t="s">
        <v>2315</v>
      </c>
      <c r="E670" s="240">
        <v>0</v>
      </c>
      <c r="F670" s="240">
        <v>0</v>
      </c>
      <c r="G670" s="240">
        <v>0</v>
      </c>
      <c r="H670" s="240">
        <v>1</v>
      </c>
      <c r="I670" s="240">
        <v>0</v>
      </c>
      <c r="J670" s="240">
        <v>0</v>
      </c>
      <c r="K670" s="240">
        <v>0</v>
      </c>
      <c r="L670" s="240">
        <v>0</v>
      </c>
      <c r="M670" s="240">
        <v>0</v>
      </c>
      <c r="N670" s="240">
        <v>0</v>
      </c>
      <c r="O670" s="240">
        <v>0</v>
      </c>
      <c r="P670" s="240">
        <v>0</v>
      </c>
      <c r="Q670" s="240">
        <v>0</v>
      </c>
      <c r="R670" s="240">
        <v>0</v>
      </c>
      <c r="S670" s="240">
        <v>0</v>
      </c>
      <c r="T670" s="240">
        <v>0</v>
      </c>
      <c r="U670" s="240">
        <v>0</v>
      </c>
      <c r="V670" s="240">
        <v>0</v>
      </c>
      <c r="W670" s="240">
        <v>0</v>
      </c>
      <c r="X670" s="240"/>
      <c r="Y670" s="240">
        <v>1</v>
      </c>
      <c r="Z670" s="139"/>
    </row>
    <row r="671" spans="1:26" hidden="1" x14ac:dyDescent="0.2">
      <c r="A671" s="339"/>
      <c r="B671" s="339"/>
      <c r="C671" s="340" t="s">
        <v>2859</v>
      </c>
      <c r="D671" s="339" t="s">
        <v>2316</v>
      </c>
      <c r="E671" s="342">
        <v>0</v>
      </c>
      <c r="F671" s="342">
        <v>0</v>
      </c>
      <c r="G671" s="342">
        <v>0</v>
      </c>
      <c r="H671" s="342">
        <v>1</v>
      </c>
      <c r="I671" s="342">
        <v>0</v>
      </c>
      <c r="J671" s="342">
        <v>0</v>
      </c>
      <c r="K671" s="342">
        <v>0</v>
      </c>
      <c r="L671" s="342">
        <v>0</v>
      </c>
      <c r="M671" s="342">
        <v>0</v>
      </c>
      <c r="N671" s="342">
        <v>0</v>
      </c>
      <c r="O671" s="342">
        <v>0</v>
      </c>
      <c r="P671" s="342">
        <v>0</v>
      </c>
      <c r="Q671" s="342">
        <v>0</v>
      </c>
      <c r="R671" s="342">
        <v>0</v>
      </c>
      <c r="S671" s="342">
        <v>0</v>
      </c>
      <c r="T671" s="342">
        <v>0</v>
      </c>
      <c r="U671" s="342">
        <v>0</v>
      </c>
      <c r="V671" s="342">
        <v>0</v>
      </c>
      <c r="W671" s="342">
        <v>0</v>
      </c>
      <c r="X671" s="342"/>
      <c r="Y671" s="342">
        <v>1</v>
      </c>
      <c r="Z671" s="139"/>
    </row>
    <row r="672" spans="1:26" hidden="1" x14ac:dyDescent="0.2">
      <c r="A672" s="238" t="s">
        <v>2814</v>
      </c>
      <c r="B672" s="338"/>
      <c r="C672" s="337" t="s">
        <v>2860</v>
      </c>
      <c r="D672" s="338" t="s">
        <v>2317</v>
      </c>
      <c r="E672" s="240">
        <v>0</v>
      </c>
      <c r="F672" s="240">
        <v>0</v>
      </c>
      <c r="G672" s="240">
        <v>0</v>
      </c>
      <c r="H672" s="240">
        <v>1</v>
      </c>
      <c r="I672" s="240">
        <v>0</v>
      </c>
      <c r="J672" s="240">
        <v>0</v>
      </c>
      <c r="K672" s="240">
        <v>0</v>
      </c>
      <c r="L672" s="240">
        <v>0</v>
      </c>
      <c r="M672" s="240">
        <v>0</v>
      </c>
      <c r="N672" s="240">
        <v>0</v>
      </c>
      <c r="O672" s="240">
        <v>0</v>
      </c>
      <c r="P672" s="240">
        <v>0</v>
      </c>
      <c r="Q672" s="240">
        <v>0</v>
      </c>
      <c r="R672" s="240">
        <v>0</v>
      </c>
      <c r="S672" s="240">
        <v>0</v>
      </c>
      <c r="T672" s="240">
        <v>0</v>
      </c>
      <c r="U672" s="240">
        <v>0</v>
      </c>
      <c r="V672" s="240">
        <v>0</v>
      </c>
      <c r="W672" s="240">
        <v>0</v>
      </c>
      <c r="X672" s="240"/>
      <c r="Y672" s="240">
        <v>1</v>
      </c>
      <c r="Z672" s="139"/>
    </row>
    <row r="673" spans="1:26" hidden="1" x14ac:dyDescent="0.2">
      <c r="A673" s="339"/>
      <c r="B673" s="339"/>
      <c r="C673" s="340" t="s">
        <v>2861</v>
      </c>
      <c r="D673" s="339" t="s">
        <v>448</v>
      </c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859">
        <v>0</v>
      </c>
      <c r="Z673" s="139"/>
    </row>
    <row r="674" spans="1:26" hidden="1" x14ac:dyDescent="0.2">
      <c r="A674" s="238" t="s">
        <v>2814</v>
      </c>
      <c r="B674" s="338"/>
      <c r="C674" s="343" t="s">
        <v>2862</v>
      </c>
      <c r="D674" s="338" t="s">
        <v>2318</v>
      </c>
      <c r="E674" s="240">
        <v>0</v>
      </c>
      <c r="F674" s="240">
        <v>0</v>
      </c>
      <c r="G674" s="240">
        <v>0</v>
      </c>
      <c r="H674" s="240">
        <v>1</v>
      </c>
      <c r="I674" s="240">
        <v>0</v>
      </c>
      <c r="J674" s="240">
        <v>0</v>
      </c>
      <c r="K674" s="240">
        <v>0</v>
      </c>
      <c r="L674" s="240">
        <v>0</v>
      </c>
      <c r="M674" s="240">
        <v>0</v>
      </c>
      <c r="N674" s="240">
        <v>0</v>
      </c>
      <c r="O674" s="240">
        <v>0</v>
      </c>
      <c r="P674" s="240">
        <v>0</v>
      </c>
      <c r="Q674" s="240">
        <v>0</v>
      </c>
      <c r="R674" s="240">
        <v>0</v>
      </c>
      <c r="S674" s="240">
        <v>0</v>
      </c>
      <c r="T674" s="240">
        <v>0</v>
      </c>
      <c r="U674" s="240">
        <v>0</v>
      </c>
      <c r="V674" s="240">
        <v>0</v>
      </c>
      <c r="W674" s="240">
        <v>0</v>
      </c>
      <c r="X674" s="240"/>
      <c r="Y674" s="240">
        <v>1</v>
      </c>
      <c r="Z674" s="139"/>
    </row>
    <row r="675" spans="1:26" hidden="1" x14ac:dyDescent="0.2">
      <c r="A675" s="339"/>
      <c r="B675" s="339"/>
      <c r="C675" s="340" t="s">
        <v>2863</v>
      </c>
      <c r="D675" s="339" t="s">
        <v>1092</v>
      </c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859">
        <v>0</v>
      </c>
      <c r="Z675" s="139"/>
    </row>
    <row r="676" spans="1:26" hidden="1" x14ac:dyDescent="0.2">
      <c r="A676" s="339"/>
      <c r="B676" s="339"/>
      <c r="C676" s="340" t="s">
        <v>2864</v>
      </c>
      <c r="D676" s="339" t="s">
        <v>1093</v>
      </c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859">
        <v>0</v>
      </c>
      <c r="Z676" s="139"/>
    </row>
    <row r="677" spans="1:26" hidden="1" x14ac:dyDescent="0.2">
      <c r="A677" s="339"/>
      <c r="B677" s="339"/>
      <c r="C677" s="340" t="s">
        <v>2865</v>
      </c>
      <c r="D677" s="339" t="s">
        <v>1094</v>
      </c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859">
        <v>0</v>
      </c>
      <c r="Z677" s="139"/>
    </row>
    <row r="678" spans="1:26" hidden="1" x14ac:dyDescent="0.2">
      <c r="A678" s="255" t="s">
        <v>2594</v>
      </c>
      <c r="B678" s="344"/>
      <c r="C678" s="345" t="s">
        <v>2242</v>
      </c>
      <c r="D678" s="344" t="s">
        <v>2386</v>
      </c>
      <c r="E678" s="346"/>
      <c r="F678" s="346"/>
      <c r="G678" s="346"/>
      <c r="H678" s="346"/>
      <c r="I678" s="346"/>
      <c r="J678" s="346"/>
      <c r="K678" s="346">
        <v>1</v>
      </c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>
        <v>1</v>
      </c>
      <c r="Z678" s="139"/>
    </row>
    <row r="679" spans="1:26" hidden="1" x14ac:dyDescent="0.2">
      <c r="A679" s="254" t="s">
        <v>2814</v>
      </c>
      <c r="B679" s="338"/>
      <c r="C679" s="337" t="s">
        <v>2243</v>
      </c>
      <c r="D679" s="338" t="s">
        <v>458</v>
      </c>
      <c r="E679" s="240">
        <v>0</v>
      </c>
      <c r="F679" s="240">
        <v>0</v>
      </c>
      <c r="G679" s="240">
        <v>0</v>
      </c>
      <c r="H679" s="240">
        <v>1</v>
      </c>
      <c r="I679" s="240">
        <v>0</v>
      </c>
      <c r="J679" s="240">
        <v>0</v>
      </c>
      <c r="K679" s="240">
        <v>0</v>
      </c>
      <c r="L679" s="240">
        <v>0</v>
      </c>
      <c r="M679" s="240">
        <v>0</v>
      </c>
      <c r="N679" s="240">
        <v>0</v>
      </c>
      <c r="O679" s="240">
        <v>0</v>
      </c>
      <c r="P679" s="240">
        <v>0</v>
      </c>
      <c r="Q679" s="240">
        <v>0</v>
      </c>
      <c r="R679" s="240">
        <v>0</v>
      </c>
      <c r="S679" s="240">
        <v>0</v>
      </c>
      <c r="T679" s="240">
        <v>0</v>
      </c>
      <c r="U679" s="240">
        <v>0</v>
      </c>
      <c r="V679" s="240">
        <v>0</v>
      </c>
      <c r="W679" s="240">
        <v>0</v>
      </c>
      <c r="X679" s="240"/>
      <c r="Y679" s="240">
        <v>1</v>
      </c>
      <c r="Z679" s="139"/>
    </row>
    <row r="680" spans="1:26" hidden="1" x14ac:dyDescent="0.2">
      <c r="A680" s="221" t="s">
        <v>2814</v>
      </c>
      <c r="B680" s="338"/>
      <c r="C680" s="337" t="s">
        <v>2244</v>
      </c>
      <c r="D680" s="338" t="s">
        <v>460</v>
      </c>
      <c r="E680" s="240">
        <v>0</v>
      </c>
      <c r="F680" s="240">
        <v>0</v>
      </c>
      <c r="G680" s="240">
        <v>0</v>
      </c>
      <c r="H680" s="240">
        <v>1</v>
      </c>
      <c r="I680" s="240">
        <v>0</v>
      </c>
      <c r="J680" s="240">
        <v>0</v>
      </c>
      <c r="K680" s="240">
        <v>0</v>
      </c>
      <c r="L680" s="240">
        <v>0</v>
      </c>
      <c r="M680" s="240">
        <v>0</v>
      </c>
      <c r="N680" s="240">
        <v>0</v>
      </c>
      <c r="O680" s="240">
        <v>0</v>
      </c>
      <c r="P680" s="240">
        <v>0</v>
      </c>
      <c r="Q680" s="240">
        <v>0</v>
      </c>
      <c r="R680" s="240">
        <v>0</v>
      </c>
      <c r="S680" s="240">
        <v>0</v>
      </c>
      <c r="T680" s="240">
        <v>0</v>
      </c>
      <c r="U680" s="240">
        <v>0</v>
      </c>
      <c r="V680" s="240">
        <v>0</v>
      </c>
      <c r="W680" s="240">
        <v>0</v>
      </c>
      <c r="X680" s="240"/>
      <c r="Y680" s="240">
        <v>1</v>
      </c>
      <c r="Z680" s="139"/>
    </row>
    <row r="681" spans="1:26" hidden="1" x14ac:dyDescent="0.2">
      <c r="A681" s="221" t="s">
        <v>2814</v>
      </c>
      <c r="B681" s="338"/>
      <c r="C681" s="337" t="s">
        <v>2245</v>
      </c>
      <c r="D681" s="338" t="s">
        <v>464</v>
      </c>
      <c r="E681" s="240">
        <v>0</v>
      </c>
      <c r="F681" s="240">
        <v>0</v>
      </c>
      <c r="G681" s="240">
        <v>0</v>
      </c>
      <c r="H681" s="240">
        <v>1</v>
      </c>
      <c r="I681" s="240">
        <v>0</v>
      </c>
      <c r="J681" s="240">
        <v>0</v>
      </c>
      <c r="K681" s="240">
        <v>0</v>
      </c>
      <c r="L681" s="240">
        <v>0</v>
      </c>
      <c r="M681" s="240">
        <v>0</v>
      </c>
      <c r="N681" s="240">
        <v>0</v>
      </c>
      <c r="O681" s="240">
        <v>0</v>
      </c>
      <c r="P681" s="240">
        <v>0</v>
      </c>
      <c r="Q681" s="240">
        <v>0</v>
      </c>
      <c r="R681" s="240">
        <v>0</v>
      </c>
      <c r="S681" s="240">
        <v>0</v>
      </c>
      <c r="T681" s="240">
        <v>0</v>
      </c>
      <c r="U681" s="240">
        <v>0</v>
      </c>
      <c r="V681" s="240">
        <v>0</v>
      </c>
      <c r="W681" s="240">
        <v>0</v>
      </c>
      <c r="X681" s="240"/>
      <c r="Y681" s="240">
        <v>1</v>
      </c>
      <c r="Z681" s="139"/>
    </row>
    <row r="682" spans="1:26" x14ac:dyDescent="0.2">
      <c r="A682" s="221" t="s">
        <v>2814</v>
      </c>
      <c r="B682" s="338"/>
      <c r="C682" s="337" t="s">
        <v>2246</v>
      </c>
      <c r="D682" s="338" t="s">
        <v>466</v>
      </c>
      <c r="E682" s="240">
        <v>0</v>
      </c>
      <c r="F682" s="240">
        <v>0</v>
      </c>
      <c r="G682" s="240">
        <v>0</v>
      </c>
      <c r="H682" s="356">
        <v>0</v>
      </c>
      <c r="I682" s="240">
        <v>0</v>
      </c>
      <c r="J682" s="240">
        <v>0</v>
      </c>
      <c r="K682" s="356">
        <v>1</v>
      </c>
      <c r="L682" s="240">
        <v>0</v>
      </c>
      <c r="M682" s="240">
        <v>0</v>
      </c>
      <c r="N682" s="240">
        <v>0</v>
      </c>
      <c r="O682" s="240">
        <v>0</v>
      </c>
      <c r="P682" s="240">
        <v>0</v>
      </c>
      <c r="Q682" s="240">
        <v>0</v>
      </c>
      <c r="R682" s="240">
        <v>0</v>
      </c>
      <c r="S682" s="240">
        <v>0</v>
      </c>
      <c r="T682" s="240">
        <v>0</v>
      </c>
      <c r="U682" s="240">
        <v>0</v>
      </c>
      <c r="V682" s="240">
        <v>0</v>
      </c>
      <c r="W682" s="240">
        <v>0</v>
      </c>
      <c r="X682" s="240"/>
      <c r="Y682" s="240">
        <v>1</v>
      </c>
      <c r="Z682" s="139"/>
    </row>
    <row r="683" spans="1:26" hidden="1" x14ac:dyDescent="0.2">
      <c r="A683" s="221" t="s">
        <v>2814</v>
      </c>
      <c r="B683" s="338"/>
      <c r="C683" s="337" t="s">
        <v>2247</v>
      </c>
      <c r="D683" s="338" t="s">
        <v>2319</v>
      </c>
      <c r="E683" s="240">
        <v>0</v>
      </c>
      <c r="F683" s="240">
        <v>0</v>
      </c>
      <c r="G683" s="240">
        <v>0</v>
      </c>
      <c r="H683" s="240">
        <v>1</v>
      </c>
      <c r="I683" s="240">
        <v>0</v>
      </c>
      <c r="J683" s="240">
        <v>0</v>
      </c>
      <c r="K683" s="240">
        <v>0</v>
      </c>
      <c r="L683" s="240">
        <v>0</v>
      </c>
      <c r="M683" s="240">
        <v>0</v>
      </c>
      <c r="N683" s="240">
        <v>0</v>
      </c>
      <c r="O683" s="240">
        <v>0</v>
      </c>
      <c r="P683" s="240">
        <v>0</v>
      </c>
      <c r="Q683" s="240">
        <v>0</v>
      </c>
      <c r="R683" s="240">
        <v>0</v>
      </c>
      <c r="S683" s="240">
        <v>0</v>
      </c>
      <c r="T683" s="240">
        <v>0</v>
      </c>
      <c r="U683" s="240">
        <v>0</v>
      </c>
      <c r="V683" s="240">
        <v>0</v>
      </c>
      <c r="W683" s="240">
        <v>0</v>
      </c>
      <c r="X683" s="240"/>
      <c r="Y683" s="240">
        <v>1</v>
      </c>
      <c r="Z683" s="139"/>
    </row>
    <row r="684" spans="1:26" hidden="1" x14ac:dyDescent="0.2">
      <c r="A684" s="221" t="s">
        <v>2814</v>
      </c>
      <c r="B684" s="338"/>
      <c r="C684" s="337" t="s">
        <v>2248</v>
      </c>
      <c r="D684" s="338" t="s">
        <v>471</v>
      </c>
      <c r="E684" s="240">
        <v>0</v>
      </c>
      <c r="F684" s="240">
        <v>0</v>
      </c>
      <c r="G684" s="240">
        <v>0</v>
      </c>
      <c r="H684" s="240">
        <v>1</v>
      </c>
      <c r="I684" s="240">
        <v>0</v>
      </c>
      <c r="J684" s="240">
        <v>0</v>
      </c>
      <c r="K684" s="240">
        <v>0</v>
      </c>
      <c r="L684" s="240">
        <v>0</v>
      </c>
      <c r="M684" s="240">
        <v>0</v>
      </c>
      <c r="N684" s="240">
        <v>0</v>
      </c>
      <c r="O684" s="240">
        <v>0</v>
      </c>
      <c r="P684" s="240">
        <v>0</v>
      </c>
      <c r="Q684" s="240">
        <v>0</v>
      </c>
      <c r="R684" s="240">
        <v>0</v>
      </c>
      <c r="S684" s="240">
        <v>0</v>
      </c>
      <c r="T684" s="240">
        <v>0</v>
      </c>
      <c r="U684" s="240">
        <v>0</v>
      </c>
      <c r="V684" s="240">
        <v>0</v>
      </c>
      <c r="W684" s="240">
        <v>0</v>
      </c>
      <c r="X684" s="240"/>
      <c r="Y684" s="240">
        <v>1</v>
      </c>
      <c r="Z684" s="139"/>
    </row>
    <row r="685" spans="1:26" hidden="1" x14ac:dyDescent="0.2">
      <c r="A685" s="221" t="s">
        <v>2814</v>
      </c>
      <c r="B685" s="338"/>
      <c r="C685" s="337" t="s">
        <v>2249</v>
      </c>
      <c r="D685" s="338" t="s">
        <v>2320</v>
      </c>
      <c r="E685" s="240">
        <v>0</v>
      </c>
      <c r="F685" s="240">
        <v>0</v>
      </c>
      <c r="G685" s="240">
        <v>0</v>
      </c>
      <c r="H685" s="240">
        <v>1</v>
      </c>
      <c r="I685" s="240">
        <v>0</v>
      </c>
      <c r="J685" s="240">
        <v>0</v>
      </c>
      <c r="K685" s="240">
        <v>0</v>
      </c>
      <c r="L685" s="240">
        <v>0</v>
      </c>
      <c r="M685" s="240">
        <v>0</v>
      </c>
      <c r="N685" s="240">
        <v>0</v>
      </c>
      <c r="O685" s="240">
        <v>0</v>
      </c>
      <c r="P685" s="240">
        <v>0</v>
      </c>
      <c r="Q685" s="240">
        <v>0</v>
      </c>
      <c r="R685" s="240">
        <v>0</v>
      </c>
      <c r="S685" s="240">
        <v>0</v>
      </c>
      <c r="T685" s="240">
        <v>0</v>
      </c>
      <c r="U685" s="240">
        <v>0</v>
      </c>
      <c r="V685" s="240">
        <v>0</v>
      </c>
      <c r="W685" s="240">
        <v>0</v>
      </c>
      <c r="X685" s="240"/>
      <c r="Y685" s="240">
        <v>1</v>
      </c>
      <c r="Z685" s="139"/>
    </row>
    <row r="686" spans="1:26" hidden="1" x14ac:dyDescent="0.2">
      <c r="A686" s="221" t="s">
        <v>2814</v>
      </c>
      <c r="B686" s="338"/>
      <c r="C686" s="337" t="s">
        <v>2866</v>
      </c>
      <c r="D686" s="338" t="s">
        <v>474</v>
      </c>
      <c r="E686" s="240">
        <v>0</v>
      </c>
      <c r="F686" s="240">
        <v>0</v>
      </c>
      <c r="G686" s="240">
        <v>0</v>
      </c>
      <c r="H686" s="240">
        <v>1</v>
      </c>
      <c r="I686" s="240">
        <v>0</v>
      </c>
      <c r="J686" s="240">
        <v>0</v>
      </c>
      <c r="K686" s="240">
        <v>0</v>
      </c>
      <c r="L686" s="240">
        <v>0</v>
      </c>
      <c r="M686" s="240">
        <v>0</v>
      </c>
      <c r="N686" s="240">
        <v>0</v>
      </c>
      <c r="O686" s="240">
        <v>0</v>
      </c>
      <c r="P686" s="240">
        <v>0</v>
      </c>
      <c r="Q686" s="240">
        <v>0</v>
      </c>
      <c r="R686" s="240">
        <v>0</v>
      </c>
      <c r="S686" s="240">
        <v>0</v>
      </c>
      <c r="T686" s="240">
        <v>0</v>
      </c>
      <c r="U686" s="240">
        <v>0</v>
      </c>
      <c r="V686" s="240">
        <v>0</v>
      </c>
      <c r="W686" s="240">
        <v>0</v>
      </c>
      <c r="X686" s="240"/>
      <c r="Y686" s="240">
        <v>1</v>
      </c>
      <c r="Z686" s="139"/>
    </row>
    <row r="687" spans="1:26" hidden="1" x14ac:dyDescent="0.2">
      <c r="A687" s="270" t="s">
        <v>2814</v>
      </c>
      <c r="B687" s="338"/>
      <c r="C687" s="337" t="s">
        <v>2250</v>
      </c>
      <c r="D687" s="338" t="s">
        <v>2321</v>
      </c>
      <c r="E687" s="240">
        <v>0</v>
      </c>
      <c r="F687" s="240">
        <v>0</v>
      </c>
      <c r="G687" s="240">
        <v>0</v>
      </c>
      <c r="H687" s="240">
        <v>1</v>
      </c>
      <c r="I687" s="240">
        <v>0</v>
      </c>
      <c r="J687" s="240">
        <v>0</v>
      </c>
      <c r="K687" s="240">
        <v>0</v>
      </c>
      <c r="L687" s="240">
        <v>0</v>
      </c>
      <c r="M687" s="240">
        <v>0</v>
      </c>
      <c r="N687" s="240">
        <v>0</v>
      </c>
      <c r="O687" s="240">
        <v>0</v>
      </c>
      <c r="P687" s="240">
        <v>0</v>
      </c>
      <c r="Q687" s="240">
        <v>0</v>
      </c>
      <c r="R687" s="240">
        <v>0</v>
      </c>
      <c r="S687" s="240">
        <v>0</v>
      </c>
      <c r="T687" s="240">
        <v>0</v>
      </c>
      <c r="U687" s="240">
        <v>0</v>
      </c>
      <c r="V687" s="240">
        <v>0</v>
      </c>
      <c r="W687" s="240">
        <v>0</v>
      </c>
      <c r="X687" s="240"/>
      <c r="Y687" s="240">
        <v>1</v>
      </c>
      <c r="Z687" s="139"/>
    </row>
    <row r="688" spans="1:26" hidden="1" x14ac:dyDescent="0.2">
      <c r="A688" s="339"/>
      <c r="B688" s="339"/>
      <c r="C688" s="340" t="s">
        <v>2867</v>
      </c>
      <c r="D688" s="339" t="s">
        <v>2312</v>
      </c>
      <c r="E688" s="342">
        <v>0</v>
      </c>
      <c r="F688" s="342">
        <v>0</v>
      </c>
      <c r="G688" s="342">
        <v>0</v>
      </c>
      <c r="H688" s="342">
        <v>1</v>
      </c>
      <c r="I688" s="342">
        <v>0</v>
      </c>
      <c r="J688" s="342">
        <v>0</v>
      </c>
      <c r="K688" s="342">
        <v>0</v>
      </c>
      <c r="L688" s="342">
        <v>0</v>
      </c>
      <c r="M688" s="342">
        <v>0</v>
      </c>
      <c r="N688" s="342">
        <v>0</v>
      </c>
      <c r="O688" s="342">
        <v>0</v>
      </c>
      <c r="P688" s="342">
        <v>0</v>
      </c>
      <c r="Q688" s="342">
        <v>0</v>
      </c>
      <c r="R688" s="342">
        <v>0</v>
      </c>
      <c r="S688" s="342">
        <v>0</v>
      </c>
      <c r="T688" s="342">
        <v>0</v>
      </c>
      <c r="U688" s="342">
        <v>0</v>
      </c>
      <c r="V688" s="342">
        <v>0</v>
      </c>
      <c r="W688" s="342">
        <v>0</v>
      </c>
      <c r="X688" s="342"/>
      <c r="Y688" s="342">
        <v>1</v>
      </c>
      <c r="Z688" s="139"/>
    </row>
    <row r="689" spans="1:26" hidden="1" x14ac:dyDescent="0.2">
      <c r="A689" s="238" t="s">
        <v>2814</v>
      </c>
      <c r="B689" s="338"/>
      <c r="C689" s="337" t="s">
        <v>2251</v>
      </c>
      <c r="D689" s="338" t="s">
        <v>480</v>
      </c>
      <c r="E689" s="240">
        <v>0</v>
      </c>
      <c r="F689" s="240">
        <v>0</v>
      </c>
      <c r="G689" s="240">
        <v>0</v>
      </c>
      <c r="H689" s="240">
        <v>1</v>
      </c>
      <c r="I689" s="240">
        <v>0</v>
      </c>
      <c r="J689" s="240">
        <v>0</v>
      </c>
      <c r="K689" s="240">
        <v>0</v>
      </c>
      <c r="L689" s="240">
        <v>0</v>
      </c>
      <c r="M689" s="240">
        <v>0</v>
      </c>
      <c r="N689" s="240">
        <v>0</v>
      </c>
      <c r="O689" s="240">
        <v>0</v>
      </c>
      <c r="P689" s="240">
        <v>0</v>
      </c>
      <c r="Q689" s="240">
        <v>0</v>
      </c>
      <c r="R689" s="240">
        <v>0</v>
      </c>
      <c r="S689" s="240">
        <v>0</v>
      </c>
      <c r="T689" s="240">
        <v>0</v>
      </c>
      <c r="U689" s="240">
        <v>0</v>
      </c>
      <c r="V689" s="240">
        <v>0</v>
      </c>
      <c r="W689" s="240">
        <v>0</v>
      </c>
      <c r="X689" s="240"/>
      <c r="Y689" s="240">
        <v>1</v>
      </c>
      <c r="Z689" s="139"/>
    </row>
    <row r="690" spans="1:26" hidden="1" x14ac:dyDescent="0.2">
      <c r="A690" s="339"/>
      <c r="B690" s="339"/>
      <c r="C690" s="340" t="s">
        <v>2868</v>
      </c>
      <c r="D690" s="339" t="s">
        <v>1095</v>
      </c>
      <c r="E690" s="341"/>
      <c r="F690" s="341"/>
      <c r="G690" s="341"/>
      <c r="H690" s="756">
        <v>1</v>
      </c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859">
        <v>0</v>
      </c>
      <c r="Z690" s="139"/>
    </row>
    <row r="691" spans="1:26" hidden="1" x14ac:dyDescent="0.2">
      <c r="A691" s="254" t="s">
        <v>2814</v>
      </c>
      <c r="B691" s="338"/>
      <c r="C691" s="337" t="s">
        <v>2869</v>
      </c>
      <c r="D691" s="338" t="s">
        <v>482</v>
      </c>
      <c r="E691" s="240">
        <v>0</v>
      </c>
      <c r="F691" s="240">
        <v>0</v>
      </c>
      <c r="G691" s="240">
        <v>0</v>
      </c>
      <c r="H691" s="240">
        <v>0</v>
      </c>
      <c r="I691" s="240">
        <v>0</v>
      </c>
      <c r="J691" s="240">
        <v>0</v>
      </c>
      <c r="K691" s="240">
        <v>0</v>
      </c>
      <c r="L691" s="240">
        <v>0</v>
      </c>
      <c r="M691" s="240">
        <v>0</v>
      </c>
      <c r="N691" s="240">
        <v>1</v>
      </c>
      <c r="O691" s="240">
        <v>0</v>
      </c>
      <c r="P691" s="240">
        <v>0</v>
      </c>
      <c r="Q691" s="240">
        <v>0</v>
      </c>
      <c r="R691" s="240">
        <v>0</v>
      </c>
      <c r="S691" s="240">
        <v>0</v>
      </c>
      <c r="T691" s="240">
        <v>0</v>
      </c>
      <c r="U691" s="240">
        <v>0</v>
      </c>
      <c r="V691" s="240">
        <v>0</v>
      </c>
      <c r="W691" s="240">
        <v>0</v>
      </c>
      <c r="X691" s="240"/>
      <c r="Y691" s="240">
        <v>1</v>
      </c>
      <c r="Z691" s="139"/>
    </row>
    <row r="692" spans="1:26" hidden="1" x14ac:dyDescent="0.2">
      <c r="A692" s="221" t="s">
        <v>2814</v>
      </c>
      <c r="B692" s="338"/>
      <c r="C692" s="337" t="s">
        <v>2870</v>
      </c>
      <c r="D692" s="338" t="s">
        <v>484</v>
      </c>
      <c r="E692" s="240">
        <v>0</v>
      </c>
      <c r="F692" s="240">
        <v>0</v>
      </c>
      <c r="G692" s="240">
        <v>0</v>
      </c>
      <c r="H692" s="240">
        <v>0</v>
      </c>
      <c r="I692" s="240">
        <v>0</v>
      </c>
      <c r="J692" s="240">
        <v>0</v>
      </c>
      <c r="K692" s="240">
        <v>0</v>
      </c>
      <c r="L692" s="240">
        <v>0</v>
      </c>
      <c r="M692" s="240">
        <v>0</v>
      </c>
      <c r="N692" s="240">
        <v>1</v>
      </c>
      <c r="O692" s="240">
        <v>0</v>
      </c>
      <c r="P692" s="240">
        <v>0</v>
      </c>
      <c r="Q692" s="240">
        <v>0</v>
      </c>
      <c r="R692" s="240">
        <v>0</v>
      </c>
      <c r="S692" s="240">
        <v>0</v>
      </c>
      <c r="T692" s="240">
        <v>0</v>
      </c>
      <c r="U692" s="240">
        <v>0</v>
      </c>
      <c r="V692" s="240">
        <v>0</v>
      </c>
      <c r="W692" s="240">
        <v>0</v>
      </c>
      <c r="X692" s="240"/>
      <c r="Y692" s="240">
        <v>1</v>
      </c>
      <c r="Z692" s="139"/>
    </row>
    <row r="693" spans="1:26" hidden="1" x14ac:dyDescent="0.2">
      <c r="A693" s="221" t="s">
        <v>2814</v>
      </c>
      <c r="B693" s="338"/>
      <c r="C693" s="337" t="s">
        <v>2871</v>
      </c>
      <c r="D693" s="338" t="s">
        <v>486</v>
      </c>
      <c r="E693" s="240">
        <v>0</v>
      </c>
      <c r="F693" s="240">
        <v>0</v>
      </c>
      <c r="G693" s="240">
        <v>0</v>
      </c>
      <c r="H693" s="240">
        <v>0</v>
      </c>
      <c r="I693" s="240">
        <v>0</v>
      </c>
      <c r="J693" s="240">
        <v>0</v>
      </c>
      <c r="K693" s="240">
        <v>0</v>
      </c>
      <c r="L693" s="240">
        <v>0</v>
      </c>
      <c r="M693" s="240">
        <v>0</v>
      </c>
      <c r="N693" s="240">
        <v>1</v>
      </c>
      <c r="O693" s="240">
        <v>0</v>
      </c>
      <c r="P693" s="240">
        <v>0</v>
      </c>
      <c r="Q693" s="240">
        <v>0</v>
      </c>
      <c r="R693" s="240">
        <v>0</v>
      </c>
      <c r="S693" s="240">
        <v>0</v>
      </c>
      <c r="T693" s="240">
        <v>0</v>
      </c>
      <c r="U693" s="240">
        <v>0</v>
      </c>
      <c r="V693" s="240">
        <v>0</v>
      </c>
      <c r="W693" s="240">
        <v>0</v>
      </c>
      <c r="X693" s="240"/>
      <c r="Y693" s="240">
        <v>1</v>
      </c>
      <c r="Z693" s="139"/>
    </row>
    <row r="694" spans="1:26" hidden="1" x14ac:dyDescent="0.2">
      <c r="A694" s="221" t="s">
        <v>2814</v>
      </c>
      <c r="B694" s="338"/>
      <c r="C694" s="337" t="s">
        <v>2872</v>
      </c>
      <c r="D694" s="338" t="s">
        <v>492</v>
      </c>
      <c r="E694" s="240">
        <v>0</v>
      </c>
      <c r="F694" s="240">
        <v>0</v>
      </c>
      <c r="G694" s="240">
        <v>1.9988195947275238E-2</v>
      </c>
      <c r="H694" s="240">
        <v>0</v>
      </c>
      <c r="I694" s="240">
        <v>0</v>
      </c>
      <c r="J694" s="240">
        <v>0</v>
      </c>
      <c r="K694" s="240">
        <v>0</v>
      </c>
      <c r="L694" s="240">
        <v>0</v>
      </c>
      <c r="M694" s="240">
        <v>0</v>
      </c>
      <c r="N694" s="240">
        <v>0</v>
      </c>
      <c r="O694" s="240">
        <v>0</v>
      </c>
      <c r="P694" s="240">
        <v>0</v>
      </c>
      <c r="Q694" s="240">
        <v>0</v>
      </c>
      <c r="R694" s="240">
        <v>0</v>
      </c>
      <c r="S694" s="240">
        <v>0.98001180405272481</v>
      </c>
      <c r="T694" s="240">
        <v>0</v>
      </c>
      <c r="U694" s="240">
        <v>0</v>
      </c>
      <c r="V694" s="240">
        <v>0</v>
      </c>
      <c r="W694" s="240">
        <v>0</v>
      </c>
      <c r="X694" s="240"/>
      <c r="Y694" s="240">
        <v>1</v>
      </c>
      <c r="Z694" s="139"/>
    </row>
    <row r="695" spans="1:26" hidden="1" x14ac:dyDescent="0.2">
      <c r="A695" s="221" t="s">
        <v>2814</v>
      </c>
      <c r="B695" s="338"/>
      <c r="C695" s="337" t="s">
        <v>2873</v>
      </c>
      <c r="D695" s="338" t="s">
        <v>494</v>
      </c>
      <c r="E695" s="240">
        <v>0</v>
      </c>
      <c r="F695" s="240">
        <v>0</v>
      </c>
      <c r="G695" s="240">
        <v>0</v>
      </c>
      <c r="H695" s="240">
        <v>0</v>
      </c>
      <c r="I695" s="240">
        <v>0</v>
      </c>
      <c r="J695" s="240">
        <v>0</v>
      </c>
      <c r="K695" s="240">
        <v>0</v>
      </c>
      <c r="L695" s="240">
        <v>0</v>
      </c>
      <c r="M695" s="240">
        <v>0</v>
      </c>
      <c r="N695" s="240">
        <v>0.89952951762853728</v>
      </c>
      <c r="O695" s="240">
        <v>0</v>
      </c>
      <c r="P695" s="240">
        <v>6.3563388804275991E-2</v>
      </c>
      <c r="Q695" s="240">
        <v>0</v>
      </c>
      <c r="R695" s="240">
        <v>0</v>
      </c>
      <c r="S695" s="240">
        <v>3.6907093567186758E-2</v>
      </c>
      <c r="T695" s="240">
        <v>0</v>
      </c>
      <c r="U695" s="240">
        <v>0</v>
      </c>
      <c r="V695" s="240">
        <v>0</v>
      </c>
      <c r="W695" s="240">
        <v>0</v>
      </c>
      <c r="X695" s="240"/>
      <c r="Y695" s="240">
        <v>1</v>
      </c>
      <c r="Z695" s="139"/>
    </row>
    <row r="696" spans="1:26" hidden="1" x14ac:dyDescent="0.2">
      <c r="A696" s="221" t="s">
        <v>2814</v>
      </c>
      <c r="B696" s="338"/>
      <c r="C696" s="337" t="s">
        <v>2874</v>
      </c>
      <c r="D696" s="338" t="s">
        <v>496</v>
      </c>
      <c r="E696" s="240">
        <v>0</v>
      </c>
      <c r="F696" s="240">
        <v>0</v>
      </c>
      <c r="G696" s="240">
        <v>0</v>
      </c>
      <c r="H696" s="240">
        <v>0</v>
      </c>
      <c r="I696" s="240">
        <v>0</v>
      </c>
      <c r="J696" s="240">
        <v>0</v>
      </c>
      <c r="K696" s="240">
        <v>0</v>
      </c>
      <c r="L696" s="240">
        <v>0</v>
      </c>
      <c r="M696" s="240">
        <v>0</v>
      </c>
      <c r="N696" s="240">
        <v>0.89892446125477488</v>
      </c>
      <c r="O696" s="240">
        <v>0</v>
      </c>
      <c r="P696" s="240">
        <v>2.2606986980922152E-2</v>
      </c>
      <c r="Q696" s="240">
        <v>0</v>
      </c>
      <c r="R696" s="240">
        <v>0</v>
      </c>
      <c r="S696" s="240">
        <v>7.8468551764303077E-2</v>
      </c>
      <c r="T696" s="240">
        <v>0</v>
      </c>
      <c r="U696" s="240">
        <v>0</v>
      </c>
      <c r="V696" s="240">
        <v>0</v>
      </c>
      <c r="W696" s="240">
        <v>0</v>
      </c>
      <c r="X696" s="240"/>
      <c r="Y696" s="240">
        <v>1</v>
      </c>
      <c r="Z696" s="139"/>
    </row>
    <row r="697" spans="1:26" hidden="1" x14ac:dyDescent="0.2">
      <c r="A697" s="270" t="s">
        <v>2814</v>
      </c>
      <c r="B697" s="338"/>
      <c r="C697" s="337" t="s">
        <v>2875</v>
      </c>
      <c r="D697" s="338" t="s">
        <v>498</v>
      </c>
      <c r="E697" s="240">
        <v>0</v>
      </c>
      <c r="F697" s="240">
        <v>0</v>
      </c>
      <c r="G697" s="240">
        <v>0</v>
      </c>
      <c r="H697" s="240">
        <v>0</v>
      </c>
      <c r="I697" s="240">
        <v>0</v>
      </c>
      <c r="J697" s="240">
        <v>0</v>
      </c>
      <c r="K697" s="240">
        <v>0</v>
      </c>
      <c r="L697" s="240">
        <v>0</v>
      </c>
      <c r="M697" s="240">
        <v>0</v>
      </c>
      <c r="N697" s="240">
        <v>0.89724490948011804</v>
      </c>
      <c r="O697" s="240">
        <v>0</v>
      </c>
      <c r="P697" s="240">
        <v>3.4292091965193609E-2</v>
      </c>
      <c r="Q697" s="240">
        <v>0</v>
      </c>
      <c r="R697" s="240">
        <v>0</v>
      </c>
      <c r="S697" s="240">
        <v>6.8462998554688417E-2</v>
      </c>
      <c r="T697" s="240">
        <v>0</v>
      </c>
      <c r="U697" s="240">
        <v>0</v>
      </c>
      <c r="V697" s="240">
        <v>0</v>
      </c>
      <c r="W697" s="240">
        <v>0</v>
      </c>
      <c r="X697" s="240"/>
      <c r="Y697" s="240">
        <v>1</v>
      </c>
      <c r="Z697" s="139"/>
    </row>
    <row r="698" spans="1:26" hidden="1" x14ac:dyDescent="0.2">
      <c r="A698" s="339"/>
      <c r="B698" s="339"/>
      <c r="C698" s="340" t="s">
        <v>2876</v>
      </c>
      <c r="D698" s="339" t="s">
        <v>499</v>
      </c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859">
        <v>0</v>
      </c>
      <c r="Z698" s="139"/>
    </row>
    <row r="699" spans="1:26" hidden="1" x14ac:dyDescent="0.2">
      <c r="A699" s="339"/>
      <c r="B699" s="339"/>
      <c r="C699" s="340" t="s">
        <v>2877</v>
      </c>
      <c r="D699" s="339" t="s">
        <v>1096</v>
      </c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859">
        <v>0</v>
      </c>
      <c r="Z699" s="139"/>
    </row>
    <row r="700" spans="1:26" hidden="1" x14ac:dyDescent="0.2">
      <c r="A700" s="255" t="s">
        <v>2968</v>
      </c>
      <c r="B700" s="344"/>
      <c r="C700" s="345" t="s">
        <v>2252</v>
      </c>
      <c r="D700" s="344" t="s">
        <v>507</v>
      </c>
      <c r="E700" s="346"/>
      <c r="F700" s="346"/>
      <c r="G700" s="346"/>
      <c r="H700" s="346"/>
      <c r="I700" s="346"/>
      <c r="J700" s="346"/>
      <c r="K700" s="346"/>
      <c r="L700" s="346"/>
      <c r="M700" s="346"/>
      <c r="N700" s="346">
        <v>0.3308004969943022</v>
      </c>
      <c r="O700" s="346"/>
      <c r="P700" s="346">
        <v>0.25522483196110085</v>
      </c>
      <c r="Q700" s="346"/>
      <c r="R700" s="346"/>
      <c r="S700" s="346">
        <v>0.4139746710445969</v>
      </c>
      <c r="T700" s="346"/>
      <c r="U700" s="346"/>
      <c r="V700" s="346"/>
      <c r="W700" s="346"/>
      <c r="X700" s="346"/>
      <c r="Y700" s="346">
        <v>1</v>
      </c>
      <c r="Z700" s="139"/>
    </row>
    <row r="701" spans="1:26" hidden="1" x14ac:dyDescent="0.2">
      <c r="A701" s="238" t="s">
        <v>2814</v>
      </c>
      <c r="B701" s="338"/>
      <c r="C701" s="337" t="s">
        <v>2878</v>
      </c>
      <c r="D701" s="338" t="s">
        <v>2387</v>
      </c>
      <c r="E701" s="240">
        <v>0</v>
      </c>
      <c r="F701" s="240">
        <v>0</v>
      </c>
      <c r="G701" s="240">
        <v>0</v>
      </c>
      <c r="H701" s="240">
        <v>0</v>
      </c>
      <c r="I701" s="240">
        <v>0</v>
      </c>
      <c r="J701" s="240">
        <v>0</v>
      </c>
      <c r="K701" s="240">
        <v>0</v>
      </c>
      <c r="L701" s="240">
        <v>0</v>
      </c>
      <c r="M701" s="240">
        <v>0</v>
      </c>
      <c r="N701" s="240">
        <v>0.50097729632133636</v>
      </c>
      <c r="O701" s="240">
        <v>0</v>
      </c>
      <c r="P701" s="240">
        <v>8.2609362025849176E-2</v>
      </c>
      <c r="Q701" s="240">
        <v>0</v>
      </c>
      <c r="R701" s="240">
        <v>0</v>
      </c>
      <c r="S701" s="240">
        <v>0.35886589335316527</v>
      </c>
      <c r="T701" s="240">
        <v>5.754744829964923E-2</v>
      </c>
      <c r="U701" s="240">
        <v>0</v>
      </c>
      <c r="V701" s="240">
        <v>0</v>
      </c>
      <c r="W701" s="240">
        <v>0</v>
      </c>
      <c r="X701" s="240"/>
      <c r="Y701" s="240">
        <v>1</v>
      </c>
      <c r="Z701" s="139"/>
    </row>
    <row r="702" spans="1:26" hidden="1" x14ac:dyDescent="0.2">
      <c r="A702" s="339"/>
      <c r="B702" s="339"/>
      <c r="C702" s="340" t="s">
        <v>2879</v>
      </c>
      <c r="D702" s="339" t="s">
        <v>509</v>
      </c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859">
        <v>0</v>
      </c>
      <c r="Z702" s="139"/>
    </row>
    <row r="703" spans="1:26" hidden="1" x14ac:dyDescent="0.2">
      <c r="A703" s="254" t="s">
        <v>2814</v>
      </c>
      <c r="B703" s="338"/>
      <c r="C703" s="337" t="s">
        <v>2880</v>
      </c>
      <c r="D703" s="338" t="s">
        <v>511</v>
      </c>
      <c r="E703" s="240">
        <v>0</v>
      </c>
      <c r="F703" s="240">
        <v>0</v>
      </c>
      <c r="G703" s="240">
        <v>0</v>
      </c>
      <c r="H703" s="240">
        <v>0</v>
      </c>
      <c r="I703" s="240">
        <v>0</v>
      </c>
      <c r="J703" s="240">
        <v>0</v>
      </c>
      <c r="K703" s="240">
        <v>0</v>
      </c>
      <c r="L703" s="240">
        <v>0</v>
      </c>
      <c r="M703" s="240">
        <v>0</v>
      </c>
      <c r="N703" s="240">
        <v>0.15924946317816957</v>
      </c>
      <c r="O703" s="240">
        <v>0</v>
      </c>
      <c r="P703" s="240">
        <v>0</v>
      </c>
      <c r="Q703" s="240">
        <v>0</v>
      </c>
      <c r="R703" s="240">
        <v>0</v>
      </c>
      <c r="S703" s="240">
        <v>0.84075053682183043</v>
      </c>
      <c r="T703" s="240">
        <v>0</v>
      </c>
      <c r="U703" s="240">
        <v>0</v>
      </c>
      <c r="V703" s="240">
        <v>0</v>
      </c>
      <c r="W703" s="240">
        <v>0</v>
      </c>
      <c r="X703" s="240"/>
      <c r="Y703" s="240">
        <v>1</v>
      </c>
      <c r="Z703" s="139"/>
    </row>
    <row r="704" spans="1:26" hidden="1" x14ac:dyDescent="0.2">
      <c r="A704" s="221" t="s">
        <v>2814</v>
      </c>
      <c r="B704" s="338"/>
      <c r="C704" s="347" t="s">
        <v>2881</v>
      </c>
      <c r="D704" s="348" t="s">
        <v>513</v>
      </c>
      <c r="E704" s="240">
        <v>0</v>
      </c>
      <c r="F704" s="240">
        <v>0</v>
      </c>
      <c r="G704" s="240">
        <v>0</v>
      </c>
      <c r="H704" s="240">
        <v>0</v>
      </c>
      <c r="I704" s="240">
        <v>0</v>
      </c>
      <c r="J704" s="240">
        <v>0</v>
      </c>
      <c r="K704" s="240">
        <v>0</v>
      </c>
      <c r="L704" s="240">
        <v>0</v>
      </c>
      <c r="M704" s="240">
        <v>0</v>
      </c>
      <c r="N704" s="240">
        <v>0.25864201435552758</v>
      </c>
      <c r="O704" s="240">
        <v>2.1247146556947979E-2</v>
      </c>
      <c r="P704" s="240">
        <v>0.68708624800095996</v>
      </c>
      <c r="Q704" s="240">
        <v>0</v>
      </c>
      <c r="R704" s="240">
        <v>0</v>
      </c>
      <c r="S704" s="240">
        <v>3.3024591086564484E-2</v>
      </c>
      <c r="T704" s="240">
        <v>0</v>
      </c>
      <c r="U704" s="240">
        <v>0</v>
      </c>
      <c r="V704" s="240">
        <v>0</v>
      </c>
      <c r="W704" s="240">
        <v>0</v>
      </c>
      <c r="X704" s="240"/>
      <c r="Y704" s="240">
        <v>1</v>
      </c>
      <c r="Z704" s="139"/>
    </row>
    <row r="705" spans="1:26" hidden="1" x14ac:dyDescent="0.2">
      <c r="A705" s="221" t="s">
        <v>2814</v>
      </c>
      <c r="B705" s="338"/>
      <c r="C705" s="337" t="s">
        <v>2882</v>
      </c>
      <c r="D705" s="338" t="s">
        <v>515</v>
      </c>
      <c r="E705" s="240">
        <v>0</v>
      </c>
      <c r="F705" s="240">
        <v>0</v>
      </c>
      <c r="G705" s="240">
        <v>0</v>
      </c>
      <c r="H705" s="240">
        <v>0</v>
      </c>
      <c r="I705" s="240">
        <v>0</v>
      </c>
      <c r="J705" s="240">
        <v>0</v>
      </c>
      <c r="K705" s="240">
        <v>0</v>
      </c>
      <c r="L705" s="240">
        <v>0</v>
      </c>
      <c r="M705" s="240">
        <v>0</v>
      </c>
      <c r="N705" s="240">
        <v>0.96626699877923861</v>
      </c>
      <c r="O705" s="240">
        <v>0</v>
      </c>
      <c r="P705" s="240">
        <v>3.3733001220761359E-2</v>
      </c>
      <c r="Q705" s="240">
        <v>0</v>
      </c>
      <c r="R705" s="240">
        <v>0</v>
      </c>
      <c r="S705" s="240">
        <v>0</v>
      </c>
      <c r="T705" s="240">
        <v>0</v>
      </c>
      <c r="U705" s="240">
        <v>0</v>
      </c>
      <c r="V705" s="240">
        <v>0</v>
      </c>
      <c r="W705" s="240">
        <v>0</v>
      </c>
      <c r="X705" s="240"/>
      <c r="Y705" s="240">
        <v>1</v>
      </c>
      <c r="Z705" s="139"/>
    </row>
    <row r="706" spans="1:26" hidden="1" x14ac:dyDescent="0.2">
      <c r="A706" s="270" t="s">
        <v>2814</v>
      </c>
      <c r="B706" s="338"/>
      <c r="C706" s="349" t="s">
        <v>2883</v>
      </c>
      <c r="D706" s="350" t="s">
        <v>2388</v>
      </c>
      <c r="E706" s="240">
        <v>0</v>
      </c>
      <c r="F706" s="240">
        <v>0</v>
      </c>
      <c r="G706" s="240">
        <v>0</v>
      </c>
      <c r="H706" s="240">
        <v>0</v>
      </c>
      <c r="I706" s="240">
        <v>0</v>
      </c>
      <c r="J706" s="240">
        <v>0</v>
      </c>
      <c r="K706" s="240">
        <v>0</v>
      </c>
      <c r="L706" s="240">
        <v>0</v>
      </c>
      <c r="M706" s="240">
        <v>0</v>
      </c>
      <c r="N706" s="240">
        <v>0.69836818000366996</v>
      </c>
      <c r="O706" s="240">
        <v>0</v>
      </c>
      <c r="P706" s="240">
        <v>0.12108815175037685</v>
      </c>
      <c r="Q706" s="240">
        <v>0</v>
      </c>
      <c r="R706" s="240">
        <v>0</v>
      </c>
      <c r="S706" s="240">
        <v>0.18054366824595322</v>
      </c>
      <c r="T706" s="240">
        <v>0</v>
      </c>
      <c r="U706" s="240">
        <v>0</v>
      </c>
      <c r="V706" s="240">
        <v>0</v>
      </c>
      <c r="W706" s="240">
        <v>0</v>
      </c>
      <c r="X706" s="240"/>
      <c r="Y706" s="240">
        <v>1</v>
      </c>
      <c r="Z706" s="139"/>
    </row>
    <row r="707" spans="1:26" hidden="1" x14ac:dyDescent="0.2">
      <c r="A707" s="339"/>
      <c r="B707" s="339"/>
      <c r="C707" s="340" t="s">
        <v>2884</v>
      </c>
      <c r="D707" s="339" t="s">
        <v>519</v>
      </c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859">
        <v>0</v>
      </c>
      <c r="Z707" s="139"/>
    </row>
    <row r="708" spans="1:26" hidden="1" x14ac:dyDescent="0.2">
      <c r="A708" s="254" t="s">
        <v>2814</v>
      </c>
      <c r="B708" s="338"/>
      <c r="C708" s="337" t="s">
        <v>2885</v>
      </c>
      <c r="D708" s="338" t="s">
        <v>521</v>
      </c>
      <c r="E708" s="240">
        <v>0</v>
      </c>
      <c r="F708" s="240">
        <v>0</v>
      </c>
      <c r="G708" s="240">
        <v>0</v>
      </c>
      <c r="H708" s="240">
        <v>1</v>
      </c>
      <c r="I708" s="240">
        <v>0</v>
      </c>
      <c r="J708" s="240">
        <v>0</v>
      </c>
      <c r="K708" s="240">
        <v>0</v>
      </c>
      <c r="L708" s="240">
        <v>0</v>
      </c>
      <c r="M708" s="240">
        <v>0</v>
      </c>
      <c r="N708" s="240">
        <v>0</v>
      </c>
      <c r="O708" s="240">
        <v>0</v>
      </c>
      <c r="P708" s="240">
        <v>0</v>
      </c>
      <c r="Q708" s="240">
        <v>0</v>
      </c>
      <c r="R708" s="240">
        <v>0</v>
      </c>
      <c r="S708" s="240">
        <v>0</v>
      </c>
      <c r="T708" s="240">
        <v>0</v>
      </c>
      <c r="U708" s="240">
        <v>0</v>
      </c>
      <c r="V708" s="240">
        <v>0</v>
      </c>
      <c r="W708" s="240">
        <v>0</v>
      </c>
      <c r="X708" s="240"/>
      <c r="Y708" s="240">
        <v>1</v>
      </c>
      <c r="Z708" s="139"/>
    </row>
    <row r="709" spans="1:26" hidden="1" x14ac:dyDescent="0.2">
      <c r="A709" s="221" t="s">
        <v>2814</v>
      </c>
      <c r="B709" s="338"/>
      <c r="C709" s="337" t="s">
        <v>2886</v>
      </c>
      <c r="D709" s="338" t="s">
        <v>527</v>
      </c>
      <c r="E709" s="240">
        <v>0</v>
      </c>
      <c r="F709" s="240">
        <v>0</v>
      </c>
      <c r="G709" s="240">
        <v>9.8997133515637617E-3</v>
      </c>
      <c r="H709" s="240">
        <v>0</v>
      </c>
      <c r="I709" s="240">
        <v>0</v>
      </c>
      <c r="J709" s="240">
        <v>0</v>
      </c>
      <c r="K709" s="240">
        <v>0</v>
      </c>
      <c r="L709" s="240">
        <v>0</v>
      </c>
      <c r="M709" s="240">
        <v>0</v>
      </c>
      <c r="N709" s="240">
        <v>0.79697883928314239</v>
      </c>
      <c r="O709" s="240">
        <v>0</v>
      </c>
      <c r="P709" s="240">
        <v>0.1331291827838956</v>
      </c>
      <c r="Q709" s="240">
        <v>0</v>
      </c>
      <c r="R709" s="240">
        <v>0</v>
      </c>
      <c r="S709" s="240">
        <v>5.0092551223795662E-2</v>
      </c>
      <c r="T709" s="240">
        <v>6.5998089050683904E-3</v>
      </c>
      <c r="U709" s="240">
        <v>3.2999044525341952E-3</v>
      </c>
      <c r="V709" s="240">
        <v>0</v>
      </c>
      <c r="W709" s="240">
        <v>0</v>
      </c>
      <c r="X709" s="240"/>
      <c r="Y709" s="240">
        <v>1</v>
      </c>
      <c r="Z709" s="139"/>
    </row>
    <row r="710" spans="1:26" hidden="1" x14ac:dyDescent="0.2">
      <c r="A710" s="746" t="s">
        <v>2599</v>
      </c>
      <c r="B710" s="794"/>
      <c r="C710" s="795" t="s">
        <v>2887</v>
      </c>
      <c r="D710" s="794" t="s">
        <v>529</v>
      </c>
      <c r="E710" s="744">
        <v>1</v>
      </c>
      <c r="F710" s="744">
        <v>0</v>
      </c>
      <c r="G710" s="744">
        <v>0</v>
      </c>
      <c r="H710" s="744">
        <v>0</v>
      </c>
      <c r="I710" s="744">
        <v>0</v>
      </c>
      <c r="J710" s="744">
        <v>0</v>
      </c>
      <c r="K710" s="744">
        <v>0</v>
      </c>
      <c r="L710" s="744">
        <v>0</v>
      </c>
      <c r="M710" s="744">
        <v>0</v>
      </c>
      <c r="N710" s="744">
        <v>0</v>
      </c>
      <c r="O710" s="744">
        <v>0</v>
      </c>
      <c r="P710" s="744">
        <v>0</v>
      </c>
      <c r="Q710" s="744">
        <v>0</v>
      </c>
      <c r="R710" s="744">
        <v>0</v>
      </c>
      <c r="S710" s="744">
        <v>0</v>
      </c>
      <c r="T710" s="744">
        <v>0</v>
      </c>
      <c r="U710" s="744">
        <v>0</v>
      </c>
      <c r="V710" s="744">
        <v>0</v>
      </c>
      <c r="W710" s="744">
        <v>0</v>
      </c>
      <c r="X710" s="744">
        <v>0</v>
      </c>
      <c r="Y710" s="240">
        <v>1</v>
      </c>
      <c r="Z710" s="139"/>
    </row>
    <row r="711" spans="1:26" hidden="1" x14ac:dyDescent="0.2">
      <c r="A711" s="221" t="s">
        <v>2814</v>
      </c>
      <c r="B711" s="338"/>
      <c r="C711" s="337" t="s">
        <v>2888</v>
      </c>
      <c r="D711" s="338" t="s">
        <v>535</v>
      </c>
      <c r="E711" s="240">
        <v>0.69973890339425593</v>
      </c>
      <c r="F711" s="240">
        <v>0</v>
      </c>
      <c r="G711" s="240">
        <v>0</v>
      </c>
      <c r="H711" s="240">
        <v>0</v>
      </c>
      <c r="I711" s="240">
        <v>0</v>
      </c>
      <c r="J711" s="240">
        <v>0</v>
      </c>
      <c r="K711" s="240">
        <v>0</v>
      </c>
      <c r="L711" s="240">
        <v>0.30026109660574407</v>
      </c>
      <c r="M711" s="240">
        <v>0</v>
      </c>
      <c r="N711" s="240">
        <v>0</v>
      </c>
      <c r="O711" s="240">
        <v>0</v>
      </c>
      <c r="P711" s="240">
        <v>0</v>
      </c>
      <c r="Q711" s="240">
        <v>0</v>
      </c>
      <c r="R711" s="240">
        <v>0</v>
      </c>
      <c r="S711" s="240">
        <v>0</v>
      </c>
      <c r="T711" s="240">
        <v>0</v>
      </c>
      <c r="U711" s="240">
        <v>0</v>
      </c>
      <c r="V711" s="240">
        <v>0</v>
      </c>
      <c r="W711" s="240">
        <v>0</v>
      </c>
      <c r="X711" s="240"/>
      <c r="Y711" s="240">
        <v>1</v>
      </c>
      <c r="Z711" s="139"/>
    </row>
    <row r="712" spans="1:26" hidden="1" x14ac:dyDescent="0.2">
      <c r="A712" s="221" t="s">
        <v>2814</v>
      </c>
      <c r="B712" s="338"/>
      <c r="C712" s="337" t="s">
        <v>2889</v>
      </c>
      <c r="D712" s="338" t="s">
        <v>537</v>
      </c>
      <c r="E712" s="240">
        <v>0.69973890339425582</v>
      </c>
      <c r="F712" s="240">
        <v>0</v>
      </c>
      <c r="G712" s="240">
        <v>0</v>
      </c>
      <c r="H712" s="240">
        <v>0</v>
      </c>
      <c r="I712" s="240">
        <v>0</v>
      </c>
      <c r="J712" s="240">
        <v>0</v>
      </c>
      <c r="K712" s="240">
        <v>0</v>
      </c>
      <c r="L712" s="240">
        <v>0.30026109660574413</v>
      </c>
      <c r="M712" s="240">
        <v>0</v>
      </c>
      <c r="N712" s="240">
        <v>0</v>
      </c>
      <c r="O712" s="240">
        <v>0</v>
      </c>
      <c r="P712" s="240">
        <v>0</v>
      </c>
      <c r="Q712" s="240">
        <v>0</v>
      </c>
      <c r="R712" s="240">
        <v>0</v>
      </c>
      <c r="S712" s="240">
        <v>0</v>
      </c>
      <c r="T712" s="240">
        <v>0</v>
      </c>
      <c r="U712" s="240">
        <v>0</v>
      </c>
      <c r="V712" s="240">
        <v>0</v>
      </c>
      <c r="W712" s="240">
        <v>0</v>
      </c>
      <c r="X712" s="240"/>
      <c r="Y712" s="240">
        <v>1</v>
      </c>
      <c r="Z712" s="139"/>
    </row>
    <row r="713" spans="1:26" hidden="1" x14ac:dyDescent="0.2">
      <c r="A713" s="270" t="s">
        <v>2814</v>
      </c>
      <c r="B713" s="338"/>
      <c r="C713" s="337" t="s">
        <v>2890</v>
      </c>
      <c r="D713" s="338" t="s">
        <v>539</v>
      </c>
      <c r="E713" s="240">
        <v>0.69973890339425593</v>
      </c>
      <c r="F713" s="240">
        <v>0</v>
      </c>
      <c r="G713" s="240">
        <v>0</v>
      </c>
      <c r="H713" s="240">
        <v>0</v>
      </c>
      <c r="I713" s="240">
        <v>0</v>
      </c>
      <c r="J713" s="240">
        <v>0</v>
      </c>
      <c r="K713" s="240">
        <v>0</v>
      </c>
      <c r="L713" s="240">
        <v>0.30026109660574407</v>
      </c>
      <c r="M713" s="240">
        <v>0</v>
      </c>
      <c r="N713" s="240">
        <v>0</v>
      </c>
      <c r="O713" s="240">
        <v>0</v>
      </c>
      <c r="P713" s="240">
        <v>0</v>
      </c>
      <c r="Q713" s="240">
        <v>0</v>
      </c>
      <c r="R713" s="240">
        <v>0</v>
      </c>
      <c r="S713" s="240">
        <v>0</v>
      </c>
      <c r="T713" s="240">
        <v>0</v>
      </c>
      <c r="U713" s="240">
        <v>0</v>
      </c>
      <c r="V713" s="240">
        <v>0</v>
      </c>
      <c r="W713" s="240">
        <v>0</v>
      </c>
      <c r="X713" s="240"/>
      <c r="Y713" s="240">
        <v>1</v>
      </c>
      <c r="Z713" s="139"/>
    </row>
    <row r="714" spans="1:26" hidden="1" x14ac:dyDescent="0.2">
      <c r="A714" s="255" t="s">
        <v>2968</v>
      </c>
      <c r="B714" s="344"/>
      <c r="C714" s="345" t="s">
        <v>2891</v>
      </c>
      <c r="D714" s="344" t="s">
        <v>2293</v>
      </c>
      <c r="E714" s="346"/>
      <c r="F714" s="346"/>
      <c r="G714" s="346"/>
      <c r="H714" s="346"/>
      <c r="I714" s="346"/>
      <c r="J714" s="346"/>
      <c r="K714" s="346"/>
      <c r="L714" s="346"/>
      <c r="M714" s="346"/>
      <c r="N714" s="346">
        <v>1</v>
      </c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>
        <v>1</v>
      </c>
      <c r="Z714" s="139"/>
    </row>
    <row r="715" spans="1:26" hidden="1" x14ac:dyDescent="0.2">
      <c r="A715" s="254" t="s">
        <v>2814</v>
      </c>
      <c r="B715" s="338"/>
      <c r="C715" s="337" t="s">
        <v>2892</v>
      </c>
      <c r="D715" s="338" t="s">
        <v>542</v>
      </c>
      <c r="E715" s="240">
        <v>0</v>
      </c>
      <c r="F715" s="240">
        <v>0.29999996499999831</v>
      </c>
      <c r="G715" s="240">
        <v>0.60000003000000146</v>
      </c>
      <c r="H715" s="240">
        <v>0</v>
      </c>
      <c r="I715" s="240">
        <v>0</v>
      </c>
      <c r="J715" s="240">
        <v>0</v>
      </c>
      <c r="K715" s="240">
        <v>0</v>
      </c>
      <c r="L715" s="240">
        <v>0</v>
      </c>
      <c r="M715" s="240">
        <v>0</v>
      </c>
      <c r="N715" s="240">
        <v>0</v>
      </c>
      <c r="O715" s="240">
        <v>0</v>
      </c>
      <c r="P715" s="240">
        <v>0</v>
      </c>
      <c r="Q715" s="240">
        <v>0</v>
      </c>
      <c r="R715" s="240">
        <v>0</v>
      </c>
      <c r="S715" s="240">
        <v>0</v>
      </c>
      <c r="T715" s="240">
        <v>0.10000000500000025</v>
      </c>
      <c r="U715" s="240">
        <v>0</v>
      </c>
      <c r="V715" s="240">
        <v>0</v>
      </c>
      <c r="W715" s="240">
        <v>0</v>
      </c>
      <c r="X715" s="240"/>
      <c r="Y715" s="240">
        <v>1</v>
      </c>
      <c r="Z715" s="139"/>
    </row>
    <row r="716" spans="1:26" hidden="1" x14ac:dyDescent="0.2">
      <c r="A716" s="221" t="s">
        <v>2814</v>
      </c>
      <c r="B716" s="338"/>
      <c r="C716" s="337" t="s">
        <v>2893</v>
      </c>
      <c r="D716" s="338" t="s">
        <v>544</v>
      </c>
      <c r="E716" s="240">
        <v>1</v>
      </c>
      <c r="F716" s="240">
        <v>0</v>
      </c>
      <c r="G716" s="240">
        <v>0</v>
      </c>
      <c r="H716" s="240">
        <v>0</v>
      </c>
      <c r="I716" s="240">
        <v>0</v>
      </c>
      <c r="J716" s="240">
        <v>0</v>
      </c>
      <c r="K716" s="240">
        <v>0</v>
      </c>
      <c r="L716" s="240">
        <v>0</v>
      </c>
      <c r="M716" s="240">
        <v>0</v>
      </c>
      <c r="N716" s="240">
        <v>0</v>
      </c>
      <c r="O716" s="240">
        <v>0</v>
      </c>
      <c r="P716" s="240">
        <v>0</v>
      </c>
      <c r="Q716" s="240">
        <v>0</v>
      </c>
      <c r="R716" s="240">
        <v>0</v>
      </c>
      <c r="S716" s="240">
        <v>0</v>
      </c>
      <c r="T716" s="240">
        <v>0</v>
      </c>
      <c r="U716" s="240">
        <v>0</v>
      </c>
      <c r="V716" s="240">
        <v>0</v>
      </c>
      <c r="W716" s="240">
        <v>0</v>
      </c>
      <c r="X716" s="240"/>
      <c r="Y716" s="240">
        <v>1</v>
      </c>
      <c r="Z716" s="139"/>
    </row>
    <row r="717" spans="1:26" hidden="1" x14ac:dyDescent="0.2">
      <c r="A717" s="221" t="s">
        <v>2814</v>
      </c>
      <c r="B717" s="338"/>
      <c r="C717" s="337" t="s">
        <v>2894</v>
      </c>
      <c r="D717" s="338" t="s">
        <v>548</v>
      </c>
      <c r="E717" s="240">
        <v>0</v>
      </c>
      <c r="F717" s="240">
        <v>2.7623472828153802E-2</v>
      </c>
      <c r="G717" s="240">
        <v>0.97237652717184631</v>
      </c>
      <c r="H717" s="240">
        <v>0</v>
      </c>
      <c r="I717" s="240">
        <v>0</v>
      </c>
      <c r="J717" s="240">
        <v>0</v>
      </c>
      <c r="K717" s="240">
        <v>0</v>
      </c>
      <c r="L717" s="240">
        <v>0</v>
      </c>
      <c r="M717" s="240">
        <v>0</v>
      </c>
      <c r="N717" s="240">
        <v>0</v>
      </c>
      <c r="O717" s="240">
        <v>0</v>
      </c>
      <c r="P717" s="240">
        <v>0</v>
      </c>
      <c r="Q717" s="240">
        <v>0</v>
      </c>
      <c r="R717" s="240">
        <v>0</v>
      </c>
      <c r="S717" s="240">
        <v>0</v>
      </c>
      <c r="T717" s="240">
        <v>0</v>
      </c>
      <c r="U717" s="240">
        <v>0</v>
      </c>
      <c r="V717" s="240">
        <v>0</v>
      </c>
      <c r="W717" s="240">
        <v>0</v>
      </c>
      <c r="X717" s="240"/>
      <c r="Y717" s="240">
        <v>1</v>
      </c>
      <c r="Z717" s="139"/>
    </row>
    <row r="718" spans="1:26" hidden="1" x14ac:dyDescent="0.2">
      <c r="A718" s="221" t="s">
        <v>2814</v>
      </c>
      <c r="B718" s="338"/>
      <c r="C718" s="337" t="s">
        <v>2895</v>
      </c>
      <c r="D718" s="338" t="s">
        <v>224</v>
      </c>
      <c r="E718" s="240">
        <v>0</v>
      </c>
      <c r="F718" s="240">
        <v>0</v>
      </c>
      <c r="G718" s="240">
        <v>0</v>
      </c>
      <c r="H718" s="240">
        <v>0</v>
      </c>
      <c r="I718" s="240">
        <v>0</v>
      </c>
      <c r="J718" s="240">
        <v>0</v>
      </c>
      <c r="K718" s="240">
        <v>0</v>
      </c>
      <c r="L718" s="240">
        <v>0</v>
      </c>
      <c r="M718" s="240">
        <v>0</v>
      </c>
      <c r="N718" s="240">
        <v>0</v>
      </c>
      <c r="O718" s="240">
        <v>0</v>
      </c>
      <c r="P718" s="240">
        <v>0</v>
      </c>
      <c r="Q718" s="240">
        <v>0</v>
      </c>
      <c r="R718" s="240">
        <v>0</v>
      </c>
      <c r="S718" s="240">
        <v>1</v>
      </c>
      <c r="T718" s="240">
        <v>0</v>
      </c>
      <c r="U718" s="240">
        <v>0</v>
      </c>
      <c r="V718" s="240">
        <v>0</v>
      </c>
      <c r="W718" s="240">
        <v>0</v>
      </c>
      <c r="X718" s="240"/>
      <c r="Y718" s="240">
        <v>1</v>
      </c>
      <c r="Z718" s="139"/>
    </row>
    <row r="719" spans="1:26" hidden="1" x14ac:dyDescent="0.2">
      <c r="A719" s="221" t="s">
        <v>2814</v>
      </c>
      <c r="B719" s="338"/>
      <c r="C719" s="337" t="s">
        <v>2896</v>
      </c>
      <c r="D719" s="338" t="s">
        <v>551</v>
      </c>
      <c r="E719" s="240">
        <v>0</v>
      </c>
      <c r="F719" s="240">
        <v>0</v>
      </c>
      <c r="G719" s="240">
        <v>0</v>
      </c>
      <c r="H719" s="240">
        <v>0</v>
      </c>
      <c r="I719" s="240">
        <v>0</v>
      </c>
      <c r="J719" s="240">
        <v>1.5428917886504976E-2</v>
      </c>
      <c r="K719" s="240">
        <v>0</v>
      </c>
      <c r="L719" s="240">
        <v>0</v>
      </c>
      <c r="M719" s="240">
        <v>0</v>
      </c>
      <c r="N719" s="240">
        <v>0.40789629806647021</v>
      </c>
      <c r="O719" s="240">
        <v>0</v>
      </c>
      <c r="P719" s="240">
        <v>0.39913936504313302</v>
      </c>
      <c r="Q719" s="240">
        <v>3.08578357702456E-2</v>
      </c>
      <c r="R719" s="240">
        <v>0</v>
      </c>
      <c r="S719" s="240">
        <v>0.13382015166155883</v>
      </c>
      <c r="T719" s="240">
        <v>1.2857431572087477E-2</v>
      </c>
      <c r="U719" s="240">
        <v>0</v>
      </c>
      <c r="V719" s="240">
        <v>0</v>
      </c>
      <c r="W719" s="240">
        <v>0</v>
      </c>
      <c r="X719" s="240"/>
      <c r="Y719" s="240">
        <v>1</v>
      </c>
      <c r="Z719" s="139"/>
    </row>
    <row r="720" spans="1:26" hidden="1" x14ac:dyDescent="0.2">
      <c r="A720" s="221" t="s">
        <v>2814</v>
      </c>
      <c r="B720" s="338"/>
      <c r="C720" s="337" t="s">
        <v>2897</v>
      </c>
      <c r="D720" s="338" t="s">
        <v>555</v>
      </c>
      <c r="E720" s="240">
        <v>0</v>
      </c>
      <c r="F720" s="240">
        <v>0</v>
      </c>
      <c r="G720" s="240">
        <v>0</v>
      </c>
      <c r="H720" s="240">
        <v>0</v>
      </c>
      <c r="I720" s="240">
        <v>0</v>
      </c>
      <c r="J720" s="240">
        <v>0</v>
      </c>
      <c r="K720" s="240">
        <v>0</v>
      </c>
      <c r="L720" s="240">
        <v>0</v>
      </c>
      <c r="M720" s="240">
        <v>0</v>
      </c>
      <c r="N720" s="240">
        <v>0.66377548122534002</v>
      </c>
      <c r="O720" s="240">
        <v>0</v>
      </c>
      <c r="P720" s="240">
        <v>0.14391876406700388</v>
      </c>
      <c r="Q720" s="240">
        <v>0</v>
      </c>
      <c r="R720" s="240">
        <v>0</v>
      </c>
      <c r="S720" s="240">
        <v>5.84531595595216E-2</v>
      </c>
      <c r="T720" s="240">
        <v>0.13385259514813455</v>
      </c>
      <c r="U720" s="240">
        <v>0</v>
      </c>
      <c r="V720" s="240">
        <v>0</v>
      </c>
      <c r="W720" s="240">
        <v>0</v>
      </c>
      <c r="X720" s="240"/>
      <c r="Y720" s="240">
        <v>1</v>
      </c>
      <c r="Z720" s="139"/>
    </row>
    <row r="721" spans="1:26" hidden="1" x14ac:dyDescent="0.2">
      <c r="A721" s="221" t="s">
        <v>2814</v>
      </c>
      <c r="B721" s="338"/>
      <c r="C721" s="337" t="s">
        <v>2898</v>
      </c>
      <c r="D721" s="338" t="s">
        <v>557</v>
      </c>
      <c r="E721" s="240">
        <v>0</v>
      </c>
      <c r="F721" s="240">
        <v>0</v>
      </c>
      <c r="G721" s="240">
        <v>0</v>
      </c>
      <c r="H721" s="240">
        <v>0</v>
      </c>
      <c r="I721" s="240">
        <v>0</v>
      </c>
      <c r="J721" s="240">
        <v>0</v>
      </c>
      <c r="K721" s="240">
        <v>0</v>
      </c>
      <c r="L721" s="240">
        <v>0</v>
      </c>
      <c r="M721" s="240">
        <v>0</v>
      </c>
      <c r="N721" s="240">
        <v>0</v>
      </c>
      <c r="O721" s="240">
        <v>0.61092902936771587</v>
      </c>
      <c r="P721" s="240">
        <v>4.934701776225707E-2</v>
      </c>
      <c r="Q721" s="240">
        <v>0</v>
      </c>
      <c r="R721" s="240">
        <v>0</v>
      </c>
      <c r="S721" s="240">
        <v>0.3397239528700271</v>
      </c>
      <c r="T721" s="240">
        <v>0</v>
      </c>
      <c r="U721" s="240">
        <v>0</v>
      </c>
      <c r="V721" s="240">
        <v>0</v>
      </c>
      <c r="W721" s="240">
        <v>0</v>
      </c>
      <c r="X721" s="240"/>
      <c r="Y721" s="240">
        <v>1</v>
      </c>
      <c r="Z721" s="139"/>
    </row>
    <row r="722" spans="1:26" hidden="1" x14ac:dyDescent="0.2">
      <c r="A722" s="221" t="s">
        <v>2814</v>
      </c>
      <c r="B722" s="338"/>
      <c r="C722" s="337" t="s">
        <v>2357</v>
      </c>
      <c r="D722" s="338" t="s">
        <v>559</v>
      </c>
      <c r="E722" s="240">
        <v>0</v>
      </c>
      <c r="F722" s="240">
        <v>0</v>
      </c>
      <c r="G722" s="240">
        <v>0</v>
      </c>
      <c r="H722" s="240">
        <v>0</v>
      </c>
      <c r="I722" s="240">
        <v>0</v>
      </c>
      <c r="J722" s="240">
        <v>0</v>
      </c>
      <c r="K722" s="240">
        <v>0</v>
      </c>
      <c r="L722" s="240">
        <v>0</v>
      </c>
      <c r="M722" s="240">
        <v>0</v>
      </c>
      <c r="N722" s="240">
        <v>7.8811296876605229E-4</v>
      </c>
      <c r="O722" s="240">
        <v>0</v>
      </c>
      <c r="P722" s="240">
        <v>0</v>
      </c>
      <c r="Q722" s="240">
        <v>0</v>
      </c>
      <c r="R722" s="240">
        <v>0</v>
      </c>
      <c r="S722" s="240">
        <v>0</v>
      </c>
      <c r="T722" s="240">
        <v>0.9876705994206223</v>
      </c>
      <c r="U722" s="240">
        <v>0</v>
      </c>
      <c r="V722" s="240">
        <v>0</v>
      </c>
      <c r="W722" s="240">
        <v>1.154128761061173E-2</v>
      </c>
      <c r="X722" s="796"/>
      <c r="Y722" s="240">
        <v>1</v>
      </c>
      <c r="Z722" s="139"/>
    </row>
    <row r="723" spans="1:26" hidden="1" x14ac:dyDescent="0.2">
      <c r="A723" s="270" t="s">
        <v>2814</v>
      </c>
      <c r="B723" s="338"/>
      <c r="C723" s="349" t="s">
        <v>2899</v>
      </c>
      <c r="D723" s="350" t="s">
        <v>561</v>
      </c>
      <c r="E723" s="240">
        <v>0</v>
      </c>
      <c r="F723" s="240">
        <v>0</v>
      </c>
      <c r="G723" s="240">
        <v>0</v>
      </c>
      <c r="H723" s="240">
        <v>0</v>
      </c>
      <c r="I723" s="240">
        <v>0</v>
      </c>
      <c r="J723" s="240">
        <v>0</v>
      </c>
      <c r="K723" s="240">
        <v>0</v>
      </c>
      <c r="L723" s="240">
        <v>0</v>
      </c>
      <c r="M723" s="240">
        <v>0</v>
      </c>
      <c r="N723" s="240">
        <v>0.91754625676654367</v>
      </c>
      <c r="O723" s="240">
        <v>0</v>
      </c>
      <c r="P723" s="240">
        <v>6.3809595525689169E-2</v>
      </c>
      <c r="Q723" s="240">
        <v>0</v>
      </c>
      <c r="R723" s="240">
        <v>0</v>
      </c>
      <c r="S723" s="240">
        <v>1.3983110780825307E-2</v>
      </c>
      <c r="T723" s="240">
        <v>0</v>
      </c>
      <c r="U723" s="240">
        <v>4.6610369269417693E-3</v>
      </c>
      <c r="V723" s="240">
        <v>0</v>
      </c>
      <c r="W723" s="240">
        <v>0</v>
      </c>
      <c r="X723" s="240"/>
      <c r="Y723" s="240">
        <v>0.99999999999999989</v>
      </c>
      <c r="Z723" s="139"/>
    </row>
    <row r="724" spans="1:26" hidden="1" x14ac:dyDescent="0.2">
      <c r="A724" s="339"/>
      <c r="B724" s="339"/>
      <c r="C724" s="340" t="s">
        <v>2592</v>
      </c>
      <c r="D724" s="339" t="s">
        <v>562</v>
      </c>
      <c r="E724" s="342">
        <v>0</v>
      </c>
      <c r="F724" s="342">
        <v>0</v>
      </c>
      <c r="G724" s="342">
        <v>0</v>
      </c>
      <c r="H724" s="342">
        <v>0</v>
      </c>
      <c r="I724" s="342">
        <v>0</v>
      </c>
      <c r="J724" s="342">
        <v>0</v>
      </c>
      <c r="K724" s="342">
        <v>0</v>
      </c>
      <c r="L724" s="342">
        <v>0</v>
      </c>
      <c r="M724" s="342">
        <v>0</v>
      </c>
      <c r="N724" s="342">
        <v>0.6</v>
      </c>
      <c r="O724" s="342">
        <v>0</v>
      </c>
      <c r="P724" s="342">
        <v>0</v>
      </c>
      <c r="Q724" s="342">
        <v>0</v>
      </c>
      <c r="R724" s="342">
        <v>0</v>
      </c>
      <c r="S724" s="342">
        <v>0.4</v>
      </c>
      <c r="T724" s="342">
        <v>0</v>
      </c>
      <c r="U724" s="342">
        <v>0</v>
      </c>
      <c r="V724" s="342">
        <v>0</v>
      </c>
      <c r="W724" s="342">
        <v>0</v>
      </c>
      <c r="X724" s="342"/>
      <c r="Y724" s="342">
        <v>1</v>
      </c>
      <c r="Z724" s="139"/>
    </row>
    <row r="725" spans="1:26" hidden="1" x14ac:dyDescent="0.2">
      <c r="A725" s="254" t="s">
        <v>2814</v>
      </c>
      <c r="B725" s="338"/>
      <c r="C725" s="337" t="s">
        <v>2900</v>
      </c>
      <c r="D725" s="338" t="s">
        <v>564</v>
      </c>
      <c r="E725" s="240">
        <v>0</v>
      </c>
      <c r="F725" s="240">
        <v>0</v>
      </c>
      <c r="G725" s="240">
        <v>0</v>
      </c>
      <c r="H725" s="240">
        <v>0</v>
      </c>
      <c r="I725" s="240">
        <v>0</v>
      </c>
      <c r="J725" s="240">
        <v>0</v>
      </c>
      <c r="K725" s="240">
        <v>0</v>
      </c>
      <c r="L725" s="240">
        <v>0</v>
      </c>
      <c r="M725" s="240">
        <v>0</v>
      </c>
      <c r="N725" s="240">
        <v>0</v>
      </c>
      <c r="O725" s="240">
        <v>0.9508983126936974</v>
      </c>
      <c r="P725" s="240">
        <v>1.0706017054121249E-2</v>
      </c>
      <c r="Q725" s="240">
        <v>3.839567025218122E-2</v>
      </c>
      <c r="R725" s="240">
        <v>0</v>
      </c>
      <c r="S725" s="240">
        <v>0</v>
      </c>
      <c r="T725" s="240">
        <v>0</v>
      </c>
      <c r="U725" s="240">
        <v>0</v>
      </c>
      <c r="V725" s="240">
        <v>0</v>
      </c>
      <c r="W725" s="240">
        <v>0</v>
      </c>
      <c r="X725" s="240"/>
      <c r="Y725" s="240">
        <v>0.99999999999999989</v>
      </c>
      <c r="Z725" s="139"/>
    </row>
    <row r="726" spans="1:26" hidden="1" x14ac:dyDescent="0.2">
      <c r="A726" s="270" t="s">
        <v>2814</v>
      </c>
      <c r="B726" s="338"/>
      <c r="C726" s="349" t="s">
        <v>2354</v>
      </c>
      <c r="D726" s="350" t="s">
        <v>566</v>
      </c>
      <c r="E726" s="240">
        <v>0</v>
      </c>
      <c r="F726" s="240">
        <v>0</v>
      </c>
      <c r="G726" s="240">
        <v>0</v>
      </c>
      <c r="H726" s="240">
        <v>0</v>
      </c>
      <c r="I726" s="240">
        <v>0</v>
      </c>
      <c r="J726" s="240">
        <v>9.8711046751252304E-3</v>
      </c>
      <c r="K726" s="240">
        <v>0</v>
      </c>
      <c r="L726" s="240">
        <v>0</v>
      </c>
      <c r="M726" s="240">
        <v>0</v>
      </c>
      <c r="N726" s="240">
        <v>0</v>
      </c>
      <c r="O726" s="240">
        <v>0</v>
      </c>
      <c r="P726" s="240">
        <v>0.2708504374340589</v>
      </c>
      <c r="Q726" s="240">
        <v>0.7192784578908159</v>
      </c>
      <c r="R726" s="240">
        <v>0</v>
      </c>
      <c r="S726" s="240">
        <v>0</v>
      </c>
      <c r="T726" s="240">
        <v>0</v>
      </c>
      <c r="U726" s="240">
        <v>0</v>
      </c>
      <c r="V726" s="240">
        <v>0</v>
      </c>
      <c r="W726" s="240">
        <v>0</v>
      </c>
      <c r="X726" s="240"/>
      <c r="Y726" s="240">
        <v>1</v>
      </c>
      <c r="Z726" s="139"/>
    </row>
    <row r="727" spans="1:26" hidden="1" x14ac:dyDescent="0.2">
      <c r="A727" s="255" t="s">
        <v>2594</v>
      </c>
      <c r="B727" s="344"/>
      <c r="C727" s="345" t="s">
        <v>2353</v>
      </c>
      <c r="D727" s="344" t="s">
        <v>568</v>
      </c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797">
        <v>1</v>
      </c>
      <c r="Y727" s="240">
        <v>1</v>
      </c>
      <c r="Z727" s="139"/>
    </row>
    <row r="728" spans="1:26" hidden="1" x14ac:dyDescent="0.2">
      <c r="A728" s="255" t="s">
        <v>2594</v>
      </c>
      <c r="B728" s="344"/>
      <c r="C728" s="345" t="s">
        <v>2253</v>
      </c>
      <c r="D728" s="344" t="s">
        <v>570</v>
      </c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55">
        <v>0</v>
      </c>
      <c r="U728" s="346"/>
      <c r="V728" s="346"/>
      <c r="W728" s="355"/>
      <c r="X728" s="797">
        <v>1</v>
      </c>
      <c r="Y728" s="240">
        <v>1</v>
      </c>
      <c r="Z728" s="139"/>
    </row>
    <row r="729" spans="1:26" hidden="1" x14ac:dyDescent="0.2">
      <c r="A729" s="254" t="s">
        <v>2814</v>
      </c>
      <c r="B729" s="338"/>
      <c r="C729" s="337" t="s">
        <v>2901</v>
      </c>
      <c r="D729" s="338" t="s">
        <v>572</v>
      </c>
      <c r="E729" s="240">
        <v>0</v>
      </c>
      <c r="F729" s="240">
        <v>2.6106899965632317E-2</v>
      </c>
      <c r="G729" s="240">
        <v>0.16177074430254343</v>
      </c>
      <c r="H729" s="240">
        <v>0</v>
      </c>
      <c r="I729" s="240">
        <v>0</v>
      </c>
      <c r="J729" s="240">
        <v>0</v>
      </c>
      <c r="K729" s="240">
        <v>0</v>
      </c>
      <c r="L729" s="240">
        <v>0</v>
      </c>
      <c r="M729" s="240">
        <v>0</v>
      </c>
      <c r="N729" s="240">
        <v>0.44869940966227667</v>
      </c>
      <c r="O729" s="240">
        <v>0</v>
      </c>
      <c r="P729" s="240">
        <v>9.3520351622760664E-2</v>
      </c>
      <c r="Q729" s="240">
        <v>0</v>
      </c>
      <c r="R729" s="240">
        <v>0</v>
      </c>
      <c r="S729" s="240">
        <v>0.19533586128296904</v>
      </c>
      <c r="T729" s="240">
        <v>7.3249299715693883E-2</v>
      </c>
      <c r="U729" s="240">
        <v>1.3174334481239906E-3</v>
      </c>
      <c r="V729" s="240">
        <v>0</v>
      </c>
      <c r="W729" s="240">
        <v>0</v>
      </c>
      <c r="X729" s="240"/>
      <c r="Y729" s="240">
        <v>0.99999999999999989</v>
      </c>
      <c r="Z729" s="139"/>
    </row>
    <row r="730" spans="1:26" hidden="1" x14ac:dyDescent="0.2">
      <c r="A730" s="270" t="s">
        <v>2814</v>
      </c>
      <c r="B730" s="338"/>
      <c r="C730" s="337" t="s">
        <v>2902</v>
      </c>
      <c r="D730" s="338" t="s">
        <v>2322</v>
      </c>
      <c r="E730" s="240">
        <v>0</v>
      </c>
      <c r="F730" s="240">
        <v>0</v>
      </c>
      <c r="G730" s="240">
        <v>0</v>
      </c>
      <c r="H730" s="240">
        <v>1</v>
      </c>
      <c r="I730" s="240">
        <v>0</v>
      </c>
      <c r="J730" s="240">
        <v>0</v>
      </c>
      <c r="K730" s="240">
        <v>0</v>
      </c>
      <c r="L730" s="240">
        <v>0</v>
      </c>
      <c r="M730" s="240">
        <v>0</v>
      </c>
      <c r="N730" s="240">
        <v>0</v>
      </c>
      <c r="O730" s="240">
        <v>0</v>
      </c>
      <c r="P730" s="240">
        <v>0</v>
      </c>
      <c r="Q730" s="240">
        <v>0</v>
      </c>
      <c r="R730" s="240">
        <v>0</v>
      </c>
      <c r="S730" s="240">
        <v>0</v>
      </c>
      <c r="T730" s="240">
        <v>0</v>
      </c>
      <c r="U730" s="240">
        <v>0</v>
      </c>
      <c r="V730" s="240">
        <v>0</v>
      </c>
      <c r="W730" s="240">
        <v>0</v>
      </c>
      <c r="X730" s="240"/>
      <c r="Y730" s="240">
        <v>1</v>
      </c>
      <c r="Z730" s="139"/>
    </row>
    <row r="731" spans="1:26" hidden="1" x14ac:dyDescent="0.2">
      <c r="A731" s="339"/>
      <c r="B731" s="339"/>
      <c r="C731" s="340" t="s">
        <v>2903</v>
      </c>
      <c r="D731" s="339" t="s">
        <v>574</v>
      </c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859">
        <v>0</v>
      </c>
      <c r="Z731" s="139"/>
    </row>
    <row r="732" spans="1:26" hidden="1" x14ac:dyDescent="0.2">
      <c r="A732" s="254" t="s">
        <v>2814</v>
      </c>
      <c r="B732" s="338"/>
      <c r="C732" s="351" t="s">
        <v>2904</v>
      </c>
      <c r="D732" s="352" t="s">
        <v>580</v>
      </c>
      <c r="E732" s="240">
        <v>0</v>
      </c>
      <c r="F732" s="240">
        <v>0</v>
      </c>
      <c r="G732" s="240">
        <v>0</v>
      </c>
      <c r="H732" s="240">
        <v>0</v>
      </c>
      <c r="I732" s="240">
        <v>0</v>
      </c>
      <c r="J732" s="240">
        <v>0</v>
      </c>
      <c r="K732" s="240">
        <v>0</v>
      </c>
      <c r="L732" s="240">
        <v>0</v>
      </c>
      <c r="M732" s="240">
        <v>0</v>
      </c>
      <c r="N732" s="240">
        <v>0.7151102790576227</v>
      </c>
      <c r="O732" s="240">
        <v>0</v>
      </c>
      <c r="P732" s="240">
        <v>0.13870410379401654</v>
      </c>
      <c r="Q732" s="240">
        <v>0</v>
      </c>
      <c r="R732" s="240">
        <v>0</v>
      </c>
      <c r="S732" s="240">
        <v>0.11245924314241502</v>
      </c>
      <c r="T732" s="240">
        <v>3.3726374005945664E-2</v>
      </c>
      <c r="U732" s="240">
        <v>0</v>
      </c>
      <c r="V732" s="240">
        <v>0</v>
      </c>
      <c r="W732" s="240">
        <v>0</v>
      </c>
      <c r="X732" s="240"/>
      <c r="Y732" s="240">
        <v>1</v>
      </c>
      <c r="Z732" s="139"/>
    </row>
    <row r="733" spans="1:26" hidden="1" x14ac:dyDescent="0.2">
      <c r="A733" s="270" t="s">
        <v>2814</v>
      </c>
      <c r="B733" s="338"/>
      <c r="C733" s="349" t="s">
        <v>2905</v>
      </c>
      <c r="D733" s="350" t="s">
        <v>582</v>
      </c>
      <c r="E733" s="240">
        <v>0</v>
      </c>
      <c r="F733" s="240">
        <v>0</v>
      </c>
      <c r="G733" s="240">
        <v>0</v>
      </c>
      <c r="H733" s="240">
        <v>0</v>
      </c>
      <c r="I733" s="240">
        <v>0</v>
      </c>
      <c r="J733" s="240">
        <v>0</v>
      </c>
      <c r="K733" s="240">
        <v>0</v>
      </c>
      <c r="L733" s="240">
        <v>0</v>
      </c>
      <c r="M733" s="240">
        <v>0</v>
      </c>
      <c r="N733" s="240">
        <v>9.1665507593874859E-2</v>
      </c>
      <c r="O733" s="240">
        <v>0</v>
      </c>
      <c r="P733" s="240">
        <v>1.443234156225855E-3</v>
      </c>
      <c r="Q733" s="240">
        <v>0</v>
      </c>
      <c r="R733" s="240">
        <v>0</v>
      </c>
      <c r="S733" s="240">
        <v>0.90689125824989925</v>
      </c>
      <c r="T733" s="240">
        <v>0</v>
      </c>
      <c r="U733" s="240">
        <v>0</v>
      </c>
      <c r="V733" s="240">
        <v>0</v>
      </c>
      <c r="W733" s="240">
        <v>0</v>
      </c>
      <c r="X733" s="240"/>
      <c r="Y733" s="240">
        <v>1</v>
      </c>
      <c r="Z733" s="139"/>
    </row>
    <row r="734" spans="1:26" hidden="1" x14ac:dyDescent="0.2">
      <c r="A734" s="339"/>
      <c r="B734" s="339"/>
      <c r="C734" s="340" t="s">
        <v>2906</v>
      </c>
      <c r="D734" s="339" t="s">
        <v>583</v>
      </c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859">
        <v>0</v>
      </c>
      <c r="Z734" s="139"/>
    </row>
    <row r="735" spans="1:26" hidden="1" x14ac:dyDescent="0.2">
      <c r="A735" s="339"/>
      <c r="B735" s="339"/>
      <c r="C735" s="340" t="s">
        <v>2254</v>
      </c>
      <c r="D735" s="339" t="s">
        <v>2323</v>
      </c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859">
        <v>0</v>
      </c>
      <c r="Z735" s="139"/>
    </row>
    <row r="736" spans="1:26" hidden="1" x14ac:dyDescent="0.2">
      <c r="A736" s="238" t="s">
        <v>2814</v>
      </c>
      <c r="B736" s="338"/>
      <c r="C736" s="337" t="s">
        <v>2907</v>
      </c>
      <c r="D736" s="338" t="s">
        <v>2324</v>
      </c>
      <c r="E736" s="240">
        <v>0</v>
      </c>
      <c r="F736" s="240">
        <v>0</v>
      </c>
      <c r="G736" s="240">
        <v>0</v>
      </c>
      <c r="H736" s="240">
        <v>1</v>
      </c>
      <c r="I736" s="240">
        <v>0</v>
      </c>
      <c r="J736" s="240">
        <v>0</v>
      </c>
      <c r="K736" s="240">
        <v>0</v>
      </c>
      <c r="L736" s="240">
        <v>0</v>
      </c>
      <c r="M736" s="240">
        <v>0</v>
      </c>
      <c r="N736" s="240">
        <v>0</v>
      </c>
      <c r="O736" s="240">
        <v>0</v>
      </c>
      <c r="P736" s="240">
        <v>0</v>
      </c>
      <c r="Q736" s="240">
        <v>0</v>
      </c>
      <c r="R736" s="240">
        <v>0</v>
      </c>
      <c r="S736" s="240">
        <v>0</v>
      </c>
      <c r="T736" s="240">
        <v>0</v>
      </c>
      <c r="U736" s="240">
        <v>0</v>
      </c>
      <c r="V736" s="240">
        <v>0</v>
      </c>
      <c r="W736" s="240">
        <v>0</v>
      </c>
      <c r="X736" s="240"/>
      <c r="Y736" s="240">
        <v>1</v>
      </c>
      <c r="Z736" s="139"/>
    </row>
    <row r="737" spans="1:26" hidden="1" x14ac:dyDescent="0.2">
      <c r="A737" s="255" t="s">
        <v>2594</v>
      </c>
      <c r="B737" s="344"/>
      <c r="C737" s="345" t="s">
        <v>2255</v>
      </c>
      <c r="D737" s="344" t="s">
        <v>587</v>
      </c>
      <c r="E737" s="256"/>
      <c r="F737" s="256"/>
      <c r="G737" s="256"/>
      <c r="H737" s="256">
        <v>1</v>
      </c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256"/>
      <c r="X737" s="256"/>
      <c r="Y737" s="860">
        <v>1</v>
      </c>
      <c r="Z737" s="139"/>
    </row>
    <row r="738" spans="1:26" hidden="1" x14ac:dyDescent="0.2">
      <c r="A738" s="254" t="s">
        <v>2814</v>
      </c>
      <c r="B738" s="338"/>
      <c r="C738" s="337" t="s">
        <v>2908</v>
      </c>
      <c r="D738" s="338" t="s">
        <v>591</v>
      </c>
      <c r="E738" s="240">
        <v>0</v>
      </c>
      <c r="F738" s="240">
        <v>0</v>
      </c>
      <c r="G738" s="240">
        <v>0</v>
      </c>
      <c r="H738" s="240">
        <v>1</v>
      </c>
      <c r="I738" s="240">
        <v>0</v>
      </c>
      <c r="J738" s="240">
        <v>0</v>
      </c>
      <c r="K738" s="240">
        <v>0</v>
      </c>
      <c r="L738" s="240">
        <v>0</v>
      </c>
      <c r="M738" s="240">
        <v>0</v>
      </c>
      <c r="N738" s="240">
        <v>0</v>
      </c>
      <c r="O738" s="240">
        <v>0</v>
      </c>
      <c r="P738" s="240">
        <v>0</v>
      </c>
      <c r="Q738" s="240">
        <v>0</v>
      </c>
      <c r="R738" s="240">
        <v>0</v>
      </c>
      <c r="S738" s="240">
        <v>0</v>
      </c>
      <c r="T738" s="240">
        <v>0</v>
      </c>
      <c r="U738" s="240">
        <v>0</v>
      </c>
      <c r="V738" s="240">
        <v>0</v>
      </c>
      <c r="W738" s="240">
        <v>0</v>
      </c>
      <c r="X738" s="240"/>
      <c r="Y738" s="240">
        <v>1</v>
      </c>
      <c r="Z738" s="139"/>
    </row>
    <row r="739" spans="1:26" hidden="1" x14ac:dyDescent="0.2">
      <c r="A739" s="221" t="s">
        <v>2814</v>
      </c>
      <c r="B739" s="338"/>
      <c r="C739" s="337" t="s">
        <v>2909</v>
      </c>
      <c r="D739" s="338" t="s">
        <v>593</v>
      </c>
      <c r="E739" s="240">
        <v>0</v>
      </c>
      <c r="F739" s="240">
        <v>0</v>
      </c>
      <c r="G739" s="240">
        <v>0</v>
      </c>
      <c r="H739" s="240">
        <v>1</v>
      </c>
      <c r="I739" s="240">
        <v>0</v>
      </c>
      <c r="J739" s="240">
        <v>0</v>
      </c>
      <c r="K739" s="240">
        <v>0</v>
      </c>
      <c r="L739" s="240">
        <v>0</v>
      </c>
      <c r="M739" s="240">
        <v>0</v>
      </c>
      <c r="N739" s="240">
        <v>0</v>
      </c>
      <c r="O739" s="240">
        <v>0</v>
      </c>
      <c r="P739" s="240">
        <v>0</v>
      </c>
      <c r="Q739" s="240">
        <v>0</v>
      </c>
      <c r="R739" s="240">
        <v>0</v>
      </c>
      <c r="S739" s="240">
        <v>0</v>
      </c>
      <c r="T739" s="240">
        <v>0</v>
      </c>
      <c r="U739" s="240">
        <v>0</v>
      </c>
      <c r="V739" s="240">
        <v>0</v>
      </c>
      <c r="W739" s="240">
        <v>0</v>
      </c>
      <c r="X739" s="240"/>
      <c r="Y739" s="240">
        <v>1</v>
      </c>
      <c r="Z739" s="139"/>
    </row>
    <row r="740" spans="1:26" hidden="1" x14ac:dyDescent="0.2">
      <c r="A740" s="221" t="s">
        <v>2814</v>
      </c>
      <c r="B740" s="338"/>
      <c r="C740" s="337" t="s">
        <v>2910</v>
      </c>
      <c r="D740" s="338" t="s">
        <v>595</v>
      </c>
      <c r="E740" s="240">
        <v>0</v>
      </c>
      <c r="F740" s="240">
        <v>0</v>
      </c>
      <c r="G740" s="240">
        <v>0</v>
      </c>
      <c r="H740" s="240">
        <v>1</v>
      </c>
      <c r="I740" s="240">
        <v>0</v>
      </c>
      <c r="J740" s="240">
        <v>0</v>
      </c>
      <c r="K740" s="240">
        <v>0</v>
      </c>
      <c r="L740" s="240">
        <v>0</v>
      </c>
      <c r="M740" s="240">
        <v>0</v>
      </c>
      <c r="N740" s="240">
        <v>0</v>
      </c>
      <c r="O740" s="240">
        <v>0</v>
      </c>
      <c r="P740" s="240">
        <v>0</v>
      </c>
      <c r="Q740" s="240">
        <v>0</v>
      </c>
      <c r="R740" s="240">
        <v>0</v>
      </c>
      <c r="S740" s="240">
        <v>0</v>
      </c>
      <c r="T740" s="240">
        <v>0</v>
      </c>
      <c r="U740" s="240">
        <v>0</v>
      </c>
      <c r="V740" s="240">
        <v>0</v>
      </c>
      <c r="W740" s="240">
        <v>0</v>
      </c>
      <c r="X740" s="240"/>
      <c r="Y740" s="240">
        <v>1</v>
      </c>
      <c r="Z740" s="139"/>
    </row>
    <row r="741" spans="1:26" hidden="1" x14ac:dyDescent="0.2">
      <c r="A741" s="270" t="s">
        <v>2814</v>
      </c>
      <c r="B741" s="338"/>
      <c r="C741" s="353" t="s">
        <v>2355</v>
      </c>
      <c r="D741" s="354" t="s">
        <v>597</v>
      </c>
      <c r="E741" s="240">
        <v>0</v>
      </c>
      <c r="F741" s="240">
        <v>6.6625178811027128E-2</v>
      </c>
      <c r="G741" s="240">
        <v>2.4623727083152296E-2</v>
      </c>
      <c r="H741" s="240">
        <v>0</v>
      </c>
      <c r="I741" s="240">
        <v>0</v>
      </c>
      <c r="J741" s="240">
        <v>0</v>
      </c>
      <c r="K741" s="240">
        <v>0</v>
      </c>
      <c r="L741" s="240">
        <v>0</v>
      </c>
      <c r="M741" s="240">
        <v>0</v>
      </c>
      <c r="N741" s="240">
        <v>1.5448232602996638E-2</v>
      </c>
      <c r="O741" s="240">
        <v>0</v>
      </c>
      <c r="P741" s="240">
        <v>1.4233026516009572E-3</v>
      </c>
      <c r="Q741" s="240">
        <v>0</v>
      </c>
      <c r="R741" s="240">
        <v>0</v>
      </c>
      <c r="S741" s="240">
        <v>0</v>
      </c>
      <c r="T741" s="240">
        <v>0.8686433753275592</v>
      </c>
      <c r="U741" s="240">
        <v>0</v>
      </c>
      <c r="V741" s="240">
        <v>0</v>
      </c>
      <c r="W741" s="240">
        <v>2.3236183523663752E-2</v>
      </c>
      <c r="X741" s="240"/>
      <c r="Y741" s="240">
        <v>0.99999999999999989</v>
      </c>
      <c r="Z741" s="139"/>
    </row>
    <row r="742" spans="1:26" hidden="1" x14ac:dyDescent="0.2">
      <c r="A742" s="339"/>
      <c r="B742" s="339"/>
      <c r="C742" s="340" t="s">
        <v>2911</v>
      </c>
      <c r="D742" s="339" t="s">
        <v>599</v>
      </c>
      <c r="E742" s="342">
        <v>0</v>
      </c>
      <c r="F742" s="342">
        <v>0</v>
      </c>
      <c r="G742" s="342">
        <v>0</v>
      </c>
      <c r="H742" s="342">
        <v>1</v>
      </c>
      <c r="I742" s="342">
        <v>0</v>
      </c>
      <c r="J742" s="342">
        <v>0</v>
      </c>
      <c r="K742" s="342">
        <v>0</v>
      </c>
      <c r="L742" s="342">
        <v>0</v>
      </c>
      <c r="M742" s="342">
        <v>0</v>
      </c>
      <c r="N742" s="342">
        <v>0</v>
      </c>
      <c r="O742" s="342">
        <v>0</v>
      </c>
      <c r="P742" s="342">
        <v>0</v>
      </c>
      <c r="Q742" s="342">
        <v>0</v>
      </c>
      <c r="R742" s="342">
        <v>0</v>
      </c>
      <c r="S742" s="342">
        <v>0</v>
      </c>
      <c r="T742" s="342">
        <v>0</v>
      </c>
      <c r="U742" s="342">
        <v>0</v>
      </c>
      <c r="V742" s="342">
        <v>0</v>
      </c>
      <c r="W742" s="342">
        <v>0</v>
      </c>
      <c r="X742" s="342"/>
      <c r="Y742" s="342">
        <v>1</v>
      </c>
      <c r="Z742" s="139"/>
    </row>
    <row r="743" spans="1:26" hidden="1" x14ac:dyDescent="0.2">
      <c r="A743" s="339"/>
      <c r="B743" s="339"/>
      <c r="C743" s="340" t="s">
        <v>2256</v>
      </c>
      <c r="D743" s="339" t="s">
        <v>2325</v>
      </c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859">
        <v>0</v>
      </c>
      <c r="Z743" s="139"/>
    </row>
    <row r="744" spans="1:26" hidden="1" x14ac:dyDescent="0.2">
      <c r="A744" s="238" t="s">
        <v>2814</v>
      </c>
      <c r="B744" s="338"/>
      <c r="C744" s="337" t="s">
        <v>2257</v>
      </c>
      <c r="D744" s="338" t="s">
        <v>2326</v>
      </c>
      <c r="E744" s="240">
        <v>0</v>
      </c>
      <c r="F744" s="240">
        <v>0</v>
      </c>
      <c r="G744" s="240">
        <v>0</v>
      </c>
      <c r="H744" s="240">
        <v>1</v>
      </c>
      <c r="I744" s="240">
        <v>0</v>
      </c>
      <c r="J744" s="240">
        <v>0</v>
      </c>
      <c r="K744" s="240">
        <v>0</v>
      </c>
      <c r="L744" s="240">
        <v>0</v>
      </c>
      <c r="M744" s="240">
        <v>0</v>
      </c>
      <c r="N744" s="240">
        <v>0</v>
      </c>
      <c r="O744" s="240">
        <v>0</v>
      </c>
      <c r="P744" s="240">
        <v>0</v>
      </c>
      <c r="Q744" s="240">
        <v>0</v>
      </c>
      <c r="R744" s="240">
        <v>0</v>
      </c>
      <c r="S744" s="240">
        <v>0</v>
      </c>
      <c r="T744" s="240">
        <v>0</v>
      </c>
      <c r="U744" s="240">
        <v>0</v>
      </c>
      <c r="V744" s="240">
        <v>0</v>
      </c>
      <c r="W744" s="240">
        <v>0</v>
      </c>
      <c r="X744" s="240"/>
      <c r="Y744" s="240">
        <v>1</v>
      </c>
      <c r="Z744" s="139"/>
    </row>
    <row r="745" spans="1:26" hidden="1" x14ac:dyDescent="0.2">
      <c r="A745" s="339"/>
      <c r="B745" s="339"/>
      <c r="C745" s="340" t="s">
        <v>2258</v>
      </c>
      <c r="D745" s="339" t="s">
        <v>2327</v>
      </c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859">
        <v>0</v>
      </c>
      <c r="Z745" s="139"/>
    </row>
    <row r="746" spans="1:26" hidden="1" x14ac:dyDescent="0.2">
      <c r="A746" s="339"/>
      <c r="B746" s="339"/>
      <c r="C746" s="340" t="s">
        <v>2912</v>
      </c>
      <c r="D746" s="339" t="s">
        <v>604</v>
      </c>
      <c r="E746" s="342">
        <v>0</v>
      </c>
      <c r="F746" s="342">
        <v>0</v>
      </c>
      <c r="G746" s="342">
        <v>0</v>
      </c>
      <c r="H746" s="342">
        <v>1</v>
      </c>
      <c r="I746" s="342">
        <v>0</v>
      </c>
      <c r="J746" s="342">
        <v>0</v>
      </c>
      <c r="K746" s="342">
        <v>0</v>
      </c>
      <c r="L746" s="342">
        <v>0</v>
      </c>
      <c r="M746" s="342">
        <v>0</v>
      </c>
      <c r="N746" s="342">
        <v>0</v>
      </c>
      <c r="O746" s="342">
        <v>0</v>
      </c>
      <c r="P746" s="342">
        <v>0</v>
      </c>
      <c r="Q746" s="342">
        <v>0</v>
      </c>
      <c r="R746" s="342">
        <v>0</v>
      </c>
      <c r="S746" s="342">
        <v>0</v>
      </c>
      <c r="T746" s="342">
        <v>0</v>
      </c>
      <c r="U746" s="342">
        <v>0</v>
      </c>
      <c r="V746" s="342">
        <v>0</v>
      </c>
      <c r="W746" s="342">
        <v>0</v>
      </c>
      <c r="X746" s="342"/>
      <c r="Y746" s="342">
        <v>1</v>
      </c>
      <c r="Z746" s="139"/>
    </row>
    <row r="747" spans="1:26" hidden="1" x14ac:dyDescent="0.2">
      <c r="A747" s="238" t="s">
        <v>2814</v>
      </c>
      <c r="B747" s="338"/>
      <c r="C747" s="337" t="s">
        <v>2913</v>
      </c>
      <c r="D747" s="338" t="s">
        <v>2328</v>
      </c>
      <c r="E747" s="240">
        <v>0</v>
      </c>
      <c r="F747" s="240">
        <v>0</v>
      </c>
      <c r="G747" s="240">
        <v>0</v>
      </c>
      <c r="H747" s="240">
        <v>1</v>
      </c>
      <c r="I747" s="240">
        <v>0</v>
      </c>
      <c r="J747" s="240">
        <v>0</v>
      </c>
      <c r="K747" s="240">
        <v>0</v>
      </c>
      <c r="L747" s="240">
        <v>0</v>
      </c>
      <c r="M747" s="240">
        <v>0</v>
      </c>
      <c r="N747" s="240">
        <v>0</v>
      </c>
      <c r="O747" s="240">
        <v>0</v>
      </c>
      <c r="P747" s="240">
        <v>0</v>
      </c>
      <c r="Q747" s="240">
        <v>0</v>
      </c>
      <c r="R747" s="240">
        <v>0</v>
      </c>
      <c r="S747" s="240">
        <v>0</v>
      </c>
      <c r="T747" s="240">
        <v>0</v>
      </c>
      <c r="U747" s="240">
        <v>0</v>
      </c>
      <c r="V747" s="240">
        <v>0</v>
      </c>
      <c r="W747" s="240">
        <v>0</v>
      </c>
      <c r="X747" s="240"/>
      <c r="Y747" s="240">
        <v>1</v>
      </c>
      <c r="Z747" s="139"/>
    </row>
    <row r="748" spans="1:26" hidden="1" x14ac:dyDescent="0.2">
      <c r="A748" s="339"/>
      <c r="B748" s="339"/>
      <c r="C748" s="340" t="s">
        <v>2914</v>
      </c>
      <c r="D748" s="339" t="s">
        <v>2329</v>
      </c>
      <c r="E748" s="342">
        <v>0</v>
      </c>
      <c r="F748" s="342">
        <v>0</v>
      </c>
      <c r="G748" s="342">
        <v>0</v>
      </c>
      <c r="H748" s="342">
        <v>1</v>
      </c>
      <c r="I748" s="342">
        <v>0</v>
      </c>
      <c r="J748" s="342">
        <v>0</v>
      </c>
      <c r="K748" s="342">
        <v>0</v>
      </c>
      <c r="L748" s="342">
        <v>0</v>
      </c>
      <c r="M748" s="342">
        <v>0</v>
      </c>
      <c r="N748" s="342">
        <v>0</v>
      </c>
      <c r="O748" s="342">
        <v>0</v>
      </c>
      <c r="P748" s="342">
        <v>0</v>
      </c>
      <c r="Q748" s="342">
        <v>0</v>
      </c>
      <c r="R748" s="342">
        <v>0</v>
      </c>
      <c r="S748" s="342">
        <v>0</v>
      </c>
      <c r="T748" s="342">
        <v>0</v>
      </c>
      <c r="U748" s="342">
        <v>0</v>
      </c>
      <c r="V748" s="342">
        <v>0</v>
      </c>
      <c r="W748" s="342">
        <v>0</v>
      </c>
      <c r="X748" s="342"/>
      <c r="Y748" s="342">
        <v>1</v>
      </c>
      <c r="Z748" s="139"/>
    </row>
    <row r="749" spans="1:26" hidden="1" x14ac:dyDescent="0.2">
      <c r="A749" s="254" t="s">
        <v>2814</v>
      </c>
      <c r="B749" s="338"/>
      <c r="C749" s="337" t="s">
        <v>2915</v>
      </c>
      <c r="D749" s="338" t="s">
        <v>2330</v>
      </c>
      <c r="E749" s="240">
        <v>0</v>
      </c>
      <c r="F749" s="240">
        <v>0</v>
      </c>
      <c r="G749" s="240">
        <v>0</v>
      </c>
      <c r="H749" s="240">
        <v>1</v>
      </c>
      <c r="I749" s="240">
        <v>0</v>
      </c>
      <c r="J749" s="240">
        <v>0</v>
      </c>
      <c r="K749" s="240">
        <v>0</v>
      </c>
      <c r="L749" s="240">
        <v>0</v>
      </c>
      <c r="M749" s="240">
        <v>0</v>
      </c>
      <c r="N749" s="240">
        <v>0</v>
      </c>
      <c r="O749" s="240">
        <v>0</v>
      </c>
      <c r="P749" s="240">
        <v>0</v>
      </c>
      <c r="Q749" s="240">
        <v>0</v>
      </c>
      <c r="R749" s="240">
        <v>0</v>
      </c>
      <c r="S749" s="240">
        <v>0</v>
      </c>
      <c r="T749" s="240">
        <v>0</v>
      </c>
      <c r="U749" s="240">
        <v>0</v>
      </c>
      <c r="V749" s="240">
        <v>0</v>
      </c>
      <c r="W749" s="240">
        <v>0</v>
      </c>
      <c r="X749" s="240"/>
      <c r="Y749" s="240">
        <v>1</v>
      </c>
      <c r="Z749" s="139"/>
    </row>
    <row r="750" spans="1:26" hidden="1" x14ac:dyDescent="0.2">
      <c r="A750" s="221" t="s">
        <v>2814</v>
      </c>
      <c r="B750" s="338"/>
      <c r="C750" s="337" t="s">
        <v>2916</v>
      </c>
      <c r="D750" s="338" t="s">
        <v>2331</v>
      </c>
      <c r="E750" s="240">
        <v>0</v>
      </c>
      <c r="F750" s="240">
        <v>0</v>
      </c>
      <c r="G750" s="240">
        <v>0</v>
      </c>
      <c r="H750" s="240">
        <v>1</v>
      </c>
      <c r="I750" s="240">
        <v>0</v>
      </c>
      <c r="J750" s="240">
        <v>0</v>
      </c>
      <c r="K750" s="240">
        <v>0</v>
      </c>
      <c r="L750" s="240">
        <v>0</v>
      </c>
      <c r="M750" s="240">
        <v>0</v>
      </c>
      <c r="N750" s="240">
        <v>0</v>
      </c>
      <c r="O750" s="240">
        <v>0</v>
      </c>
      <c r="P750" s="240">
        <v>0</v>
      </c>
      <c r="Q750" s="240">
        <v>0</v>
      </c>
      <c r="R750" s="240">
        <v>0</v>
      </c>
      <c r="S750" s="240">
        <v>0</v>
      </c>
      <c r="T750" s="240">
        <v>0</v>
      </c>
      <c r="U750" s="240">
        <v>0</v>
      </c>
      <c r="V750" s="240">
        <v>0</v>
      </c>
      <c r="W750" s="240">
        <v>0</v>
      </c>
      <c r="X750" s="240"/>
      <c r="Y750" s="240">
        <v>1</v>
      </c>
      <c r="Z750" s="139"/>
    </row>
    <row r="751" spans="1:26" hidden="1" x14ac:dyDescent="0.2">
      <c r="A751" s="270" t="s">
        <v>2814</v>
      </c>
      <c r="B751" s="338"/>
      <c r="C751" s="337" t="s">
        <v>2917</v>
      </c>
      <c r="D751" s="338" t="s">
        <v>2332</v>
      </c>
      <c r="E751" s="240">
        <v>0</v>
      </c>
      <c r="F751" s="240">
        <v>0</v>
      </c>
      <c r="G751" s="240">
        <v>0</v>
      </c>
      <c r="H751" s="240">
        <v>1</v>
      </c>
      <c r="I751" s="240">
        <v>0</v>
      </c>
      <c r="J751" s="240">
        <v>0</v>
      </c>
      <c r="K751" s="240">
        <v>0</v>
      </c>
      <c r="L751" s="240">
        <v>0</v>
      </c>
      <c r="M751" s="240">
        <v>0</v>
      </c>
      <c r="N751" s="240">
        <v>0</v>
      </c>
      <c r="O751" s="240">
        <v>0</v>
      </c>
      <c r="P751" s="240">
        <v>0</v>
      </c>
      <c r="Q751" s="240">
        <v>0</v>
      </c>
      <c r="R751" s="240">
        <v>0</v>
      </c>
      <c r="S751" s="240">
        <v>0</v>
      </c>
      <c r="T751" s="240">
        <v>0</v>
      </c>
      <c r="U751" s="240">
        <v>0</v>
      </c>
      <c r="V751" s="240">
        <v>0</v>
      </c>
      <c r="W751" s="240">
        <v>0</v>
      </c>
      <c r="X751" s="240"/>
      <c r="Y751" s="240">
        <v>1</v>
      </c>
      <c r="Z751" s="139"/>
    </row>
    <row r="752" spans="1:26" hidden="1" x14ac:dyDescent="0.2">
      <c r="A752" s="339"/>
      <c r="B752" s="339"/>
      <c r="C752" s="340" t="s">
        <v>2918</v>
      </c>
      <c r="D752" s="339" t="s">
        <v>613</v>
      </c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859">
        <v>0</v>
      </c>
      <c r="Z752" s="139"/>
    </row>
    <row r="753" spans="1:26" hidden="1" x14ac:dyDescent="0.2">
      <c r="A753" s="254" t="s">
        <v>2814</v>
      </c>
      <c r="B753" s="338"/>
      <c r="C753" s="337" t="s">
        <v>2919</v>
      </c>
      <c r="D753" s="338" t="s">
        <v>2333</v>
      </c>
      <c r="E753" s="240">
        <v>0</v>
      </c>
      <c r="F753" s="240">
        <v>0</v>
      </c>
      <c r="G753" s="240">
        <v>0</v>
      </c>
      <c r="H753" s="240">
        <v>1</v>
      </c>
      <c r="I753" s="240">
        <v>0</v>
      </c>
      <c r="J753" s="240">
        <v>0</v>
      </c>
      <c r="K753" s="240">
        <v>0</v>
      </c>
      <c r="L753" s="240">
        <v>0</v>
      </c>
      <c r="M753" s="240">
        <v>0</v>
      </c>
      <c r="N753" s="240">
        <v>0</v>
      </c>
      <c r="O753" s="240">
        <v>0</v>
      </c>
      <c r="P753" s="240">
        <v>0</v>
      </c>
      <c r="Q753" s="240">
        <v>0</v>
      </c>
      <c r="R753" s="240">
        <v>0</v>
      </c>
      <c r="S753" s="240">
        <v>0</v>
      </c>
      <c r="T753" s="240">
        <v>0</v>
      </c>
      <c r="U753" s="240">
        <v>0</v>
      </c>
      <c r="V753" s="240">
        <v>0</v>
      </c>
      <c r="W753" s="240">
        <v>0</v>
      </c>
      <c r="X753" s="240"/>
      <c r="Y753" s="240">
        <v>1</v>
      </c>
      <c r="Z753" s="139"/>
    </row>
    <row r="754" spans="1:26" hidden="1" x14ac:dyDescent="0.2">
      <c r="A754" s="221" t="s">
        <v>2814</v>
      </c>
      <c r="B754" s="338"/>
      <c r="C754" s="798" t="s">
        <v>2259</v>
      </c>
      <c r="D754" s="799" t="s">
        <v>620</v>
      </c>
      <c r="E754" s="240">
        <v>0</v>
      </c>
      <c r="F754" s="240">
        <v>0</v>
      </c>
      <c r="G754" s="240">
        <v>0</v>
      </c>
      <c r="H754" s="800">
        <v>1</v>
      </c>
      <c r="I754" s="240">
        <v>0</v>
      </c>
      <c r="J754" s="240">
        <v>0</v>
      </c>
      <c r="K754" s="240">
        <v>0</v>
      </c>
      <c r="L754" s="240">
        <v>0</v>
      </c>
      <c r="M754" s="240">
        <v>0</v>
      </c>
      <c r="N754" s="240">
        <v>0</v>
      </c>
      <c r="O754" s="240">
        <v>0</v>
      </c>
      <c r="P754" s="240">
        <v>0</v>
      </c>
      <c r="Q754" s="240">
        <v>0</v>
      </c>
      <c r="R754" s="240">
        <v>0</v>
      </c>
      <c r="S754" s="240">
        <v>0</v>
      </c>
      <c r="T754" s="240">
        <v>0</v>
      </c>
      <c r="U754" s="240">
        <v>0</v>
      </c>
      <c r="V754" s="240">
        <v>0</v>
      </c>
      <c r="W754" s="240">
        <v>0</v>
      </c>
      <c r="X754" s="240"/>
      <c r="Y754" s="240">
        <v>1</v>
      </c>
      <c r="Z754" s="139"/>
    </row>
    <row r="755" spans="1:26" hidden="1" x14ac:dyDescent="0.2">
      <c r="A755" s="221" t="s">
        <v>2814</v>
      </c>
      <c r="B755" s="338"/>
      <c r="C755" s="337" t="s">
        <v>2260</v>
      </c>
      <c r="D755" s="338" t="s">
        <v>628</v>
      </c>
      <c r="E755" s="240">
        <v>0</v>
      </c>
      <c r="F755" s="240">
        <v>0</v>
      </c>
      <c r="G755" s="240">
        <v>0</v>
      </c>
      <c r="H755" s="240">
        <v>0</v>
      </c>
      <c r="I755" s="240">
        <v>0</v>
      </c>
      <c r="J755" s="240">
        <v>0</v>
      </c>
      <c r="K755" s="240">
        <v>0</v>
      </c>
      <c r="L755" s="240">
        <v>0</v>
      </c>
      <c r="M755" s="240">
        <v>0</v>
      </c>
      <c r="N755" s="240">
        <v>0</v>
      </c>
      <c r="O755" s="240">
        <v>0</v>
      </c>
      <c r="P755" s="240">
        <v>0</v>
      </c>
      <c r="Q755" s="240">
        <v>0</v>
      </c>
      <c r="R755" s="240">
        <v>0</v>
      </c>
      <c r="S755" s="240">
        <v>1</v>
      </c>
      <c r="T755" s="240">
        <v>0</v>
      </c>
      <c r="U755" s="240">
        <v>0</v>
      </c>
      <c r="V755" s="240">
        <v>0</v>
      </c>
      <c r="W755" s="240">
        <v>0</v>
      </c>
      <c r="X755" s="240"/>
      <c r="Y755" s="240">
        <v>1</v>
      </c>
      <c r="Z755" s="139"/>
    </row>
    <row r="756" spans="1:26" hidden="1" x14ac:dyDescent="0.2">
      <c r="A756" s="270" t="s">
        <v>2814</v>
      </c>
      <c r="B756" s="338"/>
      <c r="C756" s="337" t="s">
        <v>2334</v>
      </c>
      <c r="D756" s="338" t="s">
        <v>2295</v>
      </c>
      <c r="E756" s="240">
        <v>0</v>
      </c>
      <c r="F756" s="240">
        <v>3.4933059742490844E-4</v>
      </c>
      <c r="G756" s="240">
        <v>5.7293188165107901E-3</v>
      </c>
      <c r="H756" s="240">
        <v>0</v>
      </c>
      <c r="I756" s="240">
        <v>0</v>
      </c>
      <c r="J756" s="240">
        <v>2.2887180190058198E-2</v>
      </c>
      <c r="K756" s="240">
        <v>0</v>
      </c>
      <c r="L756" s="240">
        <v>0</v>
      </c>
      <c r="M756" s="240">
        <v>0</v>
      </c>
      <c r="N756" s="240">
        <v>2.3922160084433781E-2</v>
      </c>
      <c r="O756" s="240">
        <v>0</v>
      </c>
      <c r="P756" s="240">
        <v>5.1179790769362542E-2</v>
      </c>
      <c r="Q756" s="240">
        <v>8.5224631487493471E-3</v>
      </c>
      <c r="R756" s="240">
        <v>0</v>
      </c>
      <c r="S756" s="240">
        <v>0.88194995932970033</v>
      </c>
      <c r="T756" s="240">
        <v>9.034413232917709E-4</v>
      </c>
      <c r="U756" s="240">
        <v>4.556355740468164E-3</v>
      </c>
      <c r="V756" s="240">
        <v>0</v>
      </c>
      <c r="W756" s="240">
        <v>0</v>
      </c>
      <c r="X756" s="240"/>
      <c r="Y756" s="240">
        <v>0.99999999999999989</v>
      </c>
      <c r="Z756" s="139"/>
    </row>
    <row r="757" spans="1:26" hidden="1" x14ac:dyDescent="0.2">
      <c r="A757" s="255" t="s">
        <v>2594</v>
      </c>
      <c r="B757" s="344"/>
      <c r="C757" s="345" t="s">
        <v>2574</v>
      </c>
      <c r="D757" s="344" t="s">
        <v>2392</v>
      </c>
      <c r="E757" s="346"/>
      <c r="F757" s="346"/>
      <c r="G757" s="346"/>
      <c r="H757" s="346"/>
      <c r="I757" s="346"/>
      <c r="J757" s="346"/>
      <c r="K757" s="346"/>
      <c r="L757" s="346">
        <v>1</v>
      </c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>
        <v>1</v>
      </c>
      <c r="Z757" s="139"/>
    </row>
    <row r="758" spans="1:26" hidden="1" x14ac:dyDescent="0.2">
      <c r="A758" s="255" t="s">
        <v>2594</v>
      </c>
      <c r="B758" s="344"/>
      <c r="C758" s="345" t="s">
        <v>2575</v>
      </c>
      <c r="D758" s="344" t="s">
        <v>2394</v>
      </c>
      <c r="E758" s="346">
        <v>0.5</v>
      </c>
      <c r="F758" s="346"/>
      <c r="G758" s="346"/>
      <c r="H758" s="346"/>
      <c r="I758" s="346"/>
      <c r="J758" s="346"/>
      <c r="K758" s="346"/>
      <c r="L758" s="346">
        <v>0.5</v>
      </c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>
        <v>1</v>
      </c>
      <c r="Z758" s="139"/>
    </row>
    <row r="759" spans="1:26" hidden="1" x14ac:dyDescent="0.2">
      <c r="A759" s="254" t="s">
        <v>2814</v>
      </c>
      <c r="B759" s="338"/>
      <c r="C759" s="337" t="s">
        <v>2337</v>
      </c>
      <c r="D759" s="338" t="s">
        <v>2396</v>
      </c>
      <c r="E759" s="240">
        <v>0</v>
      </c>
      <c r="F759" s="240">
        <v>8.8501308739300961E-3</v>
      </c>
      <c r="G759" s="240">
        <v>0</v>
      </c>
      <c r="H759" s="240">
        <v>0</v>
      </c>
      <c r="I759" s="240">
        <v>0</v>
      </c>
      <c r="J759" s="240">
        <v>0</v>
      </c>
      <c r="K759" s="240">
        <v>0</v>
      </c>
      <c r="L759" s="240">
        <v>0</v>
      </c>
      <c r="M759" s="240">
        <v>0</v>
      </c>
      <c r="N759" s="240">
        <v>0</v>
      </c>
      <c r="O759" s="240">
        <v>0</v>
      </c>
      <c r="P759" s="240">
        <v>0.17306028645294214</v>
      </c>
      <c r="Q759" s="240">
        <v>0</v>
      </c>
      <c r="R759" s="240">
        <v>0</v>
      </c>
      <c r="S759" s="240">
        <v>0</v>
      </c>
      <c r="T759" s="240">
        <v>0.76021436656673336</v>
      </c>
      <c r="U759" s="240">
        <v>0</v>
      </c>
      <c r="V759" s="240">
        <v>0</v>
      </c>
      <c r="W759" s="240">
        <v>5.7875216106394407E-2</v>
      </c>
      <c r="X759" s="240"/>
      <c r="Y759" s="240">
        <v>1</v>
      </c>
      <c r="Z759" s="139"/>
    </row>
    <row r="760" spans="1:26" hidden="1" x14ac:dyDescent="0.2">
      <c r="A760" s="221" t="s">
        <v>2814</v>
      </c>
      <c r="B760" s="338"/>
      <c r="C760" s="337" t="s">
        <v>2345</v>
      </c>
      <c r="D760" s="338" t="s">
        <v>2398</v>
      </c>
      <c r="E760" s="240">
        <v>0</v>
      </c>
      <c r="F760" s="240">
        <v>1.0090030985176251E-2</v>
      </c>
      <c r="G760" s="240">
        <v>0</v>
      </c>
      <c r="H760" s="240">
        <v>0</v>
      </c>
      <c r="I760" s="240">
        <v>0</v>
      </c>
      <c r="J760" s="240">
        <v>0</v>
      </c>
      <c r="K760" s="240">
        <v>0</v>
      </c>
      <c r="L760" s="240">
        <v>0</v>
      </c>
      <c r="M760" s="240">
        <v>0</v>
      </c>
      <c r="N760" s="240">
        <v>0</v>
      </c>
      <c r="O760" s="240">
        <v>0</v>
      </c>
      <c r="P760" s="240">
        <v>0.19403931441260969</v>
      </c>
      <c r="Q760" s="240">
        <v>0</v>
      </c>
      <c r="R760" s="240">
        <v>0</v>
      </c>
      <c r="S760" s="240">
        <v>0</v>
      </c>
      <c r="T760" s="240">
        <v>0.77529677377772677</v>
      </c>
      <c r="U760" s="240">
        <v>0</v>
      </c>
      <c r="V760" s="240">
        <v>0</v>
      </c>
      <c r="W760" s="240">
        <v>2.0573880824487335E-2</v>
      </c>
      <c r="X760" s="240"/>
      <c r="Y760" s="240">
        <v>1</v>
      </c>
      <c r="Z760" s="139"/>
    </row>
    <row r="761" spans="1:26" hidden="1" x14ac:dyDescent="0.2">
      <c r="A761" s="270" t="s">
        <v>2814</v>
      </c>
      <c r="B761" s="338"/>
      <c r="C761" s="337" t="s">
        <v>2920</v>
      </c>
      <c r="D761" s="338" t="s">
        <v>2400</v>
      </c>
      <c r="E761" s="240">
        <v>0</v>
      </c>
      <c r="F761" s="240">
        <v>0</v>
      </c>
      <c r="G761" s="240">
        <v>0</v>
      </c>
      <c r="H761" s="240">
        <v>0</v>
      </c>
      <c r="I761" s="240">
        <v>0</v>
      </c>
      <c r="J761" s="240">
        <v>0</v>
      </c>
      <c r="K761" s="240">
        <v>0</v>
      </c>
      <c r="L761" s="240">
        <v>0</v>
      </c>
      <c r="M761" s="240">
        <v>0</v>
      </c>
      <c r="N761" s="240">
        <v>0</v>
      </c>
      <c r="O761" s="240">
        <v>0</v>
      </c>
      <c r="P761" s="240">
        <v>0</v>
      </c>
      <c r="Q761" s="240">
        <v>0</v>
      </c>
      <c r="R761" s="240">
        <v>0</v>
      </c>
      <c r="S761" s="240">
        <v>0</v>
      </c>
      <c r="T761" s="240">
        <v>0</v>
      </c>
      <c r="U761" s="240">
        <v>0</v>
      </c>
      <c r="V761" s="240">
        <v>0</v>
      </c>
      <c r="W761" s="240">
        <v>1</v>
      </c>
      <c r="X761" s="240"/>
      <c r="Y761" s="240">
        <v>1</v>
      </c>
      <c r="Z761" s="139"/>
    </row>
    <row r="762" spans="1:26" hidden="1" x14ac:dyDescent="0.2">
      <c r="A762" s="339"/>
      <c r="B762" s="339"/>
      <c r="C762" s="340" t="s">
        <v>2921</v>
      </c>
      <c r="D762" s="339" t="s">
        <v>2402</v>
      </c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859">
        <v>0</v>
      </c>
      <c r="Z762" s="139"/>
    </row>
    <row r="763" spans="1:26" hidden="1" x14ac:dyDescent="0.2">
      <c r="A763" s="339"/>
      <c r="B763" s="339"/>
      <c r="C763" s="340" t="s">
        <v>2577</v>
      </c>
      <c r="D763" s="339" t="s">
        <v>2404</v>
      </c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859">
        <v>0</v>
      </c>
      <c r="Z763" s="139"/>
    </row>
    <row r="764" spans="1:26" hidden="1" x14ac:dyDescent="0.2">
      <c r="A764" s="339"/>
      <c r="B764" s="339"/>
      <c r="C764" s="340" t="s">
        <v>2922</v>
      </c>
      <c r="D764" s="339" t="s">
        <v>2406</v>
      </c>
      <c r="E764" s="342">
        <v>0</v>
      </c>
      <c r="F764" s="342">
        <v>0</v>
      </c>
      <c r="G764" s="342">
        <v>0</v>
      </c>
      <c r="H764" s="342">
        <v>0</v>
      </c>
      <c r="I764" s="342">
        <v>0</v>
      </c>
      <c r="J764" s="342">
        <v>0</v>
      </c>
      <c r="K764" s="342">
        <v>0</v>
      </c>
      <c r="L764" s="342">
        <v>0</v>
      </c>
      <c r="M764" s="342">
        <v>3.1577382565002969E-2</v>
      </c>
      <c r="N764" s="342">
        <v>0.64799801104874577</v>
      </c>
      <c r="O764" s="342">
        <v>0</v>
      </c>
      <c r="P764" s="342">
        <v>8.3404594811682872E-2</v>
      </c>
      <c r="Q764" s="342">
        <v>0</v>
      </c>
      <c r="R764" s="342">
        <v>0</v>
      </c>
      <c r="S764" s="342">
        <v>0.17306244911172636</v>
      </c>
      <c r="T764" s="342">
        <v>6.3957562462842205E-2</v>
      </c>
      <c r="U764" s="342">
        <v>0</v>
      </c>
      <c r="V764" s="342">
        <v>0</v>
      </c>
      <c r="W764" s="342">
        <v>0</v>
      </c>
      <c r="X764" s="342"/>
      <c r="Y764" s="342">
        <v>1</v>
      </c>
      <c r="Z764" s="139"/>
    </row>
    <row r="765" spans="1:26" hidden="1" x14ac:dyDescent="0.2">
      <c r="A765" s="255" t="s">
        <v>2968</v>
      </c>
      <c r="B765" s="344"/>
      <c r="C765" s="345" t="s">
        <v>2593</v>
      </c>
      <c r="D765" s="344" t="s">
        <v>2408</v>
      </c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>
        <v>1</v>
      </c>
      <c r="T765" s="346"/>
      <c r="U765" s="346"/>
      <c r="V765" s="346"/>
      <c r="W765" s="346"/>
      <c r="X765" s="346"/>
      <c r="Y765" s="346">
        <v>1</v>
      </c>
      <c r="Z765" s="139"/>
    </row>
    <row r="766" spans="1:26" hidden="1" x14ac:dyDescent="0.2">
      <c r="A766" s="255" t="s">
        <v>2968</v>
      </c>
      <c r="B766" s="344"/>
      <c r="C766" s="345" t="s">
        <v>2578</v>
      </c>
      <c r="D766" s="344" t="s">
        <v>2410</v>
      </c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  <c r="P766" s="256"/>
      <c r="Q766" s="256"/>
      <c r="R766" s="256"/>
      <c r="S766" s="256"/>
      <c r="T766" s="256"/>
      <c r="U766" s="256"/>
      <c r="V766" s="256"/>
      <c r="W766" s="256"/>
      <c r="X766" s="256"/>
      <c r="Y766" s="860">
        <v>0</v>
      </c>
      <c r="Z766" s="139"/>
    </row>
    <row r="767" spans="1:26" hidden="1" x14ac:dyDescent="0.2">
      <c r="A767" s="238" t="s">
        <v>2814</v>
      </c>
      <c r="B767" s="338"/>
      <c r="C767" s="337" t="s">
        <v>2579</v>
      </c>
      <c r="D767" s="338" t="s">
        <v>2296</v>
      </c>
      <c r="E767" s="240">
        <v>0</v>
      </c>
      <c r="F767" s="240">
        <v>0</v>
      </c>
      <c r="G767" s="240">
        <v>0</v>
      </c>
      <c r="H767" s="240">
        <v>0</v>
      </c>
      <c r="I767" s="240">
        <v>0</v>
      </c>
      <c r="J767" s="240">
        <v>0</v>
      </c>
      <c r="K767" s="240">
        <v>0</v>
      </c>
      <c r="L767" s="240">
        <v>0</v>
      </c>
      <c r="M767" s="240">
        <v>0</v>
      </c>
      <c r="N767" s="240">
        <v>0</v>
      </c>
      <c r="O767" s="240">
        <v>0</v>
      </c>
      <c r="P767" s="240">
        <v>0</v>
      </c>
      <c r="Q767" s="240">
        <v>0</v>
      </c>
      <c r="R767" s="240">
        <v>0</v>
      </c>
      <c r="S767" s="240">
        <v>0</v>
      </c>
      <c r="T767" s="240">
        <v>1</v>
      </c>
      <c r="U767" s="240">
        <v>0</v>
      </c>
      <c r="V767" s="240">
        <v>0</v>
      </c>
      <c r="W767" s="240">
        <v>0</v>
      </c>
      <c r="X767" s="240"/>
      <c r="Y767" s="240">
        <v>1</v>
      </c>
      <c r="Z767" s="139"/>
    </row>
    <row r="768" spans="1:26" hidden="1" x14ac:dyDescent="0.2">
      <c r="A768" s="255" t="s">
        <v>2594</v>
      </c>
      <c r="B768" s="344"/>
      <c r="C768" s="801" t="s">
        <v>2580</v>
      </c>
      <c r="D768" s="802" t="s">
        <v>2413</v>
      </c>
      <c r="E768" s="803">
        <v>0</v>
      </c>
      <c r="F768" s="803">
        <v>4.5909214660884122E-2</v>
      </c>
      <c r="G768" s="803">
        <v>3.1340458710143203E-2</v>
      </c>
      <c r="H768" s="803">
        <v>0</v>
      </c>
      <c r="I768" s="803">
        <v>0</v>
      </c>
      <c r="J768" s="803">
        <v>6.0728303173178009E-3</v>
      </c>
      <c r="K768" s="803">
        <v>0</v>
      </c>
      <c r="L768" s="803">
        <v>0</v>
      </c>
      <c r="M768" s="803">
        <v>0</v>
      </c>
      <c r="N768" s="803">
        <v>0.55817574703242634</v>
      </c>
      <c r="O768" s="803">
        <v>2.7160788041347264E-2</v>
      </c>
      <c r="P768" s="803">
        <v>0.18527269204316513</v>
      </c>
      <c r="Q768" s="803">
        <v>2.2649759321720371E-2</v>
      </c>
      <c r="R768" s="803">
        <v>0</v>
      </c>
      <c r="S768" s="803">
        <v>8.5019624438218755E-2</v>
      </c>
      <c r="T768" s="803">
        <v>3.8398885434777243E-2</v>
      </c>
      <c r="U768" s="803">
        <v>0</v>
      </c>
      <c r="V768" s="803">
        <v>0</v>
      </c>
      <c r="W768" s="803">
        <v>0</v>
      </c>
      <c r="X768" s="803"/>
      <c r="Y768" s="346">
        <v>1</v>
      </c>
      <c r="Z768" s="139"/>
    </row>
    <row r="769" spans="1:26" hidden="1" x14ac:dyDescent="0.2">
      <c r="A769" s="255" t="s">
        <v>2594</v>
      </c>
      <c r="B769" s="344"/>
      <c r="C769" s="345" t="s">
        <v>2581</v>
      </c>
      <c r="D769" s="344" t="s">
        <v>2415</v>
      </c>
      <c r="E769" s="346"/>
      <c r="F769" s="346"/>
      <c r="G769" s="346"/>
      <c r="H769" s="346"/>
      <c r="I769" s="346"/>
      <c r="J769" s="346"/>
      <c r="K769" s="346"/>
      <c r="L769" s="346"/>
      <c r="M769" s="346"/>
      <c r="N769" s="346">
        <v>0.1</v>
      </c>
      <c r="O769" s="346"/>
      <c r="P769" s="346"/>
      <c r="Q769" s="346"/>
      <c r="R769" s="346"/>
      <c r="S769" s="346">
        <v>0.1</v>
      </c>
      <c r="T769" s="346">
        <v>0.8</v>
      </c>
      <c r="U769" s="346"/>
      <c r="V769" s="346"/>
      <c r="W769" s="346"/>
      <c r="X769" s="346"/>
      <c r="Y769" s="346">
        <v>1</v>
      </c>
      <c r="Z769" s="139"/>
    </row>
    <row r="770" spans="1:26" hidden="1" x14ac:dyDescent="0.2">
      <c r="A770" s="238" t="s">
        <v>2814</v>
      </c>
      <c r="B770" s="338"/>
      <c r="C770" s="337" t="s">
        <v>2582</v>
      </c>
      <c r="D770" s="338" t="s">
        <v>2417</v>
      </c>
      <c r="E770" s="240">
        <v>0</v>
      </c>
      <c r="F770" s="240">
        <v>0</v>
      </c>
      <c r="G770" s="240">
        <v>0</v>
      </c>
      <c r="H770" s="240">
        <v>0</v>
      </c>
      <c r="I770" s="240">
        <v>0</v>
      </c>
      <c r="J770" s="240">
        <v>0</v>
      </c>
      <c r="K770" s="240">
        <v>0</v>
      </c>
      <c r="L770" s="240">
        <v>0</v>
      </c>
      <c r="M770" s="240">
        <v>0</v>
      </c>
      <c r="N770" s="240">
        <v>0.93649720330350006</v>
      </c>
      <c r="O770" s="240">
        <v>0</v>
      </c>
      <c r="P770" s="240">
        <v>6.3502796696499927E-2</v>
      </c>
      <c r="Q770" s="240">
        <v>0</v>
      </c>
      <c r="R770" s="240">
        <v>0</v>
      </c>
      <c r="S770" s="240">
        <v>0</v>
      </c>
      <c r="T770" s="240">
        <v>0</v>
      </c>
      <c r="U770" s="240">
        <v>0</v>
      </c>
      <c r="V770" s="240">
        <v>0</v>
      </c>
      <c r="W770" s="240">
        <v>0</v>
      </c>
      <c r="X770" s="240"/>
      <c r="Y770" s="240">
        <v>1</v>
      </c>
      <c r="Z770" s="139"/>
    </row>
    <row r="771" spans="1:26" hidden="1" x14ac:dyDescent="0.2">
      <c r="A771" s="339"/>
      <c r="B771" s="339"/>
      <c r="C771" s="340" t="s">
        <v>2583</v>
      </c>
      <c r="D771" s="339" t="s">
        <v>2418</v>
      </c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859">
        <v>0</v>
      </c>
      <c r="Z771" s="139"/>
    </row>
    <row r="772" spans="1:26" hidden="1" x14ac:dyDescent="0.2">
      <c r="A772" s="254" t="s">
        <v>2814</v>
      </c>
      <c r="B772" s="338"/>
      <c r="C772" s="337" t="s">
        <v>2923</v>
      </c>
      <c r="D772" s="338" t="s">
        <v>2420</v>
      </c>
      <c r="E772" s="240">
        <v>0</v>
      </c>
      <c r="F772" s="240">
        <v>0</v>
      </c>
      <c r="G772" s="240">
        <v>0</v>
      </c>
      <c r="H772" s="240">
        <v>0</v>
      </c>
      <c r="I772" s="240">
        <v>0</v>
      </c>
      <c r="J772" s="240">
        <v>0</v>
      </c>
      <c r="K772" s="240">
        <v>0</v>
      </c>
      <c r="L772" s="240">
        <v>0</v>
      </c>
      <c r="M772" s="240">
        <v>0</v>
      </c>
      <c r="N772" s="240">
        <v>1</v>
      </c>
      <c r="O772" s="240">
        <v>0</v>
      </c>
      <c r="P772" s="240">
        <v>0</v>
      </c>
      <c r="Q772" s="240">
        <v>0</v>
      </c>
      <c r="R772" s="240">
        <v>0</v>
      </c>
      <c r="S772" s="240">
        <v>0</v>
      </c>
      <c r="T772" s="240">
        <v>0</v>
      </c>
      <c r="U772" s="240">
        <v>0</v>
      </c>
      <c r="V772" s="240">
        <v>0</v>
      </c>
      <c r="W772" s="240">
        <v>0</v>
      </c>
      <c r="X772" s="240"/>
      <c r="Y772" s="240">
        <v>1</v>
      </c>
      <c r="Z772" s="139"/>
    </row>
    <row r="773" spans="1:26" hidden="1" x14ac:dyDescent="0.2">
      <c r="A773" s="221" t="s">
        <v>2814</v>
      </c>
      <c r="B773" s="338"/>
      <c r="C773" s="337" t="s">
        <v>2620</v>
      </c>
      <c r="D773" s="338" t="s">
        <v>2422</v>
      </c>
      <c r="E773" s="240">
        <v>0</v>
      </c>
      <c r="F773" s="240">
        <v>0</v>
      </c>
      <c r="G773" s="240">
        <v>0</v>
      </c>
      <c r="H773" s="240">
        <v>0</v>
      </c>
      <c r="I773" s="240">
        <v>0</v>
      </c>
      <c r="J773" s="240">
        <v>0</v>
      </c>
      <c r="K773" s="240">
        <v>0</v>
      </c>
      <c r="L773" s="240">
        <v>1</v>
      </c>
      <c r="M773" s="240">
        <v>0</v>
      </c>
      <c r="N773" s="240">
        <v>0</v>
      </c>
      <c r="O773" s="240">
        <v>0</v>
      </c>
      <c r="P773" s="240">
        <v>0</v>
      </c>
      <c r="Q773" s="240">
        <v>0</v>
      </c>
      <c r="R773" s="240">
        <v>0</v>
      </c>
      <c r="S773" s="240">
        <v>0</v>
      </c>
      <c r="T773" s="240"/>
      <c r="U773" s="240">
        <v>0</v>
      </c>
      <c r="V773" s="240">
        <v>0</v>
      </c>
      <c r="W773" s="240">
        <v>0</v>
      </c>
      <c r="X773" s="240"/>
      <c r="Y773" s="240">
        <v>1</v>
      </c>
      <c r="Z773" s="139"/>
    </row>
    <row r="774" spans="1:26" hidden="1" x14ac:dyDescent="0.2">
      <c r="A774" s="221" t="s">
        <v>2814</v>
      </c>
      <c r="B774" s="338"/>
      <c r="C774" s="337" t="s">
        <v>2584</v>
      </c>
      <c r="D774" s="338" t="s">
        <v>2424</v>
      </c>
      <c r="E774" s="240">
        <v>0</v>
      </c>
      <c r="F774" s="240">
        <v>0</v>
      </c>
      <c r="G774" s="240">
        <v>0</v>
      </c>
      <c r="H774" s="240">
        <v>0</v>
      </c>
      <c r="I774" s="240">
        <v>0</v>
      </c>
      <c r="J774" s="240">
        <v>0</v>
      </c>
      <c r="K774" s="240">
        <v>0</v>
      </c>
      <c r="L774" s="240">
        <v>1</v>
      </c>
      <c r="M774" s="240">
        <v>0</v>
      </c>
      <c r="N774" s="240">
        <v>0</v>
      </c>
      <c r="O774" s="240">
        <v>0</v>
      </c>
      <c r="P774" s="240">
        <v>0</v>
      </c>
      <c r="Q774" s="240">
        <v>0</v>
      </c>
      <c r="R774" s="240">
        <v>0</v>
      </c>
      <c r="S774" s="240">
        <v>0</v>
      </c>
      <c r="T774" s="240">
        <v>0</v>
      </c>
      <c r="U774" s="240">
        <v>0</v>
      </c>
      <c r="V774" s="240">
        <v>0</v>
      </c>
      <c r="W774" s="240">
        <v>0</v>
      </c>
      <c r="X774" s="240"/>
      <c r="Y774" s="240">
        <v>1</v>
      </c>
      <c r="Z774" s="139"/>
    </row>
    <row r="775" spans="1:26" hidden="1" x14ac:dyDescent="0.2">
      <c r="A775" s="270" t="s">
        <v>2814</v>
      </c>
      <c r="B775" s="338"/>
      <c r="C775" s="337" t="s">
        <v>2924</v>
      </c>
      <c r="D775" s="338" t="s">
        <v>2426</v>
      </c>
      <c r="E775" s="240">
        <v>0</v>
      </c>
      <c r="F775" s="240">
        <v>0.56420380507469547</v>
      </c>
      <c r="G775" s="240">
        <v>0.40690709966665639</v>
      </c>
      <c r="H775" s="240">
        <v>0</v>
      </c>
      <c r="I775" s="240">
        <v>0</v>
      </c>
      <c r="J775" s="240">
        <v>0</v>
      </c>
      <c r="K775" s="240">
        <v>0</v>
      </c>
      <c r="L775" s="240">
        <v>0</v>
      </c>
      <c r="M775" s="240">
        <v>0</v>
      </c>
      <c r="N775" s="240">
        <v>0</v>
      </c>
      <c r="O775" s="240">
        <v>0</v>
      </c>
      <c r="P775" s="240">
        <v>0</v>
      </c>
      <c r="Q775" s="240">
        <v>2.8889095258648089E-2</v>
      </c>
      <c r="R775" s="240">
        <v>0</v>
      </c>
      <c r="S775" s="240">
        <v>0</v>
      </c>
      <c r="T775" s="240">
        <v>0</v>
      </c>
      <c r="U775" s="240">
        <v>0</v>
      </c>
      <c r="V775" s="240">
        <v>0</v>
      </c>
      <c r="W775" s="240">
        <v>0</v>
      </c>
      <c r="X775" s="240"/>
      <c r="Y775" s="240">
        <v>1</v>
      </c>
      <c r="Z775" s="139"/>
    </row>
    <row r="776" spans="1:26" hidden="1" x14ac:dyDescent="0.2">
      <c r="A776" s="339"/>
      <c r="B776" s="339"/>
      <c r="C776" s="340" t="s">
        <v>2585</v>
      </c>
      <c r="D776" s="339" t="s">
        <v>2428</v>
      </c>
      <c r="E776" s="342">
        <v>0</v>
      </c>
      <c r="F776" s="342">
        <v>0.53519241109976956</v>
      </c>
      <c r="G776" s="342">
        <v>0.37216828832272147</v>
      </c>
      <c r="H776" s="342">
        <v>0</v>
      </c>
      <c r="I776" s="342">
        <v>0</v>
      </c>
      <c r="J776" s="342">
        <v>0</v>
      </c>
      <c r="K776" s="342">
        <v>0</v>
      </c>
      <c r="L776" s="342">
        <v>0</v>
      </c>
      <c r="M776" s="342">
        <v>0</v>
      </c>
      <c r="N776" s="342">
        <v>0</v>
      </c>
      <c r="O776" s="342">
        <v>9.2639300577508812E-2</v>
      </c>
      <c r="P776" s="342">
        <v>0</v>
      </c>
      <c r="Q776" s="342">
        <v>0</v>
      </c>
      <c r="R776" s="342">
        <v>0</v>
      </c>
      <c r="S776" s="342">
        <v>0</v>
      </c>
      <c r="T776" s="342">
        <v>0</v>
      </c>
      <c r="U776" s="342">
        <v>0</v>
      </c>
      <c r="V776" s="342">
        <v>0</v>
      </c>
      <c r="W776" s="342">
        <v>0</v>
      </c>
      <c r="X776" s="342"/>
      <c r="Y776" s="342">
        <v>0.99999999999999978</v>
      </c>
      <c r="Z776" s="139"/>
    </row>
    <row r="777" spans="1:26" hidden="1" x14ac:dyDescent="0.2">
      <c r="A777" s="238" t="s">
        <v>2814</v>
      </c>
      <c r="B777" s="338"/>
      <c r="C777" s="337" t="s">
        <v>2925</v>
      </c>
      <c r="D777" s="338" t="s">
        <v>2430</v>
      </c>
      <c r="E777" s="240">
        <v>0</v>
      </c>
      <c r="F777" s="240">
        <v>0</v>
      </c>
      <c r="G777" s="240">
        <v>0</v>
      </c>
      <c r="H777" s="240">
        <v>0</v>
      </c>
      <c r="I777" s="240">
        <v>0</v>
      </c>
      <c r="J777" s="240">
        <v>0</v>
      </c>
      <c r="K777" s="240">
        <v>0</v>
      </c>
      <c r="L777" s="240">
        <v>0</v>
      </c>
      <c r="M777" s="240">
        <v>0</v>
      </c>
      <c r="N777" s="240">
        <v>4.4178058792385269E-3</v>
      </c>
      <c r="O777" s="240">
        <v>0</v>
      </c>
      <c r="P777" s="240">
        <v>1.8719516437451386E-2</v>
      </c>
      <c r="Q777" s="240">
        <v>0</v>
      </c>
      <c r="R777" s="240">
        <v>0</v>
      </c>
      <c r="S777" s="240">
        <v>0.97686267768331014</v>
      </c>
      <c r="T777" s="240">
        <v>0</v>
      </c>
      <c r="U777" s="240">
        <v>0</v>
      </c>
      <c r="V777" s="240">
        <v>0</v>
      </c>
      <c r="W777" s="240">
        <v>0</v>
      </c>
      <c r="X777" s="240"/>
      <c r="Y777" s="240">
        <v>1</v>
      </c>
      <c r="Z777" s="139"/>
    </row>
    <row r="778" spans="1:26" hidden="1" x14ac:dyDescent="0.2">
      <c r="A778" s="746" t="s">
        <v>2599</v>
      </c>
      <c r="B778" s="804"/>
      <c r="C778" s="805" t="s">
        <v>2586</v>
      </c>
      <c r="D778" s="806" t="s">
        <v>2432</v>
      </c>
      <c r="E778" s="744">
        <v>0</v>
      </c>
      <c r="F778" s="744">
        <v>0</v>
      </c>
      <c r="G778" s="744">
        <v>0</v>
      </c>
      <c r="H778" s="744">
        <v>0</v>
      </c>
      <c r="I778" s="744">
        <v>0</v>
      </c>
      <c r="J778" s="744">
        <v>0</v>
      </c>
      <c r="K778" s="744">
        <v>0</v>
      </c>
      <c r="L778" s="744">
        <v>1</v>
      </c>
      <c r="M778" s="744">
        <v>0</v>
      </c>
      <c r="N778" s="744">
        <v>0</v>
      </c>
      <c r="O778" s="744">
        <v>0</v>
      </c>
      <c r="P778" s="744">
        <v>0</v>
      </c>
      <c r="Q778" s="744">
        <v>0</v>
      </c>
      <c r="R778" s="744">
        <v>0</v>
      </c>
      <c r="S778" s="744">
        <v>0</v>
      </c>
      <c r="T778" s="744">
        <v>0</v>
      </c>
      <c r="U778" s="744">
        <v>0</v>
      </c>
      <c r="V778" s="744">
        <v>0</v>
      </c>
      <c r="W778" s="744">
        <v>0</v>
      </c>
      <c r="X778" s="744">
        <v>0</v>
      </c>
      <c r="Y778" s="346">
        <v>1</v>
      </c>
      <c r="Z778" s="139"/>
    </row>
    <row r="779" spans="1:26" hidden="1" x14ac:dyDescent="0.2">
      <c r="A779" s="255" t="s">
        <v>2594</v>
      </c>
      <c r="B779" s="344"/>
      <c r="C779" s="345" t="s">
        <v>2587</v>
      </c>
      <c r="D779" s="344" t="s">
        <v>2434</v>
      </c>
      <c r="E779" s="807">
        <v>0</v>
      </c>
      <c r="F779" s="807">
        <v>0</v>
      </c>
      <c r="G779" s="807">
        <v>0</v>
      </c>
      <c r="H779" s="807">
        <v>0</v>
      </c>
      <c r="I779" s="807">
        <v>0</v>
      </c>
      <c r="J779" s="807">
        <v>0</v>
      </c>
      <c r="K779" s="807">
        <v>0</v>
      </c>
      <c r="L779" s="807">
        <v>1</v>
      </c>
      <c r="M779" s="807">
        <v>0</v>
      </c>
      <c r="N779" s="807">
        <v>0</v>
      </c>
      <c r="O779" s="807">
        <v>0</v>
      </c>
      <c r="P779" s="807">
        <v>0</v>
      </c>
      <c r="Q779" s="807">
        <v>0</v>
      </c>
      <c r="R779" s="807">
        <v>0</v>
      </c>
      <c r="S779" s="807">
        <v>0</v>
      </c>
      <c r="T779" s="807">
        <v>0</v>
      </c>
      <c r="U779" s="807">
        <v>0</v>
      </c>
      <c r="V779" s="807">
        <v>0</v>
      </c>
      <c r="W779" s="807">
        <v>0</v>
      </c>
      <c r="X779" s="346"/>
      <c r="Y779" s="346">
        <v>1</v>
      </c>
      <c r="Z779" s="139"/>
    </row>
    <row r="780" spans="1:26" hidden="1" x14ac:dyDescent="0.2">
      <c r="A780" s="255" t="s">
        <v>2594</v>
      </c>
      <c r="B780" s="344"/>
      <c r="C780" s="345" t="s">
        <v>2588</v>
      </c>
      <c r="D780" s="344" t="s">
        <v>2436</v>
      </c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>
        <v>1</v>
      </c>
      <c r="T780" s="346"/>
      <c r="U780" s="346"/>
      <c r="V780" s="346"/>
      <c r="W780" s="346"/>
      <c r="X780" s="346"/>
      <c r="Y780" s="346">
        <v>1</v>
      </c>
      <c r="Z780" s="139"/>
    </row>
    <row r="781" spans="1:26" hidden="1" x14ac:dyDescent="0.2">
      <c r="A781" s="238" t="s">
        <v>2814</v>
      </c>
      <c r="B781" s="338"/>
      <c r="C781" s="337" t="s">
        <v>2589</v>
      </c>
      <c r="D781" s="338" t="s">
        <v>2438</v>
      </c>
      <c r="E781" s="240">
        <v>1</v>
      </c>
      <c r="F781" s="240">
        <v>0</v>
      </c>
      <c r="G781" s="240">
        <v>0</v>
      </c>
      <c r="H781" s="240">
        <v>0</v>
      </c>
      <c r="I781" s="240">
        <v>0</v>
      </c>
      <c r="J781" s="240">
        <v>0</v>
      </c>
      <c r="K781" s="240">
        <v>0</v>
      </c>
      <c r="L781" s="240">
        <v>0</v>
      </c>
      <c r="M781" s="240">
        <v>0</v>
      </c>
      <c r="N781" s="240">
        <v>0</v>
      </c>
      <c r="O781" s="240">
        <v>0</v>
      </c>
      <c r="P781" s="240">
        <v>0</v>
      </c>
      <c r="Q781" s="240">
        <v>0</v>
      </c>
      <c r="R781" s="240">
        <v>0</v>
      </c>
      <c r="S781" s="240">
        <v>0</v>
      </c>
      <c r="T781" s="240">
        <v>0</v>
      </c>
      <c r="U781" s="240">
        <v>0</v>
      </c>
      <c r="V781" s="240">
        <v>0</v>
      </c>
      <c r="W781" s="240">
        <v>0</v>
      </c>
      <c r="X781" s="240"/>
      <c r="Y781" s="240">
        <v>1</v>
      </c>
      <c r="Z781" s="139"/>
    </row>
    <row r="782" spans="1:26" hidden="1" x14ac:dyDescent="0.2">
      <c r="A782" s="255" t="s">
        <v>2594</v>
      </c>
      <c r="B782" s="344"/>
      <c r="C782" s="345" t="s">
        <v>2590</v>
      </c>
      <c r="D782" s="344" t="s">
        <v>2440</v>
      </c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>
        <v>1</v>
      </c>
      <c r="U782" s="346"/>
      <c r="V782" s="346"/>
      <c r="W782" s="346"/>
      <c r="X782" s="346"/>
      <c r="Y782" s="346">
        <v>1</v>
      </c>
      <c r="Z782" s="139"/>
    </row>
    <row r="783" spans="1:26" hidden="1" x14ac:dyDescent="0.2">
      <c r="A783" s="348" t="s">
        <v>2814</v>
      </c>
      <c r="B783" s="348"/>
      <c r="C783" s="347" t="s">
        <v>2926</v>
      </c>
      <c r="D783" s="348" t="s">
        <v>2927</v>
      </c>
      <c r="E783" s="240">
        <v>0</v>
      </c>
      <c r="F783" s="240">
        <v>0</v>
      </c>
      <c r="G783" s="240">
        <v>0</v>
      </c>
      <c r="H783" s="240">
        <v>0</v>
      </c>
      <c r="I783" s="240">
        <v>0</v>
      </c>
      <c r="J783" s="240">
        <v>0</v>
      </c>
      <c r="K783" s="240">
        <v>0</v>
      </c>
      <c r="L783" s="240">
        <v>0</v>
      </c>
      <c r="M783" s="240">
        <v>0</v>
      </c>
      <c r="N783" s="240">
        <v>0.41987652027118744</v>
      </c>
      <c r="O783" s="240">
        <v>0</v>
      </c>
      <c r="P783" s="240">
        <v>0.31764697261628599</v>
      </c>
      <c r="Q783" s="240">
        <v>3.0289635387983141E-2</v>
      </c>
      <c r="R783" s="240">
        <v>0</v>
      </c>
      <c r="S783" s="240">
        <v>0.16298709211082793</v>
      </c>
      <c r="T783" s="240">
        <v>0</v>
      </c>
      <c r="U783" s="240">
        <v>6.9199779613715567E-2</v>
      </c>
      <c r="V783" s="240">
        <v>0</v>
      </c>
      <c r="W783" s="240">
        <v>0</v>
      </c>
      <c r="X783" s="240"/>
      <c r="Y783" s="236">
        <v>1</v>
      </c>
      <c r="Z783" s="139"/>
    </row>
    <row r="784" spans="1:26" hidden="1" x14ac:dyDescent="0.2">
      <c r="A784" s="348" t="s">
        <v>2814</v>
      </c>
      <c r="B784" s="348"/>
      <c r="C784" s="347" t="s">
        <v>2338</v>
      </c>
      <c r="D784" s="348" t="s">
        <v>2346</v>
      </c>
      <c r="E784" s="240">
        <v>0</v>
      </c>
      <c r="F784" s="240">
        <v>0</v>
      </c>
      <c r="G784" s="240">
        <v>0</v>
      </c>
      <c r="H784" s="240">
        <v>0</v>
      </c>
      <c r="I784" s="240">
        <v>0</v>
      </c>
      <c r="J784" s="240">
        <v>0</v>
      </c>
      <c r="K784" s="240">
        <v>0</v>
      </c>
      <c r="L784" s="240">
        <v>0</v>
      </c>
      <c r="M784" s="240">
        <v>0</v>
      </c>
      <c r="N784" s="240">
        <v>0</v>
      </c>
      <c r="O784" s="240">
        <v>0</v>
      </c>
      <c r="P784" s="240">
        <v>0</v>
      </c>
      <c r="Q784" s="240">
        <v>0</v>
      </c>
      <c r="R784" s="240">
        <v>0</v>
      </c>
      <c r="S784" s="240">
        <v>0</v>
      </c>
      <c r="T784" s="356">
        <v>0</v>
      </c>
      <c r="U784" s="240">
        <v>0</v>
      </c>
      <c r="V784" s="240">
        <v>0</v>
      </c>
      <c r="W784" s="356"/>
      <c r="X784" s="797">
        <v>1</v>
      </c>
      <c r="Y784" s="240">
        <v>1</v>
      </c>
      <c r="Z784" s="139"/>
    </row>
    <row r="785" spans="1:26" hidden="1" x14ac:dyDescent="0.2">
      <c r="A785" s="348" t="s">
        <v>2814</v>
      </c>
      <c r="B785" s="348"/>
      <c r="C785" s="347" t="s">
        <v>2339</v>
      </c>
      <c r="D785" s="348" t="s">
        <v>2347</v>
      </c>
      <c r="E785" s="240">
        <v>0</v>
      </c>
      <c r="F785" s="240">
        <v>0</v>
      </c>
      <c r="G785" s="240">
        <v>0</v>
      </c>
      <c r="H785" s="240">
        <v>0</v>
      </c>
      <c r="I785" s="240">
        <v>0</v>
      </c>
      <c r="J785" s="240">
        <v>0</v>
      </c>
      <c r="K785" s="240">
        <v>0</v>
      </c>
      <c r="L785" s="240">
        <v>0</v>
      </c>
      <c r="M785" s="240">
        <v>0</v>
      </c>
      <c r="N785" s="240">
        <v>0</v>
      </c>
      <c r="O785" s="240">
        <v>0</v>
      </c>
      <c r="P785" s="240">
        <v>0</v>
      </c>
      <c r="Q785" s="240">
        <v>0</v>
      </c>
      <c r="R785" s="240">
        <v>0</v>
      </c>
      <c r="S785" s="240">
        <v>0</v>
      </c>
      <c r="T785" s="356">
        <v>0</v>
      </c>
      <c r="U785" s="240">
        <v>0</v>
      </c>
      <c r="V785" s="240">
        <v>0</v>
      </c>
      <c r="W785" s="356"/>
      <c r="X785" s="797">
        <v>1</v>
      </c>
      <c r="Y785" s="240">
        <v>1</v>
      </c>
      <c r="Z785" s="139"/>
    </row>
    <row r="786" spans="1:26" hidden="1" x14ac:dyDescent="0.2">
      <c r="A786" s="348" t="s">
        <v>2814</v>
      </c>
      <c r="B786" s="348"/>
      <c r="C786" s="347" t="s">
        <v>2340</v>
      </c>
      <c r="D786" s="348" t="s">
        <v>2348</v>
      </c>
      <c r="E786" s="240">
        <v>0</v>
      </c>
      <c r="F786" s="240">
        <v>0</v>
      </c>
      <c r="G786" s="240">
        <v>0</v>
      </c>
      <c r="H786" s="240">
        <v>0</v>
      </c>
      <c r="I786" s="240">
        <v>0</v>
      </c>
      <c r="J786" s="240">
        <v>0</v>
      </c>
      <c r="K786" s="240">
        <v>0</v>
      </c>
      <c r="L786" s="240">
        <v>0</v>
      </c>
      <c r="M786" s="240">
        <v>0</v>
      </c>
      <c r="N786" s="240">
        <v>0</v>
      </c>
      <c r="O786" s="240">
        <v>0</v>
      </c>
      <c r="P786" s="240">
        <v>0</v>
      </c>
      <c r="Q786" s="240">
        <v>0</v>
      </c>
      <c r="R786" s="240">
        <v>0</v>
      </c>
      <c r="S786" s="240">
        <v>0</v>
      </c>
      <c r="T786" s="356">
        <v>0</v>
      </c>
      <c r="U786" s="240">
        <v>0</v>
      </c>
      <c r="V786" s="240">
        <v>0</v>
      </c>
      <c r="W786" s="356"/>
      <c r="X786" s="797">
        <v>1</v>
      </c>
      <c r="Y786" s="240">
        <v>1</v>
      </c>
      <c r="Z786" s="139"/>
    </row>
    <row r="787" spans="1:26" hidden="1" x14ac:dyDescent="0.2">
      <c r="A787" s="348" t="s">
        <v>2814</v>
      </c>
      <c r="B787" s="348"/>
      <c r="C787" s="347" t="s">
        <v>2341</v>
      </c>
      <c r="D787" s="348" t="s">
        <v>2349</v>
      </c>
      <c r="E787" s="240">
        <v>0</v>
      </c>
      <c r="F787" s="240">
        <v>0</v>
      </c>
      <c r="G787" s="240">
        <v>0</v>
      </c>
      <c r="H787" s="240">
        <v>0</v>
      </c>
      <c r="I787" s="240">
        <v>0</v>
      </c>
      <c r="J787" s="240">
        <v>0</v>
      </c>
      <c r="K787" s="240">
        <v>0</v>
      </c>
      <c r="L787" s="240">
        <v>0</v>
      </c>
      <c r="M787" s="240">
        <v>0</v>
      </c>
      <c r="N787" s="240">
        <v>0</v>
      </c>
      <c r="O787" s="240">
        <v>0</v>
      </c>
      <c r="P787" s="240">
        <v>0</v>
      </c>
      <c r="Q787" s="240">
        <v>0</v>
      </c>
      <c r="R787" s="240">
        <v>0</v>
      </c>
      <c r="S787" s="240">
        <v>0</v>
      </c>
      <c r="T787" s="356">
        <v>0</v>
      </c>
      <c r="U787" s="240">
        <v>0</v>
      </c>
      <c r="V787" s="240">
        <v>0</v>
      </c>
      <c r="W787" s="356"/>
      <c r="X787" s="797">
        <v>1</v>
      </c>
      <c r="Y787" s="240">
        <v>1</v>
      </c>
      <c r="Z787" s="139"/>
    </row>
    <row r="788" spans="1:26" hidden="1" x14ac:dyDescent="0.2">
      <c r="A788" s="348" t="s">
        <v>2814</v>
      </c>
      <c r="B788" s="348"/>
      <c r="C788" s="347" t="s">
        <v>2342</v>
      </c>
      <c r="D788" s="348" t="s">
        <v>2350</v>
      </c>
      <c r="E788" s="240">
        <v>0</v>
      </c>
      <c r="F788" s="240">
        <v>0</v>
      </c>
      <c r="G788" s="240">
        <v>0</v>
      </c>
      <c r="H788" s="240">
        <v>0</v>
      </c>
      <c r="I788" s="240">
        <v>0</v>
      </c>
      <c r="J788" s="240">
        <v>0</v>
      </c>
      <c r="K788" s="240">
        <v>0</v>
      </c>
      <c r="L788" s="240">
        <v>0</v>
      </c>
      <c r="M788" s="240">
        <v>0</v>
      </c>
      <c r="N788" s="240">
        <v>0</v>
      </c>
      <c r="O788" s="240">
        <v>0</v>
      </c>
      <c r="P788" s="240">
        <v>0</v>
      </c>
      <c r="Q788" s="240">
        <v>0</v>
      </c>
      <c r="R788" s="240">
        <v>0</v>
      </c>
      <c r="S788" s="240">
        <v>0</v>
      </c>
      <c r="T788" s="356">
        <v>0</v>
      </c>
      <c r="U788" s="240">
        <v>0</v>
      </c>
      <c r="V788" s="240">
        <v>0</v>
      </c>
      <c r="W788" s="356"/>
      <c r="X788" s="797">
        <v>1</v>
      </c>
      <c r="Y788" s="240">
        <v>1</v>
      </c>
      <c r="Z788" s="139"/>
    </row>
    <row r="789" spans="1:26" hidden="1" x14ac:dyDescent="0.2">
      <c r="A789" s="348" t="s">
        <v>2814</v>
      </c>
      <c r="B789" s="348"/>
      <c r="C789" s="347" t="s">
        <v>2343</v>
      </c>
      <c r="D789" s="348" t="s">
        <v>2351</v>
      </c>
      <c r="E789" s="240">
        <v>0</v>
      </c>
      <c r="F789" s="240">
        <v>0</v>
      </c>
      <c r="G789" s="240">
        <v>0</v>
      </c>
      <c r="H789" s="240">
        <v>0</v>
      </c>
      <c r="I789" s="240">
        <v>0</v>
      </c>
      <c r="J789" s="240">
        <v>0</v>
      </c>
      <c r="K789" s="240">
        <v>0</v>
      </c>
      <c r="L789" s="240">
        <v>0</v>
      </c>
      <c r="M789" s="240">
        <v>0</v>
      </c>
      <c r="N789" s="240">
        <v>0</v>
      </c>
      <c r="O789" s="240">
        <v>0</v>
      </c>
      <c r="P789" s="240">
        <v>0</v>
      </c>
      <c r="Q789" s="240">
        <v>0</v>
      </c>
      <c r="R789" s="240">
        <v>0</v>
      </c>
      <c r="S789" s="240">
        <v>0</v>
      </c>
      <c r="T789" s="356">
        <v>0</v>
      </c>
      <c r="U789" s="240">
        <v>0</v>
      </c>
      <c r="V789" s="240">
        <v>0</v>
      </c>
      <c r="W789" s="356"/>
      <c r="X789" s="797">
        <v>1</v>
      </c>
      <c r="Y789" s="240">
        <v>1</v>
      </c>
      <c r="Z789" s="139"/>
    </row>
    <row r="790" spans="1:26" hidden="1" x14ac:dyDescent="0.2">
      <c r="A790" s="348" t="s">
        <v>2814</v>
      </c>
      <c r="B790" s="348"/>
      <c r="C790" s="347" t="s">
        <v>2344</v>
      </c>
      <c r="D790" s="348" t="s">
        <v>2352</v>
      </c>
      <c r="E790" s="240">
        <v>0</v>
      </c>
      <c r="F790" s="240">
        <v>0</v>
      </c>
      <c r="G790" s="240">
        <v>0</v>
      </c>
      <c r="H790" s="240">
        <v>0</v>
      </c>
      <c r="I790" s="240">
        <v>0</v>
      </c>
      <c r="J790" s="240">
        <v>0</v>
      </c>
      <c r="K790" s="240">
        <v>0</v>
      </c>
      <c r="L790" s="240">
        <v>0</v>
      </c>
      <c r="M790" s="240">
        <v>0</v>
      </c>
      <c r="N790" s="240">
        <v>0</v>
      </c>
      <c r="O790" s="240">
        <v>0</v>
      </c>
      <c r="P790" s="240">
        <v>0</v>
      </c>
      <c r="Q790" s="240">
        <v>0</v>
      </c>
      <c r="R790" s="240">
        <v>0</v>
      </c>
      <c r="S790" s="240">
        <v>0</v>
      </c>
      <c r="T790" s="356">
        <v>0</v>
      </c>
      <c r="U790" s="240">
        <v>0</v>
      </c>
      <c r="V790" s="240">
        <v>0</v>
      </c>
      <c r="W790" s="356"/>
      <c r="X790" s="797">
        <v>1</v>
      </c>
      <c r="Y790" s="240">
        <v>1</v>
      </c>
      <c r="Z790" s="139"/>
    </row>
    <row r="791" spans="1:26" hidden="1" x14ac:dyDescent="0.2">
      <c r="A791" s="348" t="s">
        <v>2814</v>
      </c>
      <c r="B791" s="348"/>
      <c r="C791" s="347" t="s">
        <v>2928</v>
      </c>
      <c r="D791" s="348" t="s">
        <v>2756</v>
      </c>
      <c r="E791" s="240">
        <v>0</v>
      </c>
      <c r="F791" s="240">
        <v>0</v>
      </c>
      <c r="G791" s="240">
        <v>0</v>
      </c>
      <c r="H791" s="240">
        <v>0</v>
      </c>
      <c r="I791" s="240">
        <v>0</v>
      </c>
      <c r="J791" s="240">
        <v>0</v>
      </c>
      <c r="K791" s="240">
        <v>0</v>
      </c>
      <c r="L791" s="240">
        <v>0</v>
      </c>
      <c r="M791" s="240">
        <v>0</v>
      </c>
      <c r="N791" s="240">
        <v>0</v>
      </c>
      <c r="O791" s="240">
        <v>0</v>
      </c>
      <c r="P791" s="240">
        <v>0</v>
      </c>
      <c r="Q791" s="240">
        <v>0</v>
      </c>
      <c r="R791" s="240">
        <v>0</v>
      </c>
      <c r="S791" s="240">
        <v>0</v>
      </c>
      <c r="T791" s="240">
        <v>0</v>
      </c>
      <c r="U791" s="240">
        <v>0</v>
      </c>
      <c r="V791" s="240">
        <v>0</v>
      </c>
      <c r="W791" s="240">
        <v>1</v>
      </c>
      <c r="X791" s="240"/>
      <c r="Y791" s="236">
        <v>1</v>
      </c>
      <c r="Z791" s="139"/>
    </row>
    <row r="792" spans="1:26" hidden="1" x14ac:dyDescent="0.2">
      <c r="A792" s="348" t="s">
        <v>2814</v>
      </c>
      <c r="B792" s="348"/>
      <c r="C792" s="347" t="s">
        <v>2929</v>
      </c>
      <c r="D792" s="348" t="s">
        <v>2757</v>
      </c>
      <c r="E792" s="240">
        <v>0</v>
      </c>
      <c r="F792" s="240">
        <v>0</v>
      </c>
      <c r="G792" s="240">
        <v>0</v>
      </c>
      <c r="H792" s="240">
        <v>0</v>
      </c>
      <c r="I792" s="240">
        <v>0</v>
      </c>
      <c r="J792" s="240">
        <v>0</v>
      </c>
      <c r="K792" s="240">
        <v>0</v>
      </c>
      <c r="L792" s="240">
        <v>0</v>
      </c>
      <c r="M792" s="240">
        <v>0</v>
      </c>
      <c r="N792" s="240">
        <v>0</v>
      </c>
      <c r="O792" s="240">
        <v>0</v>
      </c>
      <c r="P792" s="240">
        <v>0</v>
      </c>
      <c r="Q792" s="240">
        <v>0</v>
      </c>
      <c r="R792" s="240">
        <v>0</v>
      </c>
      <c r="S792" s="240">
        <v>0</v>
      </c>
      <c r="T792" s="240">
        <v>0</v>
      </c>
      <c r="U792" s="240">
        <v>0</v>
      </c>
      <c r="V792" s="240">
        <v>0</v>
      </c>
      <c r="W792" s="240">
        <v>1</v>
      </c>
      <c r="X792" s="240"/>
      <c r="Y792" s="236">
        <v>1</v>
      </c>
      <c r="Z792" s="139"/>
    </row>
    <row r="793" spans="1:26" hidden="1" x14ac:dyDescent="0.2">
      <c r="A793" s="348" t="s">
        <v>2814</v>
      </c>
      <c r="B793" s="348"/>
      <c r="C793" s="347" t="s">
        <v>2930</v>
      </c>
      <c r="D793" s="348" t="s">
        <v>2758</v>
      </c>
      <c r="E793" s="240">
        <v>0</v>
      </c>
      <c r="F793" s="240">
        <v>0</v>
      </c>
      <c r="G793" s="240">
        <v>0</v>
      </c>
      <c r="H793" s="240">
        <v>0</v>
      </c>
      <c r="I793" s="240">
        <v>0</v>
      </c>
      <c r="J793" s="240">
        <v>0</v>
      </c>
      <c r="K793" s="240">
        <v>0</v>
      </c>
      <c r="L793" s="240">
        <v>0</v>
      </c>
      <c r="M793" s="240">
        <v>0</v>
      </c>
      <c r="N793" s="240">
        <v>0</v>
      </c>
      <c r="O793" s="240">
        <v>0</v>
      </c>
      <c r="P793" s="240">
        <v>0</v>
      </c>
      <c r="Q793" s="240">
        <v>0</v>
      </c>
      <c r="R793" s="240">
        <v>0</v>
      </c>
      <c r="S793" s="240">
        <v>0</v>
      </c>
      <c r="T793" s="240">
        <v>0</v>
      </c>
      <c r="U793" s="240">
        <v>0</v>
      </c>
      <c r="V793" s="240">
        <v>0</v>
      </c>
      <c r="W793" s="240">
        <v>1</v>
      </c>
      <c r="X793" s="240"/>
      <c r="Y793" s="236">
        <v>1</v>
      </c>
      <c r="Z793" s="139"/>
    </row>
    <row r="794" spans="1:26" hidden="1" x14ac:dyDescent="0.2">
      <c r="A794" s="348" t="s">
        <v>2814</v>
      </c>
      <c r="B794" s="348"/>
      <c r="C794" s="347" t="s">
        <v>2931</v>
      </c>
      <c r="D794" s="348" t="s">
        <v>2759</v>
      </c>
      <c r="E794" s="240">
        <v>0</v>
      </c>
      <c r="F794" s="240">
        <v>0</v>
      </c>
      <c r="G794" s="240">
        <v>0</v>
      </c>
      <c r="H794" s="240">
        <v>0</v>
      </c>
      <c r="I794" s="240">
        <v>0</v>
      </c>
      <c r="J794" s="240">
        <v>0</v>
      </c>
      <c r="K794" s="240">
        <v>0</v>
      </c>
      <c r="L794" s="240">
        <v>0</v>
      </c>
      <c r="M794" s="240">
        <v>0</v>
      </c>
      <c r="N794" s="240">
        <v>0</v>
      </c>
      <c r="O794" s="240">
        <v>0</v>
      </c>
      <c r="P794" s="240">
        <v>0</v>
      </c>
      <c r="Q794" s="240">
        <v>0</v>
      </c>
      <c r="R794" s="240">
        <v>0</v>
      </c>
      <c r="S794" s="240">
        <v>0</v>
      </c>
      <c r="T794" s="240">
        <v>0</v>
      </c>
      <c r="U794" s="240">
        <v>0</v>
      </c>
      <c r="V794" s="240">
        <v>0</v>
      </c>
      <c r="W794" s="240">
        <v>1</v>
      </c>
      <c r="X794" s="240"/>
      <c r="Y794" s="236">
        <v>1</v>
      </c>
      <c r="Z794" s="139"/>
    </row>
    <row r="795" spans="1:26" hidden="1" x14ac:dyDescent="0.2">
      <c r="A795" s="348" t="s">
        <v>2814</v>
      </c>
      <c r="B795" s="348"/>
      <c r="C795" s="347" t="s">
        <v>2932</v>
      </c>
      <c r="D795" s="348" t="s">
        <v>2760</v>
      </c>
      <c r="E795" s="240">
        <v>0</v>
      </c>
      <c r="F795" s="240">
        <v>0</v>
      </c>
      <c r="G795" s="240">
        <v>0</v>
      </c>
      <c r="H795" s="240">
        <v>0</v>
      </c>
      <c r="I795" s="240">
        <v>0</v>
      </c>
      <c r="J795" s="240">
        <v>0</v>
      </c>
      <c r="K795" s="240">
        <v>0</v>
      </c>
      <c r="L795" s="240">
        <v>0</v>
      </c>
      <c r="M795" s="240">
        <v>0</v>
      </c>
      <c r="N795" s="240">
        <v>0</v>
      </c>
      <c r="O795" s="240">
        <v>0</v>
      </c>
      <c r="P795" s="240">
        <v>0</v>
      </c>
      <c r="Q795" s="240">
        <v>0</v>
      </c>
      <c r="R795" s="240">
        <v>0</v>
      </c>
      <c r="S795" s="240">
        <v>0</v>
      </c>
      <c r="T795" s="240">
        <v>0</v>
      </c>
      <c r="U795" s="240">
        <v>0</v>
      </c>
      <c r="V795" s="240">
        <v>0</v>
      </c>
      <c r="W795" s="240">
        <v>1</v>
      </c>
      <c r="X795" s="240"/>
      <c r="Y795" s="236">
        <v>1</v>
      </c>
      <c r="Z795" s="139"/>
    </row>
    <row r="796" spans="1:26" hidden="1" x14ac:dyDescent="0.2">
      <c r="A796" s="348" t="s">
        <v>2814</v>
      </c>
      <c r="B796" s="348"/>
      <c r="C796" s="347" t="s">
        <v>2933</v>
      </c>
      <c r="D796" s="348" t="s">
        <v>2761</v>
      </c>
      <c r="E796" s="240">
        <v>0</v>
      </c>
      <c r="F796" s="240">
        <v>0</v>
      </c>
      <c r="G796" s="240">
        <v>0</v>
      </c>
      <c r="H796" s="240">
        <v>0</v>
      </c>
      <c r="I796" s="240">
        <v>0</v>
      </c>
      <c r="J796" s="240">
        <v>0</v>
      </c>
      <c r="K796" s="240">
        <v>0</v>
      </c>
      <c r="L796" s="240">
        <v>0</v>
      </c>
      <c r="M796" s="240">
        <v>0</v>
      </c>
      <c r="N796" s="240">
        <v>0</v>
      </c>
      <c r="O796" s="240">
        <v>0</v>
      </c>
      <c r="P796" s="240">
        <v>0</v>
      </c>
      <c r="Q796" s="240">
        <v>0</v>
      </c>
      <c r="R796" s="240">
        <v>0</v>
      </c>
      <c r="S796" s="240">
        <v>0</v>
      </c>
      <c r="T796" s="240">
        <v>0</v>
      </c>
      <c r="U796" s="240">
        <v>0</v>
      </c>
      <c r="V796" s="240">
        <v>0</v>
      </c>
      <c r="W796" s="240">
        <v>1</v>
      </c>
      <c r="X796" s="240"/>
      <c r="Y796" s="236">
        <v>1</v>
      </c>
      <c r="Z796" s="139"/>
    </row>
    <row r="797" spans="1:26" hidden="1" x14ac:dyDescent="0.2">
      <c r="A797" s="348" t="s">
        <v>2814</v>
      </c>
      <c r="B797" s="348"/>
      <c r="C797" s="347" t="s">
        <v>2934</v>
      </c>
      <c r="D797" s="348" t="s">
        <v>2762</v>
      </c>
      <c r="E797" s="240">
        <v>0</v>
      </c>
      <c r="F797" s="240">
        <v>0</v>
      </c>
      <c r="G797" s="240">
        <v>0</v>
      </c>
      <c r="H797" s="240">
        <v>0</v>
      </c>
      <c r="I797" s="240">
        <v>0</v>
      </c>
      <c r="J797" s="240">
        <v>0</v>
      </c>
      <c r="K797" s="240">
        <v>0</v>
      </c>
      <c r="L797" s="240">
        <v>0</v>
      </c>
      <c r="M797" s="240">
        <v>0</v>
      </c>
      <c r="N797" s="240">
        <v>0</v>
      </c>
      <c r="O797" s="240">
        <v>0</v>
      </c>
      <c r="P797" s="240">
        <v>0</v>
      </c>
      <c r="Q797" s="240">
        <v>0</v>
      </c>
      <c r="R797" s="240">
        <v>0</v>
      </c>
      <c r="S797" s="240">
        <v>0</v>
      </c>
      <c r="T797" s="240">
        <v>0</v>
      </c>
      <c r="U797" s="240">
        <v>0</v>
      </c>
      <c r="V797" s="240">
        <v>0</v>
      </c>
      <c r="W797" s="240">
        <v>1</v>
      </c>
      <c r="X797" s="240"/>
      <c r="Y797" s="236">
        <v>1</v>
      </c>
      <c r="Z797" s="139"/>
    </row>
    <row r="798" spans="1:26" hidden="1" x14ac:dyDescent="0.2">
      <c r="A798" s="348" t="s">
        <v>2814</v>
      </c>
      <c r="B798" s="348"/>
      <c r="C798" s="347" t="s">
        <v>2935</v>
      </c>
      <c r="D798" s="348" t="s">
        <v>2763</v>
      </c>
      <c r="E798" s="240">
        <v>0</v>
      </c>
      <c r="F798" s="240">
        <v>0</v>
      </c>
      <c r="G798" s="240">
        <v>0</v>
      </c>
      <c r="H798" s="240">
        <v>0</v>
      </c>
      <c r="I798" s="240">
        <v>0</v>
      </c>
      <c r="J798" s="240">
        <v>0</v>
      </c>
      <c r="K798" s="240">
        <v>0</v>
      </c>
      <c r="L798" s="240">
        <v>0</v>
      </c>
      <c r="M798" s="240">
        <v>0</v>
      </c>
      <c r="N798" s="240">
        <v>0</v>
      </c>
      <c r="O798" s="240">
        <v>0</v>
      </c>
      <c r="P798" s="240">
        <v>0</v>
      </c>
      <c r="Q798" s="240">
        <v>0</v>
      </c>
      <c r="R798" s="240">
        <v>0</v>
      </c>
      <c r="S798" s="240">
        <v>0</v>
      </c>
      <c r="T798" s="240">
        <v>0</v>
      </c>
      <c r="U798" s="240">
        <v>0</v>
      </c>
      <c r="V798" s="240">
        <v>0</v>
      </c>
      <c r="W798" s="240">
        <v>1</v>
      </c>
      <c r="X798" s="240"/>
      <c r="Y798" s="236">
        <v>1</v>
      </c>
      <c r="Z798" s="139"/>
    </row>
    <row r="799" spans="1:26" hidden="1" x14ac:dyDescent="0.2">
      <c r="A799" s="348" t="s">
        <v>2814</v>
      </c>
      <c r="B799" s="348"/>
      <c r="C799" s="347" t="s">
        <v>2936</v>
      </c>
      <c r="D799" s="348" t="s">
        <v>2764</v>
      </c>
      <c r="E799" s="240">
        <v>0</v>
      </c>
      <c r="F799" s="240">
        <v>0</v>
      </c>
      <c r="G799" s="240">
        <v>0</v>
      </c>
      <c r="H799" s="240">
        <v>0</v>
      </c>
      <c r="I799" s="240">
        <v>0</v>
      </c>
      <c r="J799" s="240">
        <v>0</v>
      </c>
      <c r="K799" s="240">
        <v>0</v>
      </c>
      <c r="L799" s="240">
        <v>0</v>
      </c>
      <c r="M799" s="240">
        <v>0</v>
      </c>
      <c r="N799" s="240">
        <v>0</v>
      </c>
      <c r="O799" s="240">
        <v>0</v>
      </c>
      <c r="P799" s="240">
        <v>0</v>
      </c>
      <c r="Q799" s="240">
        <v>0</v>
      </c>
      <c r="R799" s="240">
        <v>0</v>
      </c>
      <c r="S799" s="240">
        <v>0</v>
      </c>
      <c r="T799" s="240">
        <v>0</v>
      </c>
      <c r="U799" s="240">
        <v>0</v>
      </c>
      <c r="V799" s="240">
        <v>0</v>
      </c>
      <c r="W799" s="240">
        <v>1</v>
      </c>
      <c r="X799" s="240"/>
      <c r="Y799" s="236">
        <v>1</v>
      </c>
      <c r="Z799" s="139"/>
    </row>
    <row r="800" spans="1:26" hidden="1" x14ac:dyDescent="0.2">
      <c r="A800" s="348" t="s">
        <v>2814</v>
      </c>
      <c r="B800" s="348"/>
      <c r="C800" s="347" t="s">
        <v>2937</v>
      </c>
      <c r="D800" s="348" t="s">
        <v>2765</v>
      </c>
      <c r="E800" s="240">
        <v>0</v>
      </c>
      <c r="F800" s="240">
        <v>0</v>
      </c>
      <c r="G800" s="240">
        <v>0</v>
      </c>
      <c r="H800" s="240">
        <v>0</v>
      </c>
      <c r="I800" s="240">
        <v>0</v>
      </c>
      <c r="J800" s="240">
        <v>0</v>
      </c>
      <c r="K800" s="240">
        <v>0</v>
      </c>
      <c r="L800" s="240">
        <v>0</v>
      </c>
      <c r="M800" s="240">
        <v>0</v>
      </c>
      <c r="N800" s="240">
        <v>0</v>
      </c>
      <c r="O800" s="240">
        <v>0</v>
      </c>
      <c r="P800" s="240">
        <v>0</v>
      </c>
      <c r="Q800" s="240">
        <v>0</v>
      </c>
      <c r="R800" s="240">
        <v>0</v>
      </c>
      <c r="S800" s="240">
        <v>0</v>
      </c>
      <c r="T800" s="240">
        <v>0</v>
      </c>
      <c r="U800" s="240">
        <v>0</v>
      </c>
      <c r="V800" s="240">
        <v>0</v>
      </c>
      <c r="W800" s="240">
        <v>1</v>
      </c>
      <c r="X800" s="240"/>
      <c r="Y800" s="236">
        <v>1</v>
      </c>
      <c r="Z800" s="139"/>
    </row>
    <row r="801" spans="1:26" hidden="1" x14ac:dyDescent="0.2">
      <c r="A801" s="348" t="s">
        <v>2814</v>
      </c>
      <c r="B801" s="348"/>
      <c r="C801" s="347" t="s">
        <v>2938</v>
      </c>
      <c r="D801" s="348" t="s">
        <v>2939</v>
      </c>
      <c r="E801" s="240">
        <v>0</v>
      </c>
      <c r="F801" s="240">
        <v>0</v>
      </c>
      <c r="G801" s="240">
        <v>0</v>
      </c>
      <c r="H801" s="240">
        <v>0</v>
      </c>
      <c r="I801" s="240">
        <v>0</v>
      </c>
      <c r="J801" s="240">
        <v>0</v>
      </c>
      <c r="K801" s="240">
        <v>0</v>
      </c>
      <c r="L801" s="240">
        <v>0</v>
      </c>
      <c r="M801" s="240">
        <v>0</v>
      </c>
      <c r="N801" s="240">
        <v>0</v>
      </c>
      <c r="O801" s="240">
        <v>0</v>
      </c>
      <c r="P801" s="240">
        <v>0</v>
      </c>
      <c r="Q801" s="240">
        <v>0</v>
      </c>
      <c r="R801" s="240">
        <v>0</v>
      </c>
      <c r="S801" s="240">
        <v>0</v>
      </c>
      <c r="T801" s="240">
        <v>0</v>
      </c>
      <c r="U801" s="240">
        <v>0</v>
      </c>
      <c r="V801" s="240">
        <v>0</v>
      </c>
      <c r="W801" s="240">
        <v>1</v>
      </c>
      <c r="X801" s="240"/>
      <c r="Y801" s="236">
        <v>1</v>
      </c>
      <c r="Z801" s="139"/>
    </row>
    <row r="802" spans="1:26" hidden="1" x14ac:dyDescent="0.2">
      <c r="A802" s="348" t="s">
        <v>2814</v>
      </c>
      <c r="B802" s="348"/>
      <c r="C802" s="347" t="s">
        <v>2940</v>
      </c>
      <c r="D802" s="348" t="s">
        <v>2766</v>
      </c>
      <c r="E802" s="240">
        <v>0</v>
      </c>
      <c r="F802" s="240">
        <v>0</v>
      </c>
      <c r="G802" s="240">
        <v>0</v>
      </c>
      <c r="H802" s="240">
        <v>0</v>
      </c>
      <c r="I802" s="240">
        <v>0</v>
      </c>
      <c r="J802" s="240">
        <v>0</v>
      </c>
      <c r="K802" s="240">
        <v>0</v>
      </c>
      <c r="L802" s="240">
        <v>0</v>
      </c>
      <c r="M802" s="240">
        <v>0</v>
      </c>
      <c r="N802" s="240">
        <v>0</v>
      </c>
      <c r="O802" s="240">
        <v>0</v>
      </c>
      <c r="P802" s="240">
        <v>0</v>
      </c>
      <c r="Q802" s="240">
        <v>0</v>
      </c>
      <c r="R802" s="240">
        <v>0</v>
      </c>
      <c r="S802" s="240">
        <v>0</v>
      </c>
      <c r="T802" s="240">
        <v>0</v>
      </c>
      <c r="U802" s="240">
        <v>0</v>
      </c>
      <c r="V802" s="240">
        <v>0</v>
      </c>
      <c r="W802" s="240">
        <v>1</v>
      </c>
      <c r="X802" s="240"/>
      <c r="Y802" s="236">
        <v>1</v>
      </c>
      <c r="Z802" s="139"/>
    </row>
    <row r="803" spans="1:26" hidden="1" x14ac:dyDescent="0.2">
      <c r="A803" s="348" t="s">
        <v>2814</v>
      </c>
      <c r="B803" s="348"/>
      <c r="C803" s="347" t="s">
        <v>2941</v>
      </c>
      <c r="D803" s="348" t="s">
        <v>2767</v>
      </c>
      <c r="E803" s="240">
        <v>0</v>
      </c>
      <c r="F803" s="240">
        <v>0</v>
      </c>
      <c r="G803" s="240">
        <v>0</v>
      </c>
      <c r="H803" s="240">
        <v>0</v>
      </c>
      <c r="I803" s="240">
        <v>0</v>
      </c>
      <c r="J803" s="240">
        <v>0</v>
      </c>
      <c r="K803" s="240">
        <v>0</v>
      </c>
      <c r="L803" s="240">
        <v>0</v>
      </c>
      <c r="M803" s="240">
        <v>0</v>
      </c>
      <c r="N803" s="240">
        <v>0</v>
      </c>
      <c r="O803" s="240">
        <v>0</v>
      </c>
      <c r="P803" s="240">
        <v>0</v>
      </c>
      <c r="Q803" s="240">
        <v>0</v>
      </c>
      <c r="R803" s="240">
        <v>0</v>
      </c>
      <c r="S803" s="240">
        <v>0</v>
      </c>
      <c r="T803" s="240">
        <v>0</v>
      </c>
      <c r="U803" s="240">
        <v>0</v>
      </c>
      <c r="V803" s="240">
        <v>0</v>
      </c>
      <c r="W803" s="240">
        <v>1</v>
      </c>
      <c r="X803" s="240"/>
      <c r="Y803" s="236">
        <v>1</v>
      </c>
      <c r="Z803" s="139"/>
    </row>
    <row r="804" spans="1:26" hidden="1" x14ac:dyDescent="0.2">
      <c r="A804" s="348" t="s">
        <v>2814</v>
      </c>
      <c r="B804" s="348"/>
      <c r="C804" s="347" t="s">
        <v>2942</v>
      </c>
      <c r="D804" s="348" t="s">
        <v>2768</v>
      </c>
      <c r="E804" s="240">
        <v>0</v>
      </c>
      <c r="F804" s="240">
        <v>0</v>
      </c>
      <c r="G804" s="240">
        <v>0</v>
      </c>
      <c r="H804" s="240">
        <v>0</v>
      </c>
      <c r="I804" s="240">
        <v>0</v>
      </c>
      <c r="J804" s="240">
        <v>0</v>
      </c>
      <c r="K804" s="240">
        <v>0</v>
      </c>
      <c r="L804" s="240">
        <v>0</v>
      </c>
      <c r="M804" s="240">
        <v>0</v>
      </c>
      <c r="N804" s="240">
        <v>0</v>
      </c>
      <c r="O804" s="240">
        <v>0</v>
      </c>
      <c r="P804" s="240">
        <v>0</v>
      </c>
      <c r="Q804" s="240">
        <v>0</v>
      </c>
      <c r="R804" s="240">
        <v>0</v>
      </c>
      <c r="S804" s="240">
        <v>0</v>
      </c>
      <c r="T804" s="240">
        <v>0</v>
      </c>
      <c r="U804" s="240">
        <v>0</v>
      </c>
      <c r="V804" s="240">
        <v>0</v>
      </c>
      <c r="W804" s="240">
        <v>1</v>
      </c>
      <c r="X804" s="240"/>
      <c r="Y804" s="236">
        <v>1</v>
      </c>
      <c r="Z804" s="139"/>
    </row>
    <row r="805" spans="1:26" hidden="1" x14ac:dyDescent="0.2">
      <c r="A805" s="348" t="s">
        <v>2814</v>
      </c>
      <c r="B805" s="348"/>
      <c r="C805" s="347" t="s">
        <v>2943</v>
      </c>
      <c r="D805" s="348" t="s">
        <v>2769</v>
      </c>
      <c r="E805" s="240">
        <v>0</v>
      </c>
      <c r="F805" s="240">
        <v>0</v>
      </c>
      <c r="G805" s="240">
        <v>0</v>
      </c>
      <c r="H805" s="240">
        <v>0</v>
      </c>
      <c r="I805" s="240">
        <v>0</v>
      </c>
      <c r="J805" s="240">
        <v>0</v>
      </c>
      <c r="K805" s="240">
        <v>0</v>
      </c>
      <c r="L805" s="240">
        <v>0</v>
      </c>
      <c r="M805" s="240">
        <v>0</v>
      </c>
      <c r="N805" s="240">
        <v>0</v>
      </c>
      <c r="O805" s="240">
        <v>0</v>
      </c>
      <c r="P805" s="240">
        <v>0</v>
      </c>
      <c r="Q805" s="240">
        <v>0</v>
      </c>
      <c r="R805" s="240">
        <v>0</v>
      </c>
      <c r="S805" s="240">
        <v>0</v>
      </c>
      <c r="T805" s="240">
        <v>0</v>
      </c>
      <c r="U805" s="240">
        <v>0</v>
      </c>
      <c r="V805" s="240">
        <v>0</v>
      </c>
      <c r="W805" s="240">
        <v>1</v>
      </c>
      <c r="X805" s="240"/>
      <c r="Y805" s="236">
        <v>1</v>
      </c>
      <c r="Z805" s="139"/>
    </row>
    <row r="806" spans="1:26" hidden="1" x14ac:dyDescent="0.2">
      <c r="A806" s="348" t="s">
        <v>2814</v>
      </c>
      <c r="B806" s="348"/>
      <c r="C806" s="347" t="s">
        <v>2944</v>
      </c>
      <c r="D806" s="348" t="s">
        <v>2770</v>
      </c>
      <c r="E806" s="240">
        <v>0</v>
      </c>
      <c r="F806" s="240">
        <v>0</v>
      </c>
      <c r="G806" s="240">
        <v>0</v>
      </c>
      <c r="H806" s="240">
        <v>0</v>
      </c>
      <c r="I806" s="240">
        <v>0</v>
      </c>
      <c r="J806" s="240">
        <v>0</v>
      </c>
      <c r="K806" s="240">
        <v>0</v>
      </c>
      <c r="L806" s="240">
        <v>0</v>
      </c>
      <c r="M806" s="240">
        <v>0</v>
      </c>
      <c r="N806" s="240">
        <v>0</v>
      </c>
      <c r="O806" s="240">
        <v>0</v>
      </c>
      <c r="P806" s="240">
        <v>0</v>
      </c>
      <c r="Q806" s="240">
        <v>0</v>
      </c>
      <c r="R806" s="240">
        <v>0</v>
      </c>
      <c r="S806" s="240">
        <v>0</v>
      </c>
      <c r="T806" s="240">
        <v>0</v>
      </c>
      <c r="U806" s="240">
        <v>0</v>
      </c>
      <c r="V806" s="240">
        <v>0</v>
      </c>
      <c r="W806" s="240">
        <v>1</v>
      </c>
      <c r="X806" s="240"/>
      <c r="Y806" s="236">
        <v>1</v>
      </c>
      <c r="Z806" s="139"/>
    </row>
    <row r="807" spans="1:26" hidden="1" x14ac:dyDescent="0.2">
      <c r="A807" s="348" t="s">
        <v>2814</v>
      </c>
      <c r="B807" s="348"/>
      <c r="C807" s="347" t="s">
        <v>2945</v>
      </c>
      <c r="D807" s="348" t="s">
        <v>2771</v>
      </c>
      <c r="E807" s="240">
        <v>0</v>
      </c>
      <c r="F807" s="240">
        <v>0</v>
      </c>
      <c r="G807" s="240">
        <v>0</v>
      </c>
      <c r="H807" s="240">
        <v>0</v>
      </c>
      <c r="I807" s="240">
        <v>0</v>
      </c>
      <c r="J807" s="240">
        <v>0</v>
      </c>
      <c r="K807" s="240">
        <v>0</v>
      </c>
      <c r="L807" s="240">
        <v>0</v>
      </c>
      <c r="M807" s="240">
        <v>0</v>
      </c>
      <c r="N807" s="240">
        <v>0</v>
      </c>
      <c r="O807" s="240">
        <v>0</v>
      </c>
      <c r="P807" s="240">
        <v>0</v>
      </c>
      <c r="Q807" s="240">
        <v>0</v>
      </c>
      <c r="R807" s="240">
        <v>0</v>
      </c>
      <c r="S807" s="240">
        <v>0</v>
      </c>
      <c r="T807" s="240">
        <v>0</v>
      </c>
      <c r="U807" s="240">
        <v>0</v>
      </c>
      <c r="V807" s="240">
        <v>0</v>
      </c>
      <c r="W807" s="240">
        <v>1</v>
      </c>
      <c r="X807" s="240"/>
      <c r="Y807" s="236">
        <v>1</v>
      </c>
      <c r="Z807" s="139"/>
    </row>
    <row r="808" spans="1:26" hidden="1" x14ac:dyDescent="0.2">
      <c r="A808" s="348" t="s">
        <v>2814</v>
      </c>
      <c r="B808" s="348"/>
      <c r="C808" s="347" t="s">
        <v>2629</v>
      </c>
      <c r="D808" s="348" t="s">
        <v>2609</v>
      </c>
      <c r="E808" s="240">
        <v>0</v>
      </c>
      <c r="F808" s="240">
        <v>0</v>
      </c>
      <c r="G808" s="240">
        <v>0</v>
      </c>
      <c r="H808" s="240">
        <v>0</v>
      </c>
      <c r="I808" s="240">
        <v>0</v>
      </c>
      <c r="J808" s="240">
        <v>0</v>
      </c>
      <c r="K808" s="240">
        <v>0</v>
      </c>
      <c r="L808" s="240">
        <v>0</v>
      </c>
      <c r="M808" s="240">
        <v>0</v>
      </c>
      <c r="N808" s="240">
        <v>6.5811489124372541E-2</v>
      </c>
      <c r="O808" s="240">
        <v>0</v>
      </c>
      <c r="P808" s="240">
        <v>0</v>
      </c>
      <c r="Q808" s="240">
        <v>0</v>
      </c>
      <c r="R808" s="240">
        <v>0</v>
      </c>
      <c r="S808" s="240">
        <v>0.86447295036252081</v>
      </c>
      <c r="T808" s="240">
        <v>0</v>
      </c>
      <c r="U808" s="240">
        <v>6.9715560513106511E-2</v>
      </c>
      <c r="V808" s="240">
        <v>0</v>
      </c>
      <c r="W808" s="240">
        <v>0</v>
      </c>
      <c r="X808" s="240"/>
      <c r="Y808" s="236">
        <v>0.99999999999999978</v>
      </c>
      <c r="Z808" s="139"/>
    </row>
    <row r="809" spans="1:26" hidden="1" x14ac:dyDescent="0.2">
      <c r="A809" s="348" t="s">
        <v>2814</v>
      </c>
      <c r="B809" s="348"/>
      <c r="C809" s="347" t="s">
        <v>2946</v>
      </c>
      <c r="D809" s="348" t="s">
        <v>2636</v>
      </c>
      <c r="E809" s="240">
        <v>0</v>
      </c>
      <c r="F809" s="240">
        <v>0</v>
      </c>
      <c r="G809" s="240">
        <v>0.24508567389371105</v>
      </c>
      <c r="H809" s="240">
        <v>0</v>
      </c>
      <c r="I809" s="240">
        <v>0</v>
      </c>
      <c r="J809" s="240">
        <v>0</v>
      </c>
      <c r="K809" s="240">
        <v>0</v>
      </c>
      <c r="L809" s="240">
        <v>0</v>
      </c>
      <c r="M809" s="240">
        <v>0</v>
      </c>
      <c r="N809" s="240">
        <v>0</v>
      </c>
      <c r="O809" s="240">
        <v>0</v>
      </c>
      <c r="P809" s="240">
        <v>0</v>
      </c>
      <c r="Q809" s="240">
        <v>0</v>
      </c>
      <c r="R809" s="240">
        <v>0</v>
      </c>
      <c r="S809" s="240">
        <v>0.75491432610628895</v>
      </c>
      <c r="T809" s="240">
        <v>0</v>
      </c>
      <c r="U809" s="240">
        <v>0</v>
      </c>
      <c r="V809" s="240">
        <v>0</v>
      </c>
      <c r="W809" s="240">
        <v>0</v>
      </c>
      <c r="X809" s="240"/>
      <c r="Y809" s="236">
        <v>1</v>
      </c>
      <c r="Z809" s="139"/>
    </row>
    <row r="810" spans="1:26" ht="13.5" hidden="1" thickBot="1" x14ac:dyDescent="0.25">
      <c r="A810" s="348" t="s">
        <v>2814</v>
      </c>
      <c r="B810" s="348"/>
      <c r="C810" s="347" t="s">
        <v>2947</v>
      </c>
      <c r="D810" s="348" t="s">
        <v>2948</v>
      </c>
      <c r="E810" s="240">
        <v>0</v>
      </c>
      <c r="F810" s="240">
        <v>0</v>
      </c>
      <c r="G810" s="240">
        <v>0</v>
      </c>
      <c r="H810" s="367">
        <v>0</v>
      </c>
      <c r="I810" s="240">
        <v>0</v>
      </c>
      <c r="J810" s="240">
        <v>0</v>
      </c>
      <c r="K810" s="240">
        <v>0</v>
      </c>
      <c r="L810" s="240">
        <v>0</v>
      </c>
      <c r="M810" s="240">
        <v>0</v>
      </c>
      <c r="N810" s="240">
        <v>0</v>
      </c>
      <c r="O810" s="240">
        <v>0</v>
      </c>
      <c r="P810" s="240">
        <v>0</v>
      </c>
      <c r="Q810" s="240">
        <v>0</v>
      </c>
      <c r="R810" s="240">
        <v>0</v>
      </c>
      <c r="S810" s="367">
        <v>1</v>
      </c>
      <c r="T810" s="240">
        <v>0</v>
      </c>
      <c r="U810" s="240">
        <v>0</v>
      </c>
      <c r="V810" s="240">
        <v>0</v>
      </c>
      <c r="W810" s="240">
        <v>0</v>
      </c>
      <c r="X810" s="240"/>
      <c r="Y810" s="236">
        <v>1</v>
      </c>
      <c r="Z810" s="139"/>
    </row>
    <row r="811" spans="1:26" hidden="1" x14ac:dyDescent="0.2">
      <c r="A811" s="348" t="s">
        <v>2814</v>
      </c>
      <c r="B811" s="348"/>
      <c r="C811" s="347" t="s">
        <v>2949</v>
      </c>
      <c r="D811" s="348" t="s">
        <v>2950</v>
      </c>
      <c r="E811" s="240">
        <v>0</v>
      </c>
      <c r="F811" s="240">
        <v>0</v>
      </c>
      <c r="G811" s="240">
        <v>0</v>
      </c>
      <c r="H811" s="240">
        <v>0</v>
      </c>
      <c r="I811" s="240">
        <v>0</v>
      </c>
      <c r="J811" s="240">
        <v>0</v>
      </c>
      <c r="K811" s="240">
        <v>0</v>
      </c>
      <c r="L811" s="240">
        <v>0</v>
      </c>
      <c r="M811" s="240">
        <v>0</v>
      </c>
      <c r="N811" s="240">
        <v>0</v>
      </c>
      <c r="O811" s="240">
        <v>2.0010261672329239E-2</v>
      </c>
      <c r="P811" s="240">
        <v>0.97998973832767078</v>
      </c>
      <c r="Q811" s="240">
        <v>0</v>
      </c>
      <c r="R811" s="240">
        <v>0</v>
      </c>
      <c r="S811" s="240">
        <v>0</v>
      </c>
      <c r="T811" s="240">
        <v>0</v>
      </c>
      <c r="U811" s="240">
        <v>0</v>
      </c>
      <c r="V811" s="240">
        <v>0</v>
      </c>
      <c r="W811" s="240">
        <v>0</v>
      </c>
      <c r="X811" s="240"/>
      <c r="Y811" s="236">
        <v>1</v>
      </c>
      <c r="Z811" s="139"/>
    </row>
    <row r="812" spans="1:26" ht="13.5" hidden="1" thickBot="1" x14ac:dyDescent="0.25">
      <c r="A812" s="348" t="s">
        <v>2814</v>
      </c>
      <c r="B812" s="348"/>
      <c r="C812" s="347" t="s">
        <v>2951</v>
      </c>
      <c r="D812" s="348" t="s">
        <v>2952</v>
      </c>
      <c r="E812" s="240">
        <v>0</v>
      </c>
      <c r="F812" s="240">
        <v>0</v>
      </c>
      <c r="G812" s="240">
        <v>0</v>
      </c>
      <c r="H812" s="240">
        <v>0</v>
      </c>
      <c r="I812" s="240">
        <v>0</v>
      </c>
      <c r="J812" s="240">
        <v>0</v>
      </c>
      <c r="K812" s="240">
        <v>0</v>
      </c>
      <c r="L812" s="367">
        <v>1</v>
      </c>
      <c r="M812" s="368">
        <v>0</v>
      </c>
      <c r="N812" s="240">
        <v>0</v>
      </c>
      <c r="O812" s="369">
        <v>0</v>
      </c>
      <c r="P812" s="367">
        <v>0</v>
      </c>
      <c r="Q812" s="240">
        <v>0</v>
      </c>
      <c r="R812" s="240">
        <v>0</v>
      </c>
      <c r="S812" s="240">
        <v>0</v>
      </c>
      <c r="T812" s="240">
        <v>0</v>
      </c>
      <c r="U812" s="240">
        <v>0</v>
      </c>
      <c r="V812" s="240">
        <v>0</v>
      </c>
      <c r="W812" s="240">
        <v>0</v>
      </c>
      <c r="X812" s="240"/>
      <c r="Y812" s="236">
        <v>1</v>
      </c>
      <c r="Z812" s="139"/>
    </row>
    <row r="813" spans="1:26" hidden="1" x14ac:dyDescent="0.2">
      <c r="A813" s="348" t="s">
        <v>2814</v>
      </c>
      <c r="B813" s="348"/>
      <c r="C813" s="347" t="s">
        <v>2953</v>
      </c>
      <c r="D813" s="348" t="s">
        <v>2954</v>
      </c>
      <c r="E813" s="240">
        <v>0</v>
      </c>
      <c r="F813" s="240">
        <v>0</v>
      </c>
      <c r="G813" s="240">
        <v>9.8997133515637617E-3</v>
      </c>
      <c r="H813" s="240">
        <v>0</v>
      </c>
      <c r="I813" s="240">
        <v>0</v>
      </c>
      <c r="J813" s="240">
        <v>0</v>
      </c>
      <c r="K813" s="240">
        <v>0</v>
      </c>
      <c r="L813" s="240">
        <v>0</v>
      </c>
      <c r="M813" s="240">
        <v>0</v>
      </c>
      <c r="N813" s="240">
        <v>0.79697883928314239</v>
      </c>
      <c r="O813" s="240">
        <v>0</v>
      </c>
      <c r="P813" s="240">
        <v>0.1331291827838956</v>
      </c>
      <c r="Q813" s="240">
        <v>0</v>
      </c>
      <c r="R813" s="240">
        <v>0</v>
      </c>
      <c r="S813" s="240">
        <v>5.0092551223795675E-2</v>
      </c>
      <c r="T813" s="240">
        <v>6.5998089050683913E-3</v>
      </c>
      <c r="U813" s="240">
        <v>3.2999044525341965E-3</v>
      </c>
      <c r="V813" s="240">
        <v>0</v>
      </c>
      <c r="W813" s="240">
        <v>0</v>
      </c>
      <c r="X813" s="240"/>
      <c r="Y813" s="236">
        <v>1</v>
      </c>
      <c r="Z813" s="139"/>
    </row>
    <row r="814" spans="1:26" hidden="1" x14ac:dyDescent="0.2">
      <c r="A814" s="348" t="s">
        <v>2814</v>
      </c>
      <c r="B814" s="348"/>
      <c r="C814" s="347" t="s">
        <v>2955</v>
      </c>
      <c r="D814" s="348" t="s">
        <v>2956</v>
      </c>
      <c r="E814" s="240">
        <v>0</v>
      </c>
      <c r="F814" s="240">
        <v>0</v>
      </c>
      <c r="G814" s="240">
        <v>9.89971335156376E-3</v>
      </c>
      <c r="H814" s="240">
        <v>0</v>
      </c>
      <c r="I814" s="240">
        <v>0</v>
      </c>
      <c r="J814" s="240">
        <v>0</v>
      </c>
      <c r="K814" s="240">
        <v>0</v>
      </c>
      <c r="L814" s="240">
        <v>0</v>
      </c>
      <c r="M814" s="240">
        <v>0</v>
      </c>
      <c r="N814" s="240">
        <v>0.79697883928314239</v>
      </c>
      <c r="O814" s="240">
        <v>0</v>
      </c>
      <c r="P814" s="240">
        <v>0.13312918278389554</v>
      </c>
      <c r="Q814" s="240">
        <v>0</v>
      </c>
      <c r="R814" s="240">
        <v>0</v>
      </c>
      <c r="S814" s="240">
        <v>5.0092551223795655E-2</v>
      </c>
      <c r="T814" s="240">
        <v>6.5998089050683922E-3</v>
      </c>
      <c r="U814" s="240">
        <v>3.2999044525341961E-3</v>
      </c>
      <c r="V814" s="240">
        <v>0</v>
      </c>
      <c r="W814" s="240">
        <v>0</v>
      </c>
      <c r="X814" s="240"/>
      <c r="Y814" s="236">
        <v>0.99999999999999989</v>
      </c>
      <c r="Z814" s="139"/>
    </row>
    <row r="815" spans="1:26" hidden="1" x14ac:dyDescent="0.2">
      <c r="A815" s="348" t="s">
        <v>2814</v>
      </c>
      <c r="B815" s="348"/>
      <c r="C815" s="801" t="s">
        <v>2621</v>
      </c>
      <c r="D815" s="802" t="s">
        <v>2622</v>
      </c>
      <c r="E815" s="240">
        <v>0</v>
      </c>
      <c r="F815" s="808">
        <v>0.99946898641471948</v>
      </c>
      <c r="G815" s="808">
        <v>5.3101358528050353E-4</v>
      </c>
      <c r="H815" s="240">
        <v>0</v>
      </c>
      <c r="I815" s="240">
        <v>0</v>
      </c>
      <c r="J815" s="240">
        <v>0</v>
      </c>
      <c r="K815" s="240">
        <v>0</v>
      </c>
      <c r="L815" s="240">
        <v>0</v>
      </c>
      <c r="M815" s="240">
        <v>0</v>
      </c>
      <c r="N815" s="240">
        <v>0</v>
      </c>
      <c r="O815" s="240">
        <v>0</v>
      </c>
      <c r="P815" s="240">
        <v>0</v>
      </c>
      <c r="Q815" s="240">
        <v>0</v>
      </c>
      <c r="R815" s="240">
        <v>0</v>
      </c>
      <c r="S815" s="240">
        <v>0</v>
      </c>
      <c r="T815" s="240">
        <v>0</v>
      </c>
      <c r="U815" s="240">
        <v>0</v>
      </c>
      <c r="V815" s="240">
        <v>0</v>
      </c>
      <c r="W815" s="240">
        <v>0</v>
      </c>
      <c r="X815" s="240"/>
      <c r="Y815" s="236">
        <v>1</v>
      </c>
      <c r="Z815" s="139"/>
    </row>
    <row r="816" spans="1:26" hidden="1" x14ac:dyDescent="0.2">
      <c r="A816" s="348" t="s">
        <v>2814</v>
      </c>
      <c r="B816" s="348"/>
      <c r="C816" s="347" t="s">
        <v>2623</v>
      </c>
      <c r="D816" s="348" t="s">
        <v>2624</v>
      </c>
      <c r="E816" s="240">
        <v>0</v>
      </c>
      <c r="F816" s="240">
        <v>0.99960425137311892</v>
      </c>
      <c r="G816" s="240">
        <v>3.9574862688107143E-4</v>
      </c>
      <c r="H816" s="240">
        <v>0</v>
      </c>
      <c r="I816" s="240">
        <v>0</v>
      </c>
      <c r="J816" s="240">
        <v>0</v>
      </c>
      <c r="K816" s="240">
        <v>0</v>
      </c>
      <c r="L816" s="240">
        <v>0</v>
      </c>
      <c r="M816" s="240">
        <v>0</v>
      </c>
      <c r="N816" s="240">
        <v>0</v>
      </c>
      <c r="O816" s="240">
        <v>0</v>
      </c>
      <c r="P816" s="240">
        <v>0</v>
      </c>
      <c r="Q816" s="240">
        <v>0</v>
      </c>
      <c r="R816" s="240">
        <v>0</v>
      </c>
      <c r="S816" s="240">
        <v>0</v>
      </c>
      <c r="T816" s="240">
        <v>0</v>
      </c>
      <c r="U816" s="240">
        <v>0</v>
      </c>
      <c r="V816" s="240">
        <v>0</v>
      </c>
      <c r="W816" s="240">
        <v>0</v>
      </c>
      <c r="X816" s="240"/>
      <c r="Y816" s="236">
        <v>1</v>
      </c>
      <c r="Z816" s="139"/>
    </row>
    <row r="817" spans="1:26" hidden="1" x14ac:dyDescent="0.2">
      <c r="A817" s="348" t="s">
        <v>2814</v>
      </c>
      <c r="B817" s="348"/>
      <c r="C817" s="347" t="s">
        <v>2625</v>
      </c>
      <c r="D817" s="348" t="s">
        <v>2957</v>
      </c>
      <c r="E817" s="240">
        <v>0</v>
      </c>
      <c r="F817" s="240">
        <v>5.373659620884777E-3</v>
      </c>
      <c r="G817" s="240">
        <v>0</v>
      </c>
      <c r="H817" s="240">
        <v>0</v>
      </c>
      <c r="I817" s="240">
        <v>0</v>
      </c>
      <c r="J817" s="240">
        <v>0</v>
      </c>
      <c r="K817" s="240">
        <v>0</v>
      </c>
      <c r="L817" s="240">
        <v>0</v>
      </c>
      <c r="M817" s="240">
        <v>0</v>
      </c>
      <c r="N817" s="240">
        <v>0</v>
      </c>
      <c r="O817" s="240">
        <v>0</v>
      </c>
      <c r="P817" s="240">
        <v>0.99462634037911524</v>
      </c>
      <c r="Q817" s="240">
        <v>0</v>
      </c>
      <c r="R817" s="240">
        <v>0</v>
      </c>
      <c r="S817" s="240">
        <v>0</v>
      </c>
      <c r="T817" s="240">
        <v>0</v>
      </c>
      <c r="U817" s="240">
        <v>0</v>
      </c>
      <c r="V817" s="240">
        <v>0</v>
      </c>
      <c r="W817" s="240">
        <v>0</v>
      </c>
      <c r="X817" s="240"/>
      <c r="Y817" s="236">
        <v>1</v>
      </c>
      <c r="Z817" s="139"/>
    </row>
    <row r="818" spans="1:26" hidden="1" x14ac:dyDescent="0.2">
      <c r="A818" s="348" t="s">
        <v>2814</v>
      </c>
      <c r="B818" s="348"/>
      <c r="C818" s="347" t="s">
        <v>2626</v>
      </c>
      <c r="D818" s="348" t="s">
        <v>2627</v>
      </c>
      <c r="E818" s="240">
        <v>0</v>
      </c>
      <c r="F818" s="240">
        <v>0</v>
      </c>
      <c r="G818" s="240">
        <v>0</v>
      </c>
      <c r="H818" s="240">
        <v>0</v>
      </c>
      <c r="I818" s="240">
        <v>0</v>
      </c>
      <c r="J818" s="240">
        <v>0</v>
      </c>
      <c r="K818" s="240">
        <v>0</v>
      </c>
      <c r="L818" s="240">
        <v>0</v>
      </c>
      <c r="M818" s="240">
        <v>0</v>
      </c>
      <c r="N818" s="240">
        <v>0.94319268711139603</v>
      </c>
      <c r="O818" s="240">
        <v>0</v>
      </c>
      <c r="P818" s="240">
        <v>0</v>
      </c>
      <c r="Q818" s="240">
        <v>0</v>
      </c>
      <c r="R818" s="240">
        <v>0</v>
      </c>
      <c r="S818" s="240">
        <v>0</v>
      </c>
      <c r="T818" s="240">
        <v>0</v>
      </c>
      <c r="U818" s="240">
        <v>5.6807312888603925E-2</v>
      </c>
      <c r="V818" s="240">
        <v>0</v>
      </c>
      <c r="W818" s="240">
        <v>0</v>
      </c>
      <c r="X818" s="240"/>
      <c r="Y818" s="236">
        <v>1</v>
      </c>
      <c r="Z818" s="139"/>
    </row>
    <row r="819" spans="1:26" hidden="1" x14ac:dyDescent="0.2">
      <c r="A819" s="348" t="s">
        <v>2814</v>
      </c>
      <c r="B819" s="348"/>
      <c r="C819" s="347" t="s">
        <v>2708</v>
      </c>
      <c r="D819" s="348" t="s">
        <v>2958</v>
      </c>
      <c r="E819" s="240">
        <v>0</v>
      </c>
      <c r="F819" s="240">
        <v>0</v>
      </c>
      <c r="G819" s="240">
        <v>0</v>
      </c>
      <c r="H819" s="240">
        <v>0</v>
      </c>
      <c r="I819" s="240">
        <v>0</v>
      </c>
      <c r="J819" s="240">
        <v>0</v>
      </c>
      <c r="K819" s="240">
        <v>0</v>
      </c>
      <c r="L819" s="240">
        <v>0</v>
      </c>
      <c r="M819" s="240">
        <v>0</v>
      </c>
      <c r="N819" s="240">
        <v>0.47207511893824683</v>
      </c>
      <c r="O819" s="240">
        <v>0</v>
      </c>
      <c r="P819" s="240">
        <v>0.12548892528977545</v>
      </c>
      <c r="Q819" s="240">
        <v>0</v>
      </c>
      <c r="R819" s="240">
        <v>0</v>
      </c>
      <c r="S819" s="240">
        <v>0.36814717813627323</v>
      </c>
      <c r="T819" s="240">
        <v>3.4288777635704482E-2</v>
      </c>
      <c r="U819" s="240">
        <v>0</v>
      </c>
      <c r="V819" s="240">
        <v>0</v>
      </c>
      <c r="W819" s="240">
        <v>0</v>
      </c>
      <c r="X819" s="240"/>
      <c r="Y819" s="236">
        <v>1</v>
      </c>
      <c r="Z819" s="139"/>
    </row>
    <row r="820" spans="1:26" hidden="1" x14ac:dyDescent="0.2">
      <c r="A820" s="348" t="s">
        <v>2814</v>
      </c>
      <c r="B820" s="348"/>
      <c r="C820" s="347" t="s">
        <v>2959</v>
      </c>
      <c r="D820" s="348" t="s">
        <v>2960</v>
      </c>
      <c r="E820" s="240">
        <v>0</v>
      </c>
      <c r="F820" s="240">
        <v>6.7851500876980109E-2</v>
      </c>
      <c r="G820" s="240">
        <v>0.63058317177229628</v>
      </c>
      <c r="H820" s="240">
        <v>0</v>
      </c>
      <c r="I820" s="240">
        <v>0</v>
      </c>
      <c r="J820" s="240">
        <v>0</v>
      </c>
      <c r="K820" s="240">
        <v>0</v>
      </c>
      <c r="L820" s="240">
        <v>0</v>
      </c>
      <c r="M820" s="240">
        <v>0</v>
      </c>
      <c r="N820" s="240">
        <v>0</v>
      </c>
      <c r="O820" s="240">
        <v>0.30156532735072356</v>
      </c>
      <c r="P820" s="240">
        <v>0</v>
      </c>
      <c r="Q820" s="240">
        <v>0</v>
      </c>
      <c r="R820" s="240">
        <v>0</v>
      </c>
      <c r="S820" s="240">
        <v>0</v>
      </c>
      <c r="T820" s="240">
        <v>0</v>
      </c>
      <c r="U820" s="240">
        <v>0</v>
      </c>
      <c r="V820" s="240">
        <v>0</v>
      </c>
      <c r="W820" s="240">
        <v>0</v>
      </c>
      <c r="X820" s="240"/>
      <c r="Y820" s="236">
        <v>1</v>
      </c>
      <c r="Z820" s="139"/>
    </row>
    <row r="821" spans="1:26" hidden="1" x14ac:dyDescent="0.2">
      <c r="A821" s="348" t="s">
        <v>2814</v>
      </c>
      <c r="B821" s="348"/>
      <c r="C821" s="347" t="s">
        <v>2961</v>
      </c>
      <c r="D821" s="348" t="s">
        <v>2638</v>
      </c>
      <c r="E821" s="240">
        <v>0</v>
      </c>
      <c r="F821" s="240">
        <v>2.9391545616094802E-2</v>
      </c>
      <c r="G821" s="240">
        <v>0.92162244705173246</v>
      </c>
      <c r="H821" s="240">
        <v>0</v>
      </c>
      <c r="I821" s="240">
        <v>0</v>
      </c>
      <c r="J821" s="240">
        <v>0</v>
      </c>
      <c r="K821" s="240">
        <v>0</v>
      </c>
      <c r="L821" s="240">
        <v>0</v>
      </c>
      <c r="M821" s="240">
        <v>0</v>
      </c>
      <c r="N821" s="240">
        <v>0</v>
      </c>
      <c r="O821" s="240">
        <v>0</v>
      </c>
      <c r="P821" s="240">
        <v>0</v>
      </c>
      <c r="Q821" s="240">
        <v>0</v>
      </c>
      <c r="R821" s="240">
        <v>0</v>
      </c>
      <c r="S821" s="240">
        <v>0</v>
      </c>
      <c r="T821" s="240">
        <v>4.8986007332172676E-2</v>
      </c>
      <c r="U821" s="240">
        <v>0</v>
      </c>
      <c r="V821" s="240">
        <v>0</v>
      </c>
      <c r="W821" s="240">
        <v>0</v>
      </c>
      <c r="X821" s="240"/>
      <c r="Y821" s="236">
        <v>1</v>
      </c>
      <c r="Z821" s="139"/>
    </row>
    <row r="822" spans="1:26" hidden="1" x14ac:dyDescent="0.2">
      <c r="A822" s="348" t="s">
        <v>2814</v>
      </c>
      <c r="B822" s="348"/>
      <c r="C822" s="347" t="s">
        <v>2709</v>
      </c>
      <c r="D822" s="348" t="s">
        <v>2962</v>
      </c>
      <c r="E822" s="240">
        <v>0</v>
      </c>
      <c r="F822" s="240">
        <v>0</v>
      </c>
      <c r="G822" s="240">
        <v>0</v>
      </c>
      <c r="H822" s="240">
        <v>0</v>
      </c>
      <c r="I822" s="240">
        <v>0</v>
      </c>
      <c r="J822" s="240">
        <v>0</v>
      </c>
      <c r="K822" s="240">
        <v>0</v>
      </c>
      <c r="L822" s="240">
        <v>1</v>
      </c>
      <c r="M822" s="240">
        <v>0</v>
      </c>
      <c r="N822" s="240">
        <v>0</v>
      </c>
      <c r="O822" s="240">
        <v>0</v>
      </c>
      <c r="P822" s="240">
        <v>0</v>
      </c>
      <c r="Q822" s="240">
        <v>0</v>
      </c>
      <c r="R822" s="240">
        <v>0</v>
      </c>
      <c r="S822" s="240">
        <v>0</v>
      </c>
      <c r="T822" s="240">
        <v>0</v>
      </c>
      <c r="U822" s="240">
        <v>0</v>
      </c>
      <c r="V822" s="240">
        <v>0</v>
      </c>
      <c r="W822" s="240">
        <v>0</v>
      </c>
      <c r="X822" s="240"/>
      <c r="Y822" s="236">
        <v>1</v>
      </c>
      <c r="Z822" s="139"/>
    </row>
    <row r="823" spans="1:26" hidden="1" x14ac:dyDescent="0.2">
      <c r="A823" s="348" t="s">
        <v>2814</v>
      </c>
      <c r="B823" s="348"/>
      <c r="C823" s="347" t="s">
        <v>2710</v>
      </c>
      <c r="D823" s="348" t="s">
        <v>2963</v>
      </c>
      <c r="E823" s="240">
        <v>0</v>
      </c>
      <c r="F823" s="240">
        <v>0</v>
      </c>
      <c r="G823" s="240">
        <v>2.2276925262219641E-2</v>
      </c>
      <c r="H823" s="240">
        <v>0</v>
      </c>
      <c r="I823" s="240">
        <v>0</v>
      </c>
      <c r="J823" s="240">
        <v>0</v>
      </c>
      <c r="K823" s="240">
        <v>0</v>
      </c>
      <c r="L823" s="240">
        <v>0</v>
      </c>
      <c r="M823" s="240">
        <v>0</v>
      </c>
      <c r="N823" s="240">
        <v>0</v>
      </c>
      <c r="O823" s="240">
        <v>0</v>
      </c>
      <c r="P823" s="240">
        <v>0</v>
      </c>
      <c r="Q823" s="240">
        <v>0</v>
      </c>
      <c r="R823" s="240">
        <v>0</v>
      </c>
      <c r="S823" s="240">
        <v>0.97772307473778042</v>
      </c>
      <c r="T823" s="240">
        <v>0</v>
      </c>
      <c r="U823" s="240">
        <v>0</v>
      </c>
      <c r="V823" s="240">
        <v>0</v>
      </c>
      <c r="W823" s="240">
        <v>0</v>
      </c>
      <c r="X823" s="240"/>
      <c r="Y823" s="236">
        <v>1</v>
      </c>
      <c r="Z823" s="139"/>
    </row>
    <row r="824" spans="1:26" ht="13.5" hidden="1" thickBot="1" x14ac:dyDescent="0.25">
      <c r="A824" s="348" t="s">
        <v>2814</v>
      </c>
      <c r="B824" s="348"/>
      <c r="C824" s="347" t="s">
        <v>2711</v>
      </c>
      <c r="D824" s="348" t="s">
        <v>2964</v>
      </c>
      <c r="E824" s="240">
        <v>0</v>
      </c>
      <c r="F824" s="240">
        <v>0</v>
      </c>
      <c r="G824" s="240">
        <v>0</v>
      </c>
      <c r="H824" s="367">
        <v>0.86486486486486491</v>
      </c>
      <c r="I824" s="240">
        <v>0</v>
      </c>
      <c r="J824" s="240">
        <v>0</v>
      </c>
      <c r="K824" s="240">
        <v>0</v>
      </c>
      <c r="L824" s="240">
        <v>0</v>
      </c>
      <c r="M824" s="240">
        <v>0</v>
      </c>
      <c r="N824" s="367">
        <v>0</v>
      </c>
      <c r="O824" s="240">
        <v>0</v>
      </c>
      <c r="P824" s="240">
        <v>0.13513513513513511</v>
      </c>
      <c r="Q824" s="240">
        <v>0</v>
      </c>
      <c r="R824" s="240">
        <v>0</v>
      </c>
      <c r="S824" s="240">
        <v>0</v>
      </c>
      <c r="T824" s="240">
        <v>0</v>
      </c>
      <c r="U824" s="240">
        <v>0</v>
      </c>
      <c r="V824" s="240">
        <v>0</v>
      </c>
      <c r="W824" s="240">
        <v>0</v>
      </c>
      <c r="X824" s="240"/>
      <c r="Y824" s="236">
        <v>1</v>
      </c>
      <c r="Z824" s="139"/>
    </row>
    <row r="825" spans="1:26" hidden="1" x14ac:dyDescent="0.2">
      <c r="A825" s="348" t="s">
        <v>2814</v>
      </c>
      <c r="B825" s="348"/>
      <c r="C825" s="347" t="s">
        <v>2965</v>
      </c>
      <c r="D825" s="348" t="s">
        <v>2966</v>
      </c>
      <c r="E825" s="240">
        <v>0</v>
      </c>
      <c r="F825" s="240">
        <v>0</v>
      </c>
      <c r="G825" s="240">
        <v>0</v>
      </c>
      <c r="H825" s="240">
        <v>0</v>
      </c>
      <c r="I825" s="240">
        <v>0</v>
      </c>
      <c r="J825" s="240">
        <v>0</v>
      </c>
      <c r="K825" s="240">
        <v>0</v>
      </c>
      <c r="L825" s="240">
        <v>0</v>
      </c>
      <c r="M825" s="240">
        <v>0</v>
      </c>
      <c r="N825" s="240">
        <v>0</v>
      </c>
      <c r="O825" s="240">
        <v>0</v>
      </c>
      <c r="P825" s="240">
        <v>0</v>
      </c>
      <c r="Q825" s="240">
        <v>0</v>
      </c>
      <c r="R825" s="240">
        <v>0</v>
      </c>
      <c r="S825" s="240">
        <v>1.1182242605247236E-2</v>
      </c>
      <c r="T825" s="240">
        <v>0.98881775739475275</v>
      </c>
      <c r="U825" s="240">
        <v>0</v>
      </c>
      <c r="V825" s="240">
        <v>0</v>
      </c>
      <c r="W825" s="240">
        <v>0</v>
      </c>
      <c r="X825" s="240"/>
      <c r="Y825" s="240">
        <v>1</v>
      </c>
      <c r="Z825" s="139"/>
    </row>
    <row r="826" spans="1:26" hidden="1" x14ac:dyDescent="0.2">
      <c r="A826" s="365" t="s">
        <v>2594</v>
      </c>
      <c r="B826" s="344"/>
      <c r="C826" s="345" t="s">
        <v>2628</v>
      </c>
      <c r="D826" s="344" t="s">
        <v>2611</v>
      </c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>
        <v>1</v>
      </c>
      <c r="T826" s="260"/>
      <c r="U826" s="260"/>
      <c r="V826" s="260"/>
      <c r="W826" s="260"/>
      <c r="X826" s="260"/>
      <c r="Y826" s="260">
        <v>1</v>
      </c>
      <c r="Z826" s="139"/>
    </row>
    <row r="827" spans="1:26" hidden="1" x14ac:dyDescent="0.2">
      <c r="A827" s="365" t="s">
        <v>2594</v>
      </c>
      <c r="B827" s="344"/>
      <c r="C827" s="345" t="s">
        <v>2712</v>
      </c>
      <c r="D827" s="344" t="s">
        <v>2657</v>
      </c>
      <c r="E827" s="260"/>
      <c r="F827" s="260"/>
      <c r="G827" s="260"/>
      <c r="H827" s="260"/>
      <c r="I827" s="260"/>
      <c r="J827" s="260"/>
      <c r="K827" s="260"/>
      <c r="L827" s="260"/>
      <c r="M827" s="260"/>
      <c r="N827" s="260">
        <v>0.65</v>
      </c>
      <c r="O827" s="260"/>
      <c r="P827" s="260">
        <v>0.11</v>
      </c>
      <c r="Q827" s="260"/>
      <c r="R827" s="260"/>
      <c r="S827" s="260">
        <v>0.24</v>
      </c>
      <c r="T827" s="260"/>
      <c r="U827" s="260"/>
      <c r="V827" s="260"/>
      <c r="W827" s="260"/>
      <c r="X827" s="260"/>
      <c r="Y827" s="260">
        <v>1</v>
      </c>
      <c r="Z827" s="139"/>
    </row>
    <row r="828" spans="1:26" hidden="1" x14ac:dyDescent="0.2">
      <c r="A828" s="365" t="s">
        <v>2594</v>
      </c>
      <c r="B828" s="344"/>
      <c r="C828" s="345" t="s">
        <v>2713</v>
      </c>
      <c r="D828" s="344" t="s">
        <v>2649</v>
      </c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>
        <v>1</v>
      </c>
      <c r="T828" s="260"/>
      <c r="U828" s="260"/>
      <c r="V828" s="260"/>
      <c r="W828" s="260"/>
      <c r="X828" s="260"/>
      <c r="Y828" s="260">
        <v>1</v>
      </c>
      <c r="Z828" s="139"/>
    </row>
    <row r="829" spans="1:26" hidden="1" x14ac:dyDescent="0.2">
      <c r="A829" s="365" t="s">
        <v>2594</v>
      </c>
      <c r="B829" s="344"/>
      <c r="C829" s="345" t="s">
        <v>2721</v>
      </c>
      <c r="D829" s="344" t="s">
        <v>2720</v>
      </c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>
        <v>1</v>
      </c>
      <c r="U829" s="260"/>
      <c r="V829" s="260"/>
      <c r="W829" s="260"/>
      <c r="X829" s="260"/>
      <c r="Y829" s="260">
        <v>1</v>
      </c>
      <c r="Z829" s="139"/>
    </row>
    <row r="830" spans="1:26" hidden="1" x14ac:dyDescent="0.2">
      <c r="A830" s="365" t="s">
        <v>2594</v>
      </c>
      <c r="B830" s="344"/>
      <c r="C830" s="345" t="s">
        <v>2749</v>
      </c>
      <c r="D830" s="344" t="s">
        <v>517</v>
      </c>
      <c r="E830" s="260"/>
      <c r="F830" s="260"/>
      <c r="G830" s="260"/>
      <c r="H830" s="260"/>
      <c r="I830" s="260"/>
      <c r="J830" s="260"/>
      <c r="K830" s="260"/>
      <c r="L830" s="260"/>
      <c r="M830" s="260"/>
      <c r="N830" s="260">
        <v>0.65</v>
      </c>
      <c r="O830" s="260"/>
      <c r="P830" s="260">
        <v>0.2</v>
      </c>
      <c r="Q830" s="260"/>
      <c r="R830" s="260"/>
      <c r="S830" s="260">
        <v>0.15</v>
      </c>
      <c r="T830" s="260"/>
      <c r="U830" s="260"/>
      <c r="V830" s="260"/>
      <c r="W830" s="260"/>
      <c r="X830" s="260"/>
      <c r="Y830" s="260">
        <v>1</v>
      </c>
      <c r="Z830" s="139"/>
    </row>
    <row r="831" spans="1:26" hidden="1" x14ac:dyDescent="0.2">
      <c r="A831" s="700" t="s">
        <v>2594</v>
      </c>
      <c r="B831" s="701" t="s">
        <v>3065</v>
      </c>
      <c r="C831" s="345" t="s">
        <v>3066</v>
      </c>
      <c r="D831" s="344" t="s">
        <v>3057</v>
      </c>
      <c r="E831" s="260"/>
      <c r="F831" s="260"/>
      <c r="G831" s="260"/>
      <c r="H831" s="260">
        <v>1</v>
      </c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>
        <v>1</v>
      </c>
      <c r="Z831" s="139"/>
    </row>
    <row r="832" spans="1:26" hidden="1" x14ac:dyDescent="0.2">
      <c r="A832" s="700" t="s">
        <v>2594</v>
      </c>
      <c r="B832" s="701" t="s">
        <v>3065</v>
      </c>
      <c r="C832" s="345" t="s">
        <v>3067</v>
      </c>
      <c r="D832" s="344" t="s">
        <v>3059</v>
      </c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>
        <v>1</v>
      </c>
      <c r="Y832" s="260">
        <v>1</v>
      </c>
      <c r="Z832" s="139"/>
    </row>
    <row r="833" spans="1:26" hidden="1" x14ac:dyDescent="0.2">
      <c r="A833" s="700" t="s">
        <v>2594</v>
      </c>
      <c r="B833" s="701" t="s">
        <v>3065</v>
      </c>
      <c r="C833" s="345" t="s">
        <v>3068</v>
      </c>
      <c r="D833" s="344" t="s">
        <v>3061</v>
      </c>
      <c r="E833" s="260"/>
      <c r="F833" s="260"/>
      <c r="G833" s="260"/>
      <c r="H833" s="260">
        <v>1</v>
      </c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>
        <v>1</v>
      </c>
      <c r="Z833" s="139"/>
    </row>
    <row r="834" spans="1:26" hidden="1" x14ac:dyDescent="0.2">
      <c r="A834" s="700" t="s">
        <v>2594</v>
      </c>
      <c r="B834" s="701" t="s">
        <v>3065</v>
      </c>
      <c r="C834" s="345" t="s">
        <v>3069</v>
      </c>
      <c r="D834" s="344" t="s">
        <v>3063</v>
      </c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>
        <v>1</v>
      </c>
      <c r="U834" s="260"/>
      <c r="V834" s="260"/>
      <c r="W834" s="260"/>
      <c r="X834" s="260"/>
      <c r="Y834" s="260">
        <v>1</v>
      </c>
      <c r="Z834" s="139"/>
    </row>
    <row r="835" spans="1:26" hidden="1" x14ac:dyDescent="0.2">
      <c r="A835" s="702" t="s">
        <v>2814</v>
      </c>
      <c r="B835" s="701" t="s">
        <v>3070</v>
      </c>
      <c r="C835" s="703" t="s">
        <v>3071</v>
      </c>
      <c r="D835" s="704" t="s">
        <v>2295</v>
      </c>
      <c r="E835" s="260">
        <v>0</v>
      </c>
      <c r="F835" s="260">
        <v>3.4933059742490844E-4</v>
      </c>
      <c r="G835" s="260">
        <v>5.7293188165107901E-3</v>
      </c>
      <c r="H835" s="260">
        <v>0</v>
      </c>
      <c r="I835" s="260">
        <v>0</v>
      </c>
      <c r="J835" s="260">
        <v>2.2887180190058198E-2</v>
      </c>
      <c r="K835" s="260">
        <v>0</v>
      </c>
      <c r="L835" s="260">
        <v>0</v>
      </c>
      <c r="M835" s="260">
        <v>0</v>
      </c>
      <c r="N835" s="260">
        <v>2.3922160084433781E-2</v>
      </c>
      <c r="O835" s="260">
        <v>0</v>
      </c>
      <c r="P835" s="260">
        <v>5.1179790769362542E-2</v>
      </c>
      <c r="Q835" s="260">
        <v>8.5224631487493471E-3</v>
      </c>
      <c r="R835" s="260">
        <v>0</v>
      </c>
      <c r="S835" s="260">
        <v>0.88194995932970033</v>
      </c>
      <c r="T835" s="260">
        <v>9.034413232917709E-4</v>
      </c>
      <c r="U835" s="260">
        <v>4.556355740468164E-3</v>
      </c>
      <c r="V835" s="260">
        <v>0</v>
      </c>
      <c r="W835" s="260">
        <v>0</v>
      </c>
      <c r="X835" s="260"/>
      <c r="Y835" s="260">
        <v>0.99999999999999989</v>
      </c>
      <c r="Z835" s="139"/>
    </row>
    <row r="836" spans="1:26" x14ac:dyDescent="0.2">
      <c r="A836" s="695"/>
      <c r="B836" s="696"/>
      <c r="C836" s="697"/>
      <c r="D836" s="696"/>
      <c r="E836" s="698"/>
      <c r="F836" s="698"/>
      <c r="G836" s="698"/>
      <c r="H836" s="698"/>
      <c r="I836" s="698"/>
      <c r="J836" s="698"/>
      <c r="K836" s="698"/>
      <c r="L836" s="698"/>
      <c r="M836" s="698"/>
      <c r="N836" s="698"/>
      <c r="O836" s="698"/>
      <c r="P836" s="698"/>
      <c r="Q836" s="698"/>
      <c r="R836" s="698"/>
      <c r="S836" s="698"/>
      <c r="T836" s="698"/>
      <c r="U836" s="698"/>
      <c r="V836" s="698"/>
      <c r="W836" s="698"/>
      <c r="X836" s="698"/>
      <c r="Y836" s="699"/>
      <c r="Z836" s="139"/>
    </row>
    <row r="837" spans="1:26" x14ac:dyDescent="0.2">
      <c r="A837" s="695"/>
      <c r="B837" s="696"/>
      <c r="C837" s="697"/>
      <c r="D837" s="696"/>
      <c r="E837" s="698"/>
      <c r="F837" s="698"/>
      <c r="G837" s="698"/>
      <c r="H837" s="698"/>
      <c r="I837" s="698"/>
      <c r="J837" s="698"/>
      <c r="K837" s="698"/>
      <c r="L837" s="698"/>
      <c r="M837" s="698"/>
      <c r="N837" s="698"/>
      <c r="O837" s="698"/>
      <c r="P837" s="698"/>
      <c r="Q837" s="698"/>
      <c r="R837" s="698"/>
      <c r="S837" s="698"/>
      <c r="T837" s="698"/>
      <c r="U837" s="698"/>
      <c r="V837" s="698"/>
      <c r="W837" s="698"/>
      <c r="X837" s="698"/>
      <c r="Y837" s="699"/>
      <c r="Z837" s="139"/>
    </row>
    <row r="838" spans="1:26" x14ac:dyDescent="0.2">
      <c r="A838" s="695"/>
      <c r="B838" s="696"/>
      <c r="C838" s="697"/>
      <c r="D838" s="696"/>
      <c r="E838" s="698"/>
      <c r="F838" s="698"/>
      <c r="G838" s="698"/>
      <c r="H838" s="698"/>
      <c r="I838" s="698"/>
      <c r="J838" s="698"/>
      <c r="K838" s="698"/>
      <c r="L838" s="698"/>
      <c r="M838" s="698"/>
      <c r="N838" s="698"/>
      <c r="O838" s="698"/>
      <c r="P838" s="698"/>
      <c r="Q838" s="698"/>
      <c r="R838" s="698"/>
      <c r="S838" s="698"/>
      <c r="T838" s="698"/>
      <c r="U838" s="698"/>
      <c r="V838" s="698"/>
      <c r="W838" s="698"/>
      <c r="X838" s="698"/>
      <c r="Y838" s="699"/>
      <c r="Z838" s="139"/>
    </row>
    <row r="839" spans="1:26" x14ac:dyDescent="0.2">
      <c r="A839" s="361"/>
      <c r="B839" s="361"/>
      <c r="C839" s="362"/>
      <c r="D839" s="361"/>
      <c r="E839" s="363"/>
      <c r="F839" s="363"/>
      <c r="G839" s="363"/>
      <c r="H839" s="363"/>
      <c r="I839" s="363"/>
      <c r="J839" s="363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139"/>
    </row>
    <row r="840" spans="1:26" x14ac:dyDescent="0.2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spans="1:26" x14ac:dyDescent="0.2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94"/>
      <c r="Z841" s="138"/>
    </row>
    <row r="842" spans="1:26" x14ac:dyDescent="0.2">
      <c r="A842" s="133" t="s">
        <v>2599</v>
      </c>
      <c r="B842" s="138"/>
      <c r="C842" s="357" t="s">
        <v>2711</v>
      </c>
      <c r="D842" s="138" t="s">
        <v>2967</v>
      </c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358">
        <v>0</v>
      </c>
      <c r="Z842" s="138"/>
    </row>
    <row r="843" spans="1:26" x14ac:dyDescent="0.2">
      <c r="A843" s="338" t="s">
        <v>2814</v>
      </c>
      <c r="B843" s="138"/>
      <c r="C843" s="359" t="s">
        <v>2965</v>
      </c>
      <c r="D843" s="138" t="s">
        <v>2967</v>
      </c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240">
        <v>0</v>
      </c>
      <c r="Z843" s="138"/>
    </row>
    <row r="844" spans="1:26" x14ac:dyDescent="0.2">
      <c r="A844" s="255" t="s">
        <v>2968</v>
      </c>
      <c r="B844" s="138"/>
      <c r="C844" s="138"/>
      <c r="D844" s="138" t="s">
        <v>2969</v>
      </c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spans="1:26" x14ac:dyDescent="0.2">
      <c r="W845" s="360" t="s">
        <v>2970</v>
      </c>
      <c r="X845" s="360"/>
    </row>
  </sheetData>
  <autoFilter ref="A5:Z835">
    <filterColumn colId="2">
      <filters>
        <filter val="11452"/>
        <filter val="14014"/>
      </filters>
    </filterColumn>
  </autoFilter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50"/>
  </sheetPr>
  <dimension ref="A2:Y179"/>
  <sheetViews>
    <sheetView showGridLines="0" zoomScale="80" zoomScaleNormal="8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J2" sqref="J2"/>
    </sheetView>
  </sheetViews>
  <sheetFormatPr defaultColWidth="9.140625" defaultRowHeight="14.25" x14ac:dyDescent="0.2"/>
  <cols>
    <col min="1" max="1" width="10.42578125" style="381" customWidth="1"/>
    <col min="2" max="2" width="80.7109375" style="381" bestFit="1" customWidth="1"/>
    <col min="3" max="3" width="18" style="381" customWidth="1"/>
    <col min="4" max="4" width="11.5703125" style="381" bestFit="1" customWidth="1"/>
    <col min="5" max="5" width="12.5703125" style="381" customWidth="1"/>
    <col min="6" max="6" width="10.7109375" style="381" customWidth="1"/>
    <col min="7" max="7" width="9.28515625" style="381" bestFit="1" customWidth="1"/>
    <col min="8" max="8" width="2.140625" style="381" customWidth="1"/>
    <col min="9" max="9" width="22" style="381" customWidth="1"/>
    <col min="10" max="10" width="14.28515625" style="381" customWidth="1"/>
    <col min="11" max="11" width="12.5703125" style="381" customWidth="1"/>
    <col min="12" max="12" width="11.42578125" style="381" customWidth="1"/>
    <col min="13" max="13" width="2.5703125" style="381" customWidth="1"/>
    <col min="14" max="14" width="41.28515625" style="381" bestFit="1" customWidth="1"/>
    <col min="15" max="23" width="7.140625" style="381" customWidth="1"/>
    <col min="24" max="24" width="9.28515625" style="381" customWidth="1"/>
    <col min="25" max="16384" width="9.140625" style="381"/>
  </cols>
  <sheetData>
    <row r="2" spans="1:24" x14ac:dyDescent="0.2">
      <c r="A2" s="382"/>
      <c r="B2" s="370"/>
      <c r="I2" s="382"/>
      <c r="J2" s="370"/>
    </row>
    <row r="3" spans="1:24" ht="23.25" x14ac:dyDescent="0.2">
      <c r="A3" s="383" t="s">
        <v>2704</v>
      </c>
    </row>
    <row r="4" spans="1:24" ht="15" x14ac:dyDescent="0.25">
      <c r="B4" s="384" t="s">
        <v>2988</v>
      </c>
      <c r="I4" s="386" t="s">
        <v>2989</v>
      </c>
    </row>
    <row r="5" spans="1:24" ht="15" thickBot="1" x14ac:dyDescent="0.25">
      <c r="A5" s="389"/>
      <c r="B5" s="389"/>
      <c r="C5" s="389"/>
      <c r="D5" s="389"/>
      <c r="E5" s="389"/>
      <c r="N5" s="385"/>
    </row>
    <row r="6" spans="1:24" ht="22.5" x14ac:dyDescent="0.2">
      <c r="A6" s="451" t="s">
        <v>2665</v>
      </c>
      <c r="B6" s="452" t="s">
        <v>2666</v>
      </c>
      <c r="C6" s="451" t="s">
        <v>993</v>
      </c>
      <c r="D6" s="443" t="s">
        <v>984</v>
      </c>
      <c r="E6" s="453" t="s">
        <v>2667</v>
      </c>
      <c r="F6" s="450" t="s">
        <v>2668</v>
      </c>
      <c r="G6" s="450" t="s">
        <v>2669</v>
      </c>
      <c r="H6" s="386"/>
      <c r="I6" s="454" t="s">
        <v>993</v>
      </c>
      <c r="J6" s="455" t="s">
        <v>2723</v>
      </c>
      <c r="K6" s="456" t="s">
        <v>2724</v>
      </c>
      <c r="L6" s="457" t="s">
        <v>2987</v>
      </c>
      <c r="M6" s="386"/>
      <c r="N6" s="387"/>
      <c r="O6" s="386"/>
      <c r="P6" s="386"/>
      <c r="Q6" s="386"/>
      <c r="R6" s="386"/>
      <c r="S6" s="386"/>
      <c r="T6" s="386"/>
      <c r="U6" s="386"/>
      <c r="V6" s="386"/>
      <c r="W6" s="386"/>
    </row>
    <row r="7" spans="1:24" ht="25.5" x14ac:dyDescent="0.2">
      <c r="A7" s="397" t="s">
        <v>1066</v>
      </c>
      <c r="B7" s="398" t="s">
        <v>2670</v>
      </c>
      <c r="C7" s="399" t="s">
        <v>28</v>
      </c>
      <c r="D7" s="394" t="s">
        <v>641</v>
      </c>
      <c r="E7" s="444">
        <v>6051070.2559629772</v>
      </c>
      <c r="F7" s="446">
        <v>2895151.250345197</v>
      </c>
      <c r="G7" s="447">
        <f>F7/E7</f>
        <v>0.4784527575914681</v>
      </c>
      <c r="H7" s="387"/>
      <c r="I7" s="458" t="s">
        <v>28</v>
      </c>
      <c r="J7" s="459">
        <f t="shared" ref="J7:J16" si="0">SUMIFS(E$7:E$175,$C$7:$C$175,$I7)</f>
        <v>42255680.272383988</v>
      </c>
      <c r="K7" s="459">
        <f t="shared" ref="K7:K16" si="1">SUMIFS(F$7:F$175,$C$7:$C$175,$I7)</f>
        <v>19791806.776205219</v>
      </c>
      <c r="L7" s="460">
        <f>K7/J7</f>
        <v>0.46838215947833328</v>
      </c>
      <c r="M7" s="388"/>
      <c r="N7" s="84"/>
      <c r="O7" s="85">
        <v>2016</v>
      </c>
      <c r="P7" s="85">
        <v>2017</v>
      </c>
      <c r="Q7" s="85">
        <v>2018</v>
      </c>
      <c r="R7" s="85">
        <v>2019</v>
      </c>
      <c r="S7" s="85">
        <v>2020</v>
      </c>
      <c r="T7" s="85">
        <v>2021</v>
      </c>
      <c r="U7" s="85">
        <v>2022</v>
      </c>
      <c r="V7" s="85">
        <v>2023</v>
      </c>
      <c r="W7" s="86" t="s">
        <v>2725</v>
      </c>
      <c r="X7" s="86" t="s">
        <v>3004</v>
      </c>
    </row>
    <row r="8" spans="1:24" x14ac:dyDescent="0.2">
      <c r="A8" s="390" t="s">
        <v>1067</v>
      </c>
      <c r="B8" s="391" t="s">
        <v>2671</v>
      </c>
      <c r="C8" s="392" t="s">
        <v>28</v>
      </c>
      <c r="D8" s="394" t="s">
        <v>641</v>
      </c>
      <c r="E8" s="445">
        <v>4876864.4988076948</v>
      </c>
      <c r="F8" s="448">
        <v>1913116.3952427991</v>
      </c>
      <c r="G8" s="449">
        <f t="shared" ref="G8:G71" si="2">F8/E8</f>
        <v>0.39228409887347115</v>
      </c>
      <c r="H8" s="386"/>
      <c r="I8" s="461" t="s">
        <v>31</v>
      </c>
      <c r="J8" s="462">
        <f t="shared" si="0"/>
        <v>70638057.946982861</v>
      </c>
      <c r="K8" s="462">
        <f t="shared" si="1"/>
        <v>33931040.969138339</v>
      </c>
      <c r="L8" s="463">
        <f t="shared" ref="L8:L18" si="3">K8/J8</f>
        <v>0.48035070548804104</v>
      </c>
      <c r="M8" s="388"/>
      <c r="N8" s="548" t="s">
        <v>2726</v>
      </c>
      <c r="O8" s="551" t="s">
        <v>1053</v>
      </c>
      <c r="P8" s="551">
        <v>0.9</v>
      </c>
      <c r="Q8" s="551">
        <v>0.9</v>
      </c>
      <c r="R8" s="551">
        <v>0.9</v>
      </c>
      <c r="S8" s="551">
        <v>1</v>
      </c>
      <c r="T8" s="551">
        <v>1.4</v>
      </c>
      <c r="U8" s="551">
        <v>1.7</v>
      </c>
      <c r="V8" s="551">
        <v>1.8</v>
      </c>
      <c r="W8" s="552">
        <v>1.2</v>
      </c>
      <c r="X8" s="552">
        <v>1.4</v>
      </c>
    </row>
    <row r="9" spans="1:24" x14ac:dyDescent="0.2">
      <c r="A9" s="390" t="s">
        <v>1068</v>
      </c>
      <c r="B9" s="391" t="s">
        <v>2672</v>
      </c>
      <c r="C9" s="392" t="s">
        <v>28</v>
      </c>
      <c r="D9" s="394" t="s">
        <v>641</v>
      </c>
      <c r="E9" s="445">
        <v>4640608.5829932978</v>
      </c>
      <c r="F9" s="448">
        <v>1782081.6925225726</v>
      </c>
      <c r="G9" s="449">
        <f t="shared" si="2"/>
        <v>0.38401896230883781</v>
      </c>
      <c r="H9" s="386"/>
      <c r="I9" s="461" t="s">
        <v>855</v>
      </c>
      <c r="J9" s="462">
        <f t="shared" si="0"/>
        <v>5718405.3600000013</v>
      </c>
      <c r="K9" s="462">
        <f t="shared" si="1"/>
        <v>35582.692845677149</v>
      </c>
      <c r="L9" s="463">
        <f t="shared" si="3"/>
        <v>6.2224852219425631E-3</v>
      </c>
      <c r="M9" s="388"/>
      <c r="N9" s="548" t="s">
        <v>2727</v>
      </c>
      <c r="O9" s="551">
        <v>0.9</v>
      </c>
      <c r="P9" s="551">
        <v>1.4</v>
      </c>
      <c r="Q9" s="551">
        <v>1.3</v>
      </c>
      <c r="R9" s="551">
        <v>1.5</v>
      </c>
      <c r="S9" s="551">
        <v>1.7</v>
      </c>
      <c r="T9" s="551">
        <v>1.9</v>
      </c>
      <c r="U9" s="551" t="s">
        <v>1053</v>
      </c>
      <c r="V9" s="551" t="s">
        <v>1053</v>
      </c>
      <c r="W9" s="552">
        <v>1.4</v>
      </c>
      <c r="X9" s="553"/>
    </row>
    <row r="10" spans="1:24" x14ac:dyDescent="0.2">
      <c r="A10" s="390" t="s">
        <v>1078</v>
      </c>
      <c r="B10" s="391" t="s">
        <v>2454</v>
      </c>
      <c r="C10" s="392" t="s">
        <v>855</v>
      </c>
      <c r="D10" s="393" t="s">
        <v>854</v>
      </c>
      <c r="E10" s="445">
        <v>400000</v>
      </c>
      <c r="F10" s="448">
        <v>0</v>
      </c>
      <c r="G10" s="449">
        <f t="shared" si="2"/>
        <v>0</v>
      </c>
      <c r="H10" s="386"/>
      <c r="I10" s="461" t="s">
        <v>36</v>
      </c>
      <c r="J10" s="462">
        <f t="shared" si="0"/>
        <v>6062627.5300547834</v>
      </c>
      <c r="K10" s="462">
        <f t="shared" si="1"/>
        <v>1749403.6972282836</v>
      </c>
      <c r="L10" s="463">
        <f t="shared" si="3"/>
        <v>0.28855536457679687</v>
      </c>
      <c r="M10" s="388"/>
      <c r="N10" s="548" t="s">
        <v>2728</v>
      </c>
      <c r="O10" s="551">
        <v>0</v>
      </c>
      <c r="P10" s="551">
        <v>0.2</v>
      </c>
      <c r="Q10" s="551">
        <v>0.5</v>
      </c>
      <c r="R10" s="551">
        <v>0.6</v>
      </c>
      <c r="S10" s="551">
        <v>0.7</v>
      </c>
      <c r="T10" s="554">
        <v>0.7</v>
      </c>
      <c r="U10" s="554">
        <v>0.7</v>
      </c>
      <c r="V10" s="554">
        <v>0.7</v>
      </c>
      <c r="W10" s="552">
        <v>0.6</v>
      </c>
      <c r="X10" s="552">
        <v>0.7</v>
      </c>
    </row>
    <row r="11" spans="1:24" x14ac:dyDescent="0.2">
      <c r="A11" s="390" t="s">
        <v>233</v>
      </c>
      <c r="B11" s="391" t="s">
        <v>2455</v>
      </c>
      <c r="C11" s="392" t="s">
        <v>55</v>
      </c>
      <c r="D11" s="394" t="s">
        <v>683</v>
      </c>
      <c r="E11" s="445">
        <v>1551545.0000000005</v>
      </c>
      <c r="F11" s="448">
        <v>1132474.8547947933</v>
      </c>
      <c r="G11" s="449">
        <f t="shared" si="2"/>
        <v>0.72990139170619794</v>
      </c>
      <c r="H11" s="386"/>
      <c r="I11" s="461" t="s">
        <v>55</v>
      </c>
      <c r="J11" s="462">
        <f t="shared" si="0"/>
        <v>44082045.989750028</v>
      </c>
      <c r="K11" s="462">
        <f t="shared" si="1"/>
        <v>31325886.022852998</v>
      </c>
      <c r="L11" s="463">
        <f t="shared" si="3"/>
        <v>0.71062686224085203</v>
      </c>
      <c r="M11" s="388"/>
      <c r="N11" s="548"/>
      <c r="O11" s="548"/>
      <c r="P11" s="548"/>
      <c r="Q11" s="548"/>
      <c r="R11" s="548"/>
      <c r="S11" s="548"/>
      <c r="T11" s="548"/>
      <c r="U11" s="548"/>
      <c r="V11" s="548"/>
      <c r="W11" s="553"/>
      <c r="X11" s="553"/>
    </row>
    <row r="12" spans="1:24" x14ac:dyDescent="0.2">
      <c r="A12" s="390" t="s">
        <v>264</v>
      </c>
      <c r="B12" s="391" t="s">
        <v>2456</v>
      </c>
      <c r="C12" s="392" t="s">
        <v>40</v>
      </c>
      <c r="D12" s="394" t="s">
        <v>641</v>
      </c>
      <c r="E12" s="445">
        <v>2883427.8076352919</v>
      </c>
      <c r="F12" s="448">
        <v>1671995.5870165436</v>
      </c>
      <c r="G12" s="449">
        <f t="shared" si="2"/>
        <v>0.57986386293047243</v>
      </c>
      <c r="H12" s="386"/>
      <c r="I12" s="461" t="s">
        <v>60</v>
      </c>
      <c r="J12" s="462">
        <f t="shared" si="0"/>
        <v>10999999.267459944</v>
      </c>
      <c r="K12" s="462">
        <f t="shared" si="1"/>
        <v>481925.84928890603</v>
      </c>
      <c r="L12" s="463">
        <f t="shared" si="3"/>
        <v>4.3811443762049408E-2</v>
      </c>
      <c r="M12" s="388"/>
      <c r="N12" s="548" t="s">
        <v>2729</v>
      </c>
      <c r="O12" s="551">
        <v>0.5</v>
      </c>
      <c r="P12" s="551">
        <v>0.8</v>
      </c>
      <c r="Q12" s="551">
        <v>0.9</v>
      </c>
      <c r="R12" s="551">
        <v>1</v>
      </c>
      <c r="S12" s="551">
        <v>1.2</v>
      </c>
      <c r="T12" s="551">
        <v>1.9</v>
      </c>
      <c r="U12" s="548"/>
      <c r="V12" s="548"/>
      <c r="W12" s="552">
        <v>1</v>
      </c>
      <c r="X12" s="552">
        <v>1.4</v>
      </c>
    </row>
    <row r="13" spans="1:24" x14ac:dyDescent="0.2">
      <c r="A13" s="390" t="s">
        <v>1080</v>
      </c>
      <c r="B13" s="391" t="s">
        <v>2457</v>
      </c>
      <c r="C13" s="392" t="s">
        <v>855</v>
      </c>
      <c r="D13" s="393" t="s">
        <v>854</v>
      </c>
      <c r="E13" s="445">
        <v>247000.00000000003</v>
      </c>
      <c r="F13" s="448">
        <v>35582.692845677149</v>
      </c>
      <c r="G13" s="449">
        <f t="shared" si="2"/>
        <v>0.14405948520517062</v>
      </c>
      <c r="H13" s="386"/>
      <c r="I13" s="461" t="s">
        <v>107</v>
      </c>
      <c r="J13" s="462">
        <f t="shared" si="0"/>
        <v>94412.005436585037</v>
      </c>
      <c r="K13" s="462">
        <f t="shared" si="1"/>
        <v>41269.603969744705</v>
      </c>
      <c r="L13" s="463">
        <f t="shared" si="3"/>
        <v>0.4371224165708969</v>
      </c>
      <c r="M13" s="38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</row>
    <row r="14" spans="1:24" x14ac:dyDescent="0.2">
      <c r="A14" s="390" t="s">
        <v>1081</v>
      </c>
      <c r="B14" s="391" t="s">
        <v>2458</v>
      </c>
      <c r="C14" s="392" t="s">
        <v>855</v>
      </c>
      <c r="D14" s="393" t="s">
        <v>854</v>
      </c>
      <c r="E14" s="445">
        <v>1401405.5600000005</v>
      </c>
      <c r="F14" s="448">
        <v>0</v>
      </c>
      <c r="G14" s="449">
        <f t="shared" si="2"/>
        <v>0</v>
      </c>
      <c r="H14" s="386"/>
      <c r="I14" s="461" t="s">
        <v>41</v>
      </c>
      <c r="J14" s="462">
        <f t="shared" si="0"/>
        <v>242172246.51728013</v>
      </c>
      <c r="K14" s="462">
        <f t="shared" si="1"/>
        <v>120317891.73475882</v>
      </c>
      <c r="L14" s="463">
        <f t="shared" si="3"/>
        <v>0.49682774746103525</v>
      </c>
      <c r="M14" s="388"/>
      <c r="N14" s="555" t="s">
        <v>3053</v>
      </c>
      <c r="O14" s="555"/>
      <c r="P14" s="556">
        <f>CHOOSE(ContractorRate,'Project labour content'!P20,'Project labour content'!P21)</f>
        <v>0.6</v>
      </c>
      <c r="Q14" s="556">
        <f>CHOOSE(ContractorRate,'Project labour content'!Q20,'Project labour content'!Q21)</f>
        <v>0.65</v>
      </c>
      <c r="R14" s="556">
        <f>CHOOSE(ContractorRate,'Project labour content'!R20,'Project labour content'!R21)</f>
        <v>0.58830375868882923</v>
      </c>
      <c r="S14" s="556">
        <f>CHOOSE(ContractorRate,'Project labour content'!S20,'Project labour content'!S21)</f>
        <v>0.63297964894865022</v>
      </c>
      <c r="T14" s="556">
        <f>CHOOSE(ContractorRate,'Project labour content'!T20,'Project labour content'!T21)</f>
        <v>0.7265666179248671</v>
      </c>
      <c r="U14" s="556">
        <f>CHOOSE(ContractorRate,'Project labour content'!U20,'Project labour content'!U21)</f>
        <v>1.0508843810294093</v>
      </c>
      <c r="V14" s="556">
        <f>CHOOSE(ContractorRate,'Project labour content'!V20,'Project labour content'!V21)</f>
        <v>1.1697654835780329</v>
      </c>
      <c r="W14" s="556">
        <f>CHOOSE(ContractorRate,'Project labour content'!W20,'Project labour content'!W21)</f>
        <v>0.77407141288139847</v>
      </c>
      <c r="X14" s="556">
        <f>CHOOSE(ContractorRate,'Project labour content'!X20,'Project labour content'!X21)</f>
        <v>0.83369997803395768</v>
      </c>
    </row>
    <row r="15" spans="1:24" x14ac:dyDescent="0.2">
      <c r="A15" s="390" t="s">
        <v>1082</v>
      </c>
      <c r="B15" s="391" t="s">
        <v>2459</v>
      </c>
      <c r="C15" s="392" t="s">
        <v>855</v>
      </c>
      <c r="D15" s="393" t="s">
        <v>854</v>
      </c>
      <c r="E15" s="445">
        <v>169999.80000000005</v>
      </c>
      <c r="F15" s="448">
        <v>0</v>
      </c>
      <c r="G15" s="449">
        <f t="shared" si="2"/>
        <v>0</v>
      </c>
      <c r="H15" s="386"/>
      <c r="I15" s="461" t="s">
        <v>40</v>
      </c>
      <c r="J15" s="462">
        <f t="shared" si="0"/>
        <v>130700457.91547824</v>
      </c>
      <c r="K15" s="462">
        <f t="shared" si="1"/>
        <v>69369674.207891926</v>
      </c>
      <c r="L15" s="463">
        <f t="shared" si="3"/>
        <v>0.53075310763449746</v>
      </c>
      <c r="M15" s="388"/>
      <c r="N15" s="548" t="s">
        <v>2979</v>
      </c>
      <c r="O15" s="548"/>
      <c r="P15" s="548"/>
      <c r="Q15" s="548"/>
      <c r="R15" s="548"/>
      <c r="S15" s="548"/>
      <c r="T15" s="548"/>
      <c r="U15" s="548"/>
      <c r="V15" s="548"/>
      <c r="W15" s="553"/>
      <c r="X15" s="553"/>
    </row>
    <row r="16" spans="1:24" x14ac:dyDescent="0.2">
      <c r="A16" s="390" t="s">
        <v>1083</v>
      </c>
      <c r="B16" s="391" t="s">
        <v>2460</v>
      </c>
      <c r="C16" s="392" t="s">
        <v>855</v>
      </c>
      <c r="D16" s="393" t="s">
        <v>854</v>
      </c>
      <c r="E16" s="445">
        <v>2300000.0000000009</v>
      </c>
      <c r="F16" s="448">
        <v>0</v>
      </c>
      <c r="G16" s="449">
        <f t="shared" si="2"/>
        <v>0</v>
      </c>
      <c r="H16" s="386"/>
      <c r="I16" s="461" t="s">
        <v>54</v>
      </c>
      <c r="J16" s="462">
        <f t="shared" si="0"/>
        <v>82829281.517754108</v>
      </c>
      <c r="K16" s="462">
        <f t="shared" si="1"/>
        <v>39271477.945034489</v>
      </c>
      <c r="L16" s="463">
        <f t="shared" si="3"/>
        <v>0.47412554141999669</v>
      </c>
      <c r="M16" s="388"/>
      <c r="N16" s="548" t="s">
        <v>2730</v>
      </c>
      <c r="O16" s="551">
        <v>0.3</v>
      </c>
      <c r="P16" s="551">
        <v>0.5</v>
      </c>
      <c r="Q16" s="551">
        <v>0.6</v>
      </c>
      <c r="R16" s="551">
        <v>0.7</v>
      </c>
      <c r="S16" s="551">
        <v>0.8</v>
      </c>
      <c r="T16" s="551">
        <v>1.3</v>
      </c>
      <c r="U16" s="548"/>
      <c r="V16" s="548"/>
      <c r="W16" s="552">
        <v>0.7</v>
      </c>
      <c r="X16" s="553"/>
    </row>
    <row r="17" spans="1:25" x14ac:dyDescent="0.2">
      <c r="A17" s="390" t="s">
        <v>322</v>
      </c>
      <c r="B17" s="391" t="s">
        <v>833</v>
      </c>
      <c r="C17" s="392" t="s">
        <v>55</v>
      </c>
      <c r="D17" s="394" t="s">
        <v>683</v>
      </c>
      <c r="E17" s="445">
        <v>1400000.0000000007</v>
      </c>
      <c r="F17" s="448">
        <v>1021861.9483886774</v>
      </c>
      <c r="G17" s="449">
        <f t="shared" si="2"/>
        <v>0.72990139170619783</v>
      </c>
      <c r="H17" s="386"/>
      <c r="I17" s="461" t="s">
        <v>2705</v>
      </c>
      <c r="J17" s="462">
        <f>E176-SUM(J7:J16)</f>
        <v>1510742.8533334732</v>
      </c>
      <c r="K17" s="462">
        <f>F176-SUM(K7:K16)</f>
        <v>1378366.6389479041</v>
      </c>
      <c r="L17" s="463">
        <f t="shared" si="3"/>
        <v>0.91237673963277122</v>
      </c>
      <c r="M17" s="388"/>
      <c r="N17" s="548" t="s">
        <v>2731</v>
      </c>
      <c r="O17" s="548"/>
      <c r="P17" s="551">
        <v>0.4</v>
      </c>
      <c r="Q17" s="551">
        <v>0.5</v>
      </c>
      <c r="R17" s="551">
        <v>0.5</v>
      </c>
      <c r="S17" s="551">
        <v>0.6</v>
      </c>
      <c r="T17" s="551">
        <v>0.7</v>
      </c>
      <c r="U17" s="551">
        <v>0.8</v>
      </c>
      <c r="V17" s="551">
        <v>0.8</v>
      </c>
      <c r="W17" s="552">
        <v>0.6</v>
      </c>
      <c r="X17" s="552">
        <v>0.7</v>
      </c>
    </row>
    <row r="18" spans="1:25" x14ac:dyDescent="0.2">
      <c r="A18" s="390" t="s">
        <v>336</v>
      </c>
      <c r="B18" s="391" t="s">
        <v>818</v>
      </c>
      <c r="C18" s="392" t="s">
        <v>40</v>
      </c>
      <c r="D18" s="394" t="s">
        <v>683</v>
      </c>
      <c r="E18" s="445">
        <v>349999.99999999965</v>
      </c>
      <c r="F18" s="448">
        <v>319331.85887146124</v>
      </c>
      <c r="G18" s="449">
        <f t="shared" si="2"/>
        <v>0.91237673963274735</v>
      </c>
      <c r="H18" s="386"/>
      <c r="I18" s="464" t="s">
        <v>2261</v>
      </c>
      <c r="J18" s="465">
        <f>SUM(J7:J17)</f>
        <v>637063957.17591405</v>
      </c>
      <c r="K18" s="465">
        <f>SUM(K7:K17)</f>
        <v>317694326.13816231</v>
      </c>
      <c r="L18" s="466">
        <f t="shared" si="3"/>
        <v>0.49868513602070974</v>
      </c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</row>
    <row r="19" spans="1:25" ht="26.25" thickBot="1" x14ac:dyDescent="0.25">
      <c r="A19" s="390" t="s">
        <v>343</v>
      </c>
      <c r="B19" s="391" t="s">
        <v>800</v>
      </c>
      <c r="C19" s="392" t="s">
        <v>40</v>
      </c>
      <c r="D19" s="394" t="s">
        <v>683</v>
      </c>
      <c r="E19" s="445">
        <v>850000.0000000014</v>
      </c>
      <c r="F19" s="448">
        <v>620416.18295026931</v>
      </c>
      <c r="G19" s="449">
        <f t="shared" si="2"/>
        <v>0.72990139170619794</v>
      </c>
      <c r="H19" s="386"/>
      <c r="I19" s="467" t="s">
        <v>44</v>
      </c>
      <c r="J19" s="468"/>
      <c r="K19" s="468"/>
      <c r="L19" s="469">
        <v>0.21213655866550682</v>
      </c>
      <c r="M19" s="386"/>
      <c r="N19" s="84"/>
      <c r="O19" s="85">
        <v>2016</v>
      </c>
      <c r="P19" s="85">
        <v>2017</v>
      </c>
      <c r="Q19" s="85">
        <v>2018</v>
      </c>
      <c r="R19" s="85">
        <v>2019</v>
      </c>
      <c r="S19" s="85">
        <v>2020</v>
      </c>
      <c r="T19" s="85">
        <v>2021</v>
      </c>
      <c r="U19" s="85">
        <v>2022</v>
      </c>
      <c r="V19" s="85">
        <v>2023</v>
      </c>
      <c r="W19" s="86" t="s">
        <v>2725</v>
      </c>
      <c r="X19" s="86" t="s">
        <v>3004</v>
      </c>
    </row>
    <row r="20" spans="1:25" x14ac:dyDescent="0.2">
      <c r="A20" s="390" t="s">
        <v>350</v>
      </c>
      <c r="B20" s="391" t="s">
        <v>795</v>
      </c>
      <c r="C20" s="392" t="s">
        <v>40</v>
      </c>
      <c r="D20" s="394" t="s">
        <v>683</v>
      </c>
      <c r="E20" s="445">
        <v>500000.00000000023</v>
      </c>
      <c r="F20" s="448">
        <v>364950.69585309917</v>
      </c>
      <c r="G20" s="449">
        <f t="shared" si="2"/>
        <v>0.72990139170619794</v>
      </c>
      <c r="H20" s="386"/>
      <c r="I20" s="386" t="s">
        <v>2722</v>
      </c>
      <c r="K20" s="386"/>
      <c r="L20" s="386"/>
      <c r="M20" s="386"/>
      <c r="N20" s="548" t="s">
        <v>3052</v>
      </c>
      <c r="O20" s="548"/>
      <c r="P20" s="549">
        <v>0.6</v>
      </c>
      <c r="Q20" s="549">
        <v>0.65</v>
      </c>
      <c r="R20" s="549">
        <v>0.64999999999999991</v>
      </c>
      <c r="S20" s="549">
        <v>0.75</v>
      </c>
      <c r="T20" s="549">
        <v>0.9</v>
      </c>
      <c r="U20" s="549">
        <v>1.1000000000000001</v>
      </c>
      <c r="V20" s="549">
        <v>1.1499999999999999</v>
      </c>
      <c r="W20" s="550">
        <f>AVERAGE(P20:V20)</f>
        <v>0.82857142857142863</v>
      </c>
      <c r="X20" s="550">
        <f>AVERAGE(R20:V20)</f>
        <v>0.90999999999999992</v>
      </c>
    </row>
    <row r="21" spans="1:25" x14ac:dyDescent="0.2">
      <c r="A21" s="390" t="s">
        <v>351</v>
      </c>
      <c r="B21" s="391" t="s">
        <v>794</v>
      </c>
      <c r="C21" s="392" t="s">
        <v>54</v>
      </c>
      <c r="D21" s="393" t="s">
        <v>641</v>
      </c>
      <c r="E21" s="445">
        <v>4944496.744783055</v>
      </c>
      <c r="F21" s="448">
        <v>2502079.8462751061</v>
      </c>
      <c r="G21" s="449">
        <f t="shared" si="2"/>
        <v>0.50603326797920412</v>
      </c>
      <c r="H21" s="386"/>
      <c r="I21" s="386"/>
      <c r="J21" s="386"/>
      <c r="K21" s="386"/>
      <c r="L21" s="386"/>
      <c r="M21" s="386"/>
      <c r="N21" s="892" t="s">
        <v>3167</v>
      </c>
      <c r="O21" s="548"/>
      <c r="P21" s="549">
        <v>0.6</v>
      </c>
      <c r="Q21" s="549">
        <v>0.65</v>
      </c>
      <c r="R21" s="892">
        <v>0.58830375868882923</v>
      </c>
      <c r="S21" s="892">
        <v>0.63297964894865022</v>
      </c>
      <c r="T21" s="892">
        <v>0.7265666179248671</v>
      </c>
      <c r="U21" s="892">
        <v>1.0508843810294093</v>
      </c>
      <c r="V21" s="892">
        <v>1.1697654835780329</v>
      </c>
      <c r="W21" s="893">
        <f>AVERAGE(P21:V21)</f>
        <v>0.77407141288139847</v>
      </c>
      <c r="X21" s="893">
        <f>AVERAGE(R21:V21)</f>
        <v>0.83369997803395768</v>
      </c>
    </row>
    <row r="22" spans="1:25" x14ac:dyDescent="0.2">
      <c r="A22" s="390" t="s">
        <v>1084</v>
      </c>
      <c r="B22" s="391" t="s">
        <v>2461</v>
      </c>
      <c r="C22" s="392" t="s">
        <v>855</v>
      </c>
      <c r="D22" s="393" t="s">
        <v>854</v>
      </c>
      <c r="E22" s="445">
        <v>1200000</v>
      </c>
      <c r="F22" s="448">
        <v>0</v>
      </c>
      <c r="G22" s="449">
        <f t="shared" si="2"/>
        <v>0</v>
      </c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</row>
    <row r="23" spans="1:25" x14ac:dyDescent="0.2">
      <c r="A23" s="390" t="s">
        <v>1085</v>
      </c>
      <c r="B23" s="391" t="s">
        <v>2462</v>
      </c>
      <c r="C23" s="392" t="s">
        <v>28</v>
      </c>
      <c r="D23" s="393" t="s">
        <v>641</v>
      </c>
      <c r="E23" s="445">
        <v>17092754.562516499</v>
      </c>
      <c r="F23" s="448">
        <v>9206926.8398864791</v>
      </c>
      <c r="G23" s="449">
        <f t="shared" si="2"/>
        <v>0.53864500342600008</v>
      </c>
      <c r="H23" s="386"/>
      <c r="I23" s="386"/>
      <c r="J23" s="386"/>
      <c r="K23" s="386"/>
      <c r="L23" s="386"/>
      <c r="M23" s="386"/>
    </row>
    <row r="24" spans="1:25" x14ac:dyDescent="0.2">
      <c r="A24" s="390" t="s">
        <v>367</v>
      </c>
      <c r="B24" s="391" t="s">
        <v>2463</v>
      </c>
      <c r="C24" s="392" t="s">
        <v>31</v>
      </c>
      <c r="D24" s="393" t="s">
        <v>641</v>
      </c>
      <c r="E24" s="445">
        <v>70638057.946982861</v>
      </c>
      <c r="F24" s="448">
        <v>33931040.969138339</v>
      </c>
      <c r="G24" s="449">
        <f t="shared" si="2"/>
        <v>0.48035070548804104</v>
      </c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</row>
    <row r="25" spans="1:25" x14ac:dyDescent="0.2">
      <c r="A25" s="390" t="s">
        <v>370</v>
      </c>
      <c r="B25" s="391" t="s">
        <v>2464</v>
      </c>
      <c r="C25" s="392" t="s">
        <v>41</v>
      </c>
      <c r="D25" s="393" t="s">
        <v>683</v>
      </c>
      <c r="E25" s="445">
        <v>600000</v>
      </c>
      <c r="F25" s="448">
        <v>443415.0954615153</v>
      </c>
      <c r="G25" s="449">
        <f t="shared" si="2"/>
        <v>0.73902515910252553</v>
      </c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</row>
    <row r="26" spans="1:25" x14ac:dyDescent="0.2">
      <c r="A26" s="390" t="s">
        <v>371</v>
      </c>
      <c r="B26" s="391" t="s">
        <v>2465</v>
      </c>
      <c r="C26" s="392" t="s">
        <v>55</v>
      </c>
      <c r="D26" s="394" t="s">
        <v>683</v>
      </c>
      <c r="E26" s="445">
        <v>250000.00000000015</v>
      </c>
      <c r="F26" s="448">
        <v>216689.47566277764</v>
      </c>
      <c r="G26" s="449">
        <f t="shared" si="2"/>
        <v>0.86675790265111008</v>
      </c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</row>
    <row r="27" spans="1:25" x14ac:dyDescent="0.2">
      <c r="A27" s="390" t="s">
        <v>372</v>
      </c>
      <c r="B27" s="391" t="s">
        <v>777</v>
      </c>
      <c r="C27" s="392" t="s">
        <v>36</v>
      </c>
      <c r="D27" s="394" t="s">
        <v>36</v>
      </c>
      <c r="E27" s="445">
        <v>314103.60671640793</v>
      </c>
      <c r="F27" s="448">
        <v>113475.6885354344</v>
      </c>
      <c r="G27" s="449">
        <f t="shared" si="2"/>
        <v>0.361268339837585</v>
      </c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  <c r="T27" s="386"/>
      <c r="U27" s="386"/>
      <c r="V27" s="386"/>
      <c r="W27" s="386"/>
    </row>
    <row r="28" spans="1:25" x14ac:dyDescent="0.2">
      <c r="A28" s="390" t="s">
        <v>374</v>
      </c>
      <c r="B28" s="391" t="s">
        <v>776</v>
      </c>
      <c r="C28" s="392" t="s">
        <v>36</v>
      </c>
      <c r="D28" s="394" t="s">
        <v>36</v>
      </c>
      <c r="E28" s="445">
        <v>139529.36999547761</v>
      </c>
      <c r="F28" s="448">
        <v>15993.389444289889</v>
      </c>
      <c r="G28" s="449">
        <f t="shared" si="2"/>
        <v>0.11462382038138826</v>
      </c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</row>
    <row r="29" spans="1:25" x14ac:dyDescent="0.2">
      <c r="A29" s="390" t="s">
        <v>376</v>
      </c>
      <c r="B29" s="391" t="s">
        <v>775</v>
      </c>
      <c r="C29" s="392" t="s">
        <v>40</v>
      </c>
      <c r="D29" s="394" t="s">
        <v>670</v>
      </c>
      <c r="E29" s="445">
        <v>2013795.9466459639</v>
      </c>
      <c r="F29" s="448">
        <v>1837340.5800864866</v>
      </c>
      <c r="G29" s="449">
        <f t="shared" si="2"/>
        <v>0.91237673963274735</v>
      </c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6"/>
      <c r="S29" s="386"/>
      <c r="T29" s="386"/>
      <c r="U29" s="386"/>
      <c r="V29" s="386"/>
      <c r="W29" s="386"/>
    </row>
    <row r="30" spans="1:25" x14ac:dyDescent="0.2">
      <c r="A30" s="390" t="s">
        <v>378</v>
      </c>
      <c r="B30" s="391" t="s">
        <v>2466</v>
      </c>
      <c r="C30" s="392" t="s">
        <v>55</v>
      </c>
      <c r="D30" s="393" t="s">
        <v>683</v>
      </c>
      <c r="E30" s="445">
        <v>500000.00000000006</v>
      </c>
      <c r="F30" s="448">
        <v>364950.69585309899</v>
      </c>
      <c r="G30" s="449">
        <f t="shared" si="2"/>
        <v>0.72990139170619794</v>
      </c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386"/>
      <c r="V30" s="386"/>
      <c r="W30" s="386"/>
    </row>
    <row r="31" spans="1:25" x14ac:dyDescent="0.2">
      <c r="A31" s="390" t="s">
        <v>379</v>
      </c>
      <c r="B31" s="391" t="s">
        <v>2673</v>
      </c>
      <c r="C31" s="392" t="s">
        <v>60</v>
      </c>
      <c r="D31" s="394" t="s">
        <v>641</v>
      </c>
      <c r="E31" s="445">
        <v>2199999.853491989</v>
      </c>
      <c r="F31" s="448">
        <v>96385.16985778122</v>
      </c>
      <c r="G31" s="449">
        <f t="shared" si="2"/>
        <v>4.3811443762049415E-2</v>
      </c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86"/>
      <c r="S31" s="386"/>
      <c r="T31" s="386"/>
      <c r="U31" s="386"/>
      <c r="V31" s="386"/>
      <c r="W31" s="386"/>
    </row>
    <row r="32" spans="1:25" x14ac:dyDescent="0.2">
      <c r="A32" s="390" t="s">
        <v>381</v>
      </c>
      <c r="B32" s="391" t="s">
        <v>2467</v>
      </c>
      <c r="C32" s="392" t="s">
        <v>55</v>
      </c>
      <c r="D32" s="394" t="s">
        <v>683</v>
      </c>
      <c r="E32" s="445">
        <v>1811829.7110833339</v>
      </c>
      <c r="F32" s="448">
        <v>611710.9328765861</v>
      </c>
      <c r="G32" s="449">
        <f t="shared" si="2"/>
        <v>0.33762054410225467</v>
      </c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</row>
    <row r="33" spans="1:23" x14ac:dyDescent="0.2">
      <c r="A33" s="390" t="s">
        <v>382</v>
      </c>
      <c r="B33" s="391" t="s">
        <v>2468</v>
      </c>
      <c r="C33" s="392" t="s">
        <v>55</v>
      </c>
      <c r="D33" s="394" t="s">
        <v>683</v>
      </c>
      <c r="E33" s="445">
        <v>1205000</v>
      </c>
      <c r="F33" s="448">
        <v>1044443.2726945877</v>
      </c>
      <c r="G33" s="449">
        <f t="shared" si="2"/>
        <v>0.86675790265111008</v>
      </c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6"/>
      <c r="U33" s="386"/>
      <c r="V33" s="386"/>
      <c r="W33" s="386"/>
    </row>
    <row r="34" spans="1:23" x14ac:dyDescent="0.2">
      <c r="A34" s="390" t="s">
        <v>383</v>
      </c>
      <c r="B34" s="391" t="s">
        <v>2469</v>
      </c>
      <c r="C34" s="392" t="s">
        <v>55</v>
      </c>
      <c r="D34" s="394" t="s">
        <v>683</v>
      </c>
      <c r="E34" s="445">
        <v>2835243.4334166683</v>
      </c>
      <c r="F34" s="448">
        <v>569271.47549596126</v>
      </c>
      <c r="G34" s="449">
        <f t="shared" si="2"/>
        <v>0.2007839851726414</v>
      </c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</row>
    <row r="35" spans="1:23" x14ac:dyDescent="0.2">
      <c r="A35" s="390" t="s">
        <v>385</v>
      </c>
      <c r="B35" s="391" t="s">
        <v>2470</v>
      </c>
      <c r="C35" s="392" t="s">
        <v>55</v>
      </c>
      <c r="D35" s="394" t="s">
        <v>683</v>
      </c>
      <c r="E35" s="445">
        <v>1100000.0000000014</v>
      </c>
      <c r="F35" s="448">
        <v>802891.5308768187</v>
      </c>
      <c r="G35" s="449">
        <f t="shared" si="2"/>
        <v>0.72990139170619783</v>
      </c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</row>
    <row r="36" spans="1:23" x14ac:dyDescent="0.2">
      <c r="A36" s="390" t="s">
        <v>386</v>
      </c>
      <c r="B36" s="391" t="s">
        <v>2471</v>
      </c>
      <c r="C36" s="392" t="s">
        <v>55</v>
      </c>
      <c r="D36" s="394" t="s">
        <v>683</v>
      </c>
      <c r="E36" s="445">
        <v>2999368.2580833337</v>
      </c>
      <c r="F36" s="448">
        <v>2736553.8322680248</v>
      </c>
      <c r="G36" s="449">
        <f t="shared" si="2"/>
        <v>0.91237673963274735</v>
      </c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</row>
    <row r="37" spans="1:23" x14ac:dyDescent="0.2">
      <c r="A37" s="390" t="s">
        <v>388</v>
      </c>
      <c r="B37" s="391" t="s">
        <v>2674</v>
      </c>
      <c r="C37" s="392" t="s">
        <v>40</v>
      </c>
      <c r="D37" s="394" t="s">
        <v>670</v>
      </c>
      <c r="E37" s="445">
        <v>2924949.7770005153</v>
      </c>
      <c r="F37" s="448">
        <v>2668656.1411292613</v>
      </c>
      <c r="G37" s="449">
        <f t="shared" si="2"/>
        <v>0.91237673963274724</v>
      </c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</row>
    <row r="38" spans="1:23" x14ac:dyDescent="0.2">
      <c r="A38" s="390" t="s">
        <v>392</v>
      </c>
      <c r="B38" s="391" t="s">
        <v>2472</v>
      </c>
      <c r="C38" s="392" t="s">
        <v>55</v>
      </c>
      <c r="D38" s="394" t="s">
        <v>683</v>
      </c>
      <c r="E38" s="445">
        <v>1100000</v>
      </c>
      <c r="F38" s="448">
        <v>802891.53087681788</v>
      </c>
      <c r="G38" s="449">
        <f t="shared" si="2"/>
        <v>0.72990139170619805</v>
      </c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</row>
    <row r="39" spans="1:23" x14ac:dyDescent="0.2">
      <c r="A39" s="390" t="s">
        <v>393</v>
      </c>
      <c r="B39" s="391" t="s">
        <v>2473</v>
      </c>
      <c r="C39" s="392" t="s">
        <v>55</v>
      </c>
      <c r="D39" s="394" t="s">
        <v>683</v>
      </c>
      <c r="E39" s="445">
        <v>2749999.9999999986</v>
      </c>
      <c r="F39" s="448">
        <v>2007228.8271920434</v>
      </c>
      <c r="G39" s="449">
        <f t="shared" si="2"/>
        <v>0.72990139170619794</v>
      </c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</row>
    <row r="40" spans="1:23" x14ac:dyDescent="0.2">
      <c r="A40" s="390" t="s">
        <v>394</v>
      </c>
      <c r="B40" s="391" t="s">
        <v>765</v>
      </c>
      <c r="C40" s="392" t="s">
        <v>36</v>
      </c>
      <c r="D40" s="394" t="s">
        <v>36</v>
      </c>
      <c r="E40" s="445">
        <v>606866.84100197686</v>
      </c>
      <c r="F40" s="448">
        <v>159912.68910243156</v>
      </c>
      <c r="G40" s="449">
        <f t="shared" si="2"/>
        <v>0.26350539904010117</v>
      </c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</row>
    <row r="41" spans="1:23" x14ac:dyDescent="0.2">
      <c r="A41" s="390" t="s">
        <v>396</v>
      </c>
      <c r="B41" s="391" t="s">
        <v>764</v>
      </c>
      <c r="C41" s="392" t="s">
        <v>36</v>
      </c>
      <c r="D41" s="394" t="s">
        <v>36</v>
      </c>
      <c r="E41" s="445">
        <v>310769.17352408927</v>
      </c>
      <c r="F41" s="448">
        <v>112350.89354036603</v>
      </c>
      <c r="G41" s="449">
        <f t="shared" si="2"/>
        <v>0.36152521907600704</v>
      </c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</row>
    <row r="42" spans="1:23" x14ac:dyDescent="0.2">
      <c r="A42" s="390" t="s">
        <v>398</v>
      </c>
      <c r="B42" s="391" t="s">
        <v>763</v>
      </c>
      <c r="C42" s="392" t="s">
        <v>36</v>
      </c>
      <c r="D42" s="394" t="s">
        <v>36</v>
      </c>
      <c r="E42" s="445">
        <v>186420.38778084284</v>
      </c>
      <c r="F42" s="448">
        <v>21368.217044420067</v>
      </c>
      <c r="G42" s="449">
        <f t="shared" si="2"/>
        <v>0.11462382038138821</v>
      </c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</row>
    <row r="43" spans="1:23" x14ac:dyDescent="0.2">
      <c r="A43" s="390" t="s">
        <v>400</v>
      </c>
      <c r="B43" s="391" t="s">
        <v>2474</v>
      </c>
      <c r="C43" s="392" t="s">
        <v>55</v>
      </c>
      <c r="D43" s="394" t="s">
        <v>683</v>
      </c>
      <c r="E43" s="445">
        <v>1400629.0363333323</v>
      </c>
      <c r="F43" s="448">
        <v>971233.28387940419</v>
      </c>
      <c r="G43" s="449">
        <f t="shared" si="2"/>
        <v>0.69342649529954681</v>
      </c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</row>
    <row r="44" spans="1:23" x14ac:dyDescent="0.2">
      <c r="A44" s="390" t="s">
        <v>401</v>
      </c>
      <c r="B44" s="391" t="s">
        <v>2475</v>
      </c>
      <c r="C44" s="392" t="s">
        <v>55</v>
      </c>
      <c r="D44" s="394" t="s">
        <v>683</v>
      </c>
      <c r="E44" s="445">
        <v>2750000.0000000042</v>
      </c>
      <c r="F44" s="448">
        <v>2007228.8271920481</v>
      </c>
      <c r="G44" s="449">
        <f t="shared" si="2"/>
        <v>0.72990139170619817</v>
      </c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  <c r="U44" s="386"/>
      <c r="V44" s="386"/>
      <c r="W44" s="386"/>
    </row>
    <row r="45" spans="1:23" x14ac:dyDescent="0.2">
      <c r="A45" s="390" t="s">
        <v>402</v>
      </c>
      <c r="B45" s="391" t="s">
        <v>2476</v>
      </c>
      <c r="C45" s="392" t="s">
        <v>55</v>
      </c>
      <c r="D45" s="394" t="s">
        <v>683</v>
      </c>
      <c r="E45" s="445">
        <v>1300000.0000000033</v>
      </c>
      <c r="F45" s="448">
        <v>948871.80921805976</v>
      </c>
      <c r="G45" s="449">
        <f t="shared" si="2"/>
        <v>0.72990139170619794</v>
      </c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86"/>
      <c r="T45" s="386"/>
      <c r="U45" s="386"/>
      <c r="V45" s="386"/>
      <c r="W45" s="386"/>
    </row>
    <row r="46" spans="1:23" x14ac:dyDescent="0.2">
      <c r="A46" s="390" t="s">
        <v>404</v>
      </c>
      <c r="B46" s="391" t="s">
        <v>762</v>
      </c>
      <c r="C46" s="392" t="s">
        <v>40</v>
      </c>
      <c r="D46" s="394" t="s">
        <v>683</v>
      </c>
      <c r="E46" s="445">
        <v>1800000.0000000023</v>
      </c>
      <c r="F46" s="448">
        <v>1478050.3182050528</v>
      </c>
      <c r="G46" s="449">
        <f t="shared" si="2"/>
        <v>0.8211390656694727</v>
      </c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86"/>
      <c r="U46" s="386"/>
      <c r="V46" s="386"/>
      <c r="W46" s="386"/>
    </row>
    <row r="47" spans="1:23" x14ac:dyDescent="0.2">
      <c r="A47" s="390" t="s">
        <v>406</v>
      </c>
      <c r="B47" s="391" t="s">
        <v>2675</v>
      </c>
      <c r="C47" s="392" t="s">
        <v>60</v>
      </c>
      <c r="D47" s="394" t="s">
        <v>641</v>
      </c>
      <c r="E47" s="445">
        <v>2199999.853491989</v>
      </c>
      <c r="F47" s="448">
        <v>96385.169857781206</v>
      </c>
      <c r="G47" s="449">
        <f t="shared" si="2"/>
        <v>4.3811443762049408E-2</v>
      </c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86"/>
      <c r="T47" s="386"/>
      <c r="U47" s="386"/>
      <c r="V47" s="386"/>
      <c r="W47" s="386"/>
    </row>
    <row r="48" spans="1:23" x14ac:dyDescent="0.2">
      <c r="A48" s="390" t="s">
        <v>410</v>
      </c>
      <c r="B48" s="391" t="s">
        <v>760</v>
      </c>
      <c r="C48" s="392" t="s">
        <v>54</v>
      </c>
      <c r="D48" s="394" t="s">
        <v>683</v>
      </c>
      <c r="E48" s="445">
        <v>800000.00000000023</v>
      </c>
      <c r="F48" s="448">
        <v>583921.11336495855</v>
      </c>
      <c r="G48" s="449">
        <f t="shared" si="2"/>
        <v>0.72990139170619794</v>
      </c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</row>
    <row r="49" spans="1:23" x14ac:dyDescent="0.2">
      <c r="A49" s="390" t="s">
        <v>411</v>
      </c>
      <c r="B49" s="391" t="s">
        <v>759</v>
      </c>
      <c r="C49" s="392" t="s">
        <v>36</v>
      </c>
      <c r="D49" s="394" t="s">
        <v>36</v>
      </c>
      <c r="E49" s="445">
        <v>228075.23035458912</v>
      </c>
      <c r="F49" s="448">
        <v>56775.97766267207</v>
      </c>
      <c r="G49" s="449">
        <f t="shared" si="2"/>
        <v>0.24893530776841624</v>
      </c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86"/>
      <c r="S49" s="386"/>
      <c r="T49" s="386"/>
      <c r="U49" s="386"/>
      <c r="V49" s="386"/>
      <c r="W49" s="386"/>
    </row>
    <row r="50" spans="1:23" x14ac:dyDescent="0.2">
      <c r="A50" s="390" t="s">
        <v>413</v>
      </c>
      <c r="B50" s="391" t="s">
        <v>758</v>
      </c>
      <c r="C50" s="392" t="s">
        <v>36</v>
      </c>
      <c r="D50" s="394" t="s">
        <v>36</v>
      </c>
      <c r="E50" s="445">
        <v>326774.45284721826</v>
      </c>
      <c r="F50" s="448">
        <v>108629.90951669392</v>
      </c>
      <c r="G50" s="449">
        <f t="shared" si="2"/>
        <v>0.33243085121921478</v>
      </c>
      <c r="H50" s="386"/>
      <c r="I50" s="386"/>
      <c r="J50" s="386"/>
      <c r="K50" s="386"/>
      <c r="L50" s="386"/>
      <c r="M50" s="386"/>
      <c r="N50" s="386"/>
      <c r="O50" s="386"/>
      <c r="P50" s="386"/>
      <c r="Q50" s="386"/>
      <c r="R50" s="386"/>
      <c r="S50" s="386"/>
      <c r="T50" s="386"/>
      <c r="U50" s="386"/>
      <c r="V50" s="386"/>
      <c r="W50" s="386"/>
    </row>
    <row r="51" spans="1:23" x14ac:dyDescent="0.2">
      <c r="A51" s="390" t="s">
        <v>1086</v>
      </c>
      <c r="B51" s="391" t="s">
        <v>2477</v>
      </c>
      <c r="C51" s="392" t="s">
        <v>36</v>
      </c>
      <c r="D51" s="393" t="s">
        <v>36</v>
      </c>
      <c r="E51" s="445">
        <v>50000.000000000044</v>
      </c>
      <c r="F51" s="448">
        <v>16449.506958531005</v>
      </c>
      <c r="G51" s="449">
        <f t="shared" si="2"/>
        <v>0.32899013917061981</v>
      </c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</row>
    <row r="52" spans="1:23" x14ac:dyDescent="0.2">
      <c r="A52" s="390" t="s">
        <v>415</v>
      </c>
      <c r="B52" s="391" t="s">
        <v>757</v>
      </c>
      <c r="C52" s="392" t="s">
        <v>36</v>
      </c>
      <c r="D52" s="394" t="s">
        <v>36</v>
      </c>
      <c r="E52" s="445">
        <v>152717.04020818978</v>
      </c>
      <c r="F52" s="448">
        <v>39995.610774128378</v>
      </c>
      <c r="G52" s="449">
        <f t="shared" si="2"/>
        <v>0.26189356943799341</v>
      </c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</row>
    <row r="53" spans="1:23" x14ac:dyDescent="0.2">
      <c r="A53" s="390" t="s">
        <v>1087</v>
      </c>
      <c r="B53" s="391" t="s">
        <v>2478</v>
      </c>
      <c r="C53" s="392" t="s">
        <v>36</v>
      </c>
      <c r="D53" s="393" t="s">
        <v>36</v>
      </c>
      <c r="E53" s="445">
        <v>10000.000000000011</v>
      </c>
      <c r="F53" s="448">
        <v>3424.7534792654978</v>
      </c>
      <c r="G53" s="449">
        <f t="shared" si="2"/>
        <v>0.34247534792654943</v>
      </c>
      <c r="H53" s="386"/>
      <c r="I53" s="386"/>
      <c r="J53" s="386"/>
      <c r="K53" s="386"/>
      <c r="L53" s="386"/>
      <c r="M53" s="386"/>
      <c r="N53" s="386"/>
      <c r="O53" s="386"/>
      <c r="P53" s="386"/>
      <c r="Q53" s="386"/>
      <c r="R53" s="386"/>
      <c r="S53" s="386"/>
      <c r="T53" s="386"/>
      <c r="U53" s="386"/>
      <c r="V53" s="386"/>
      <c r="W53" s="386"/>
    </row>
    <row r="54" spans="1:23" x14ac:dyDescent="0.2">
      <c r="A54" s="390" t="s">
        <v>417</v>
      </c>
      <c r="B54" s="391" t="s">
        <v>756</v>
      </c>
      <c r="C54" s="392" t="s">
        <v>36</v>
      </c>
      <c r="D54" s="394" t="s">
        <v>36</v>
      </c>
      <c r="E54" s="445">
        <v>234744.0967392262</v>
      </c>
      <c r="F54" s="448">
        <v>60625.567652808677</v>
      </c>
      <c r="G54" s="449">
        <f t="shared" si="2"/>
        <v>0.25826237377188122</v>
      </c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86"/>
      <c r="U54" s="386"/>
      <c r="V54" s="386"/>
      <c r="W54" s="386"/>
    </row>
    <row r="55" spans="1:23" x14ac:dyDescent="0.2">
      <c r="A55" s="390" t="s">
        <v>418</v>
      </c>
      <c r="B55" s="391" t="s">
        <v>755</v>
      </c>
      <c r="C55" s="392" t="s">
        <v>36</v>
      </c>
      <c r="D55" s="394" t="s">
        <v>36</v>
      </c>
      <c r="E55" s="445">
        <v>248179.28925425099</v>
      </c>
      <c r="F55" s="448">
        <v>28447.25827385985</v>
      </c>
      <c r="G55" s="449">
        <f t="shared" si="2"/>
        <v>0.11462382038138819</v>
      </c>
      <c r="H55" s="386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  <c r="U55" s="386"/>
      <c r="V55" s="386"/>
      <c r="W55" s="386"/>
    </row>
    <row r="56" spans="1:23" x14ac:dyDescent="0.2">
      <c r="A56" s="390" t="s">
        <v>420</v>
      </c>
      <c r="B56" s="391" t="s">
        <v>751</v>
      </c>
      <c r="C56" s="392" t="s">
        <v>40</v>
      </c>
      <c r="D56" s="394" t="s">
        <v>685</v>
      </c>
      <c r="E56" s="445">
        <v>6472513.1743685352</v>
      </c>
      <c r="F56" s="448">
        <v>1202022.6799805451</v>
      </c>
      <c r="G56" s="449">
        <f t="shared" si="2"/>
        <v>0.18571189391172085</v>
      </c>
      <c r="H56" s="386"/>
      <c r="I56" s="386"/>
      <c r="J56" s="386"/>
      <c r="K56" s="386"/>
      <c r="L56" s="386"/>
      <c r="M56" s="386"/>
      <c r="N56" s="386"/>
      <c r="O56" s="386"/>
      <c r="P56" s="386"/>
      <c r="Q56" s="386"/>
      <c r="R56" s="386"/>
      <c r="S56" s="386"/>
      <c r="T56" s="386"/>
      <c r="U56" s="386"/>
      <c r="V56" s="386"/>
      <c r="W56" s="386"/>
    </row>
    <row r="57" spans="1:23" x14ac:dyDescent="0.2">
      <c r="A57" s="390" t="s">
        <v>422</v>
      </c>
      <c r="B57" s="391" t="s">
        <v>750</v>
      </c>
      <c r="C57" s="392" t="s">
        <v>40</v>
      </c>
      <c r="D57" s="394" t="s">
        <v>683</v>
      </c>
      <c r="E57" s="445">
        <v>1800000.0000000014</v>
      </c>
      <c r="F57" s="448">
        <v>1478050.3182050521</v>
      </c>
      <c r="G57" s="449">
        <f t="shared" si="2"/>
        <v>0.8211390656694727</v>
      </c>
      <c r="H57" s="386"/>
      <c r="I57" s="386"/>
      <c r="J57" s="386"/>
      <c r="K57" s="386"/>
      <c r="L57" s="386"/>
      <c r="M57" s="386"/>
      <c r="N57" s="386"/>
      <c r="O57" s="386"/>
      <c r="P57" s="386"/>
      <c r="Q57" s="386"/>
      <c r="R57" s="386"/>
      <c r="S57" s="386"/>
      <c r="T57" s="386"/>
      <c r="U57" s="386"/>
      <c r="V57" s="386"/>
      <c r="W57" s="386"/>
    </row>
    <row r="58" spans="1:23" x14ac:dyDescent="0.2">
      <c r="A58" s="390" t="s">
        <v>424</v>
      </c>
      <c r="B58" s="391" t="s">
        <v>749</v>
      </c>
      <c r="C58" s="392" t="s">
        <v>36</v>
      </c>
      <c r="D58" s="394" t="s">
        <v>36</v>
      </c>
      <c r="E58" s="445">
        <v>326774.45284721814</v>
      </c>
      <c r="F58" s="448">
        <v>83029.909516693937</v>
      </c>
      <c r="G58" s="449">
        <f t="shared" si="2"/>
        <v>0.25408935366044105</v>
      </c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386"/>
      <c r="S58" s="386"/>
      <c r="T58" s="386"/>
      <c r="U58" s="386"/>
      <c r="V58" s="386"/>
      <c r="W58" s="386"/>
    </row>
    <row r="59" spans="1:23" x14ac:dyDescent="0.2">
      <c r="A59" s="390" t="s">
        <v>426</v>
      </c>
      <c r="B59" s="391" t="s">
        <v>748</v>
      </c>
      <c r="C59" s="392" t="s">
        <v>36</v>
      </c>
      <c r="D59" s="394" t="s">
        <v>36</v>
      </c>
      <c r="E59" s="445">
        <v>341445.95889341994</v>
      </c>
      <c r="F59" s="448">
        <v>114219.00749499445</v>
      </c>
      <c r="G59" s="449">
        <f t="shared" si="2"/>
        <v>0.33451562251655509</v>
      </c>
      <c r="H59" s="386"/>
      <c r="I59" s="386"/>
      <c r="J59" s="386"/>
      <c r="K59" s="386"/>
      <c r="L59" s="386"/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</row>
    <row r="60" spans="1:23" x14ac:dyDescent="0.2">
      <c r="A60" s="390" t="s">
        <v>1088</v>
      </c>
      <c r="B60" s="391" t="s">
        <v>2479</v>
      </c>
      <c r="C60" s="392" t="s">
        <v>36</v>
      </c>
      <c r="D60" s="393" t="s">
        <v>36</v>
      </c>
      <c r="E60" s="445">
        <v>30000.000000000025</v>
      </c>
      <c r="F60" s="448">
        <v>10173.121372127021</v>
      </c>
      <c r="G60" s="449">
        <f t="shared" si="2"/>
        <v>0.33910404573756708</v>
      </c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</row>
    <row r="61" spans="1:23" x14ac:dyDescent="0.2">
      <c r="A61" s="390" t="s">
        <v>428</v>
      </c>
      <c r="B61" s="391" t="s">
        <v>747</v>
      </c>
      <c r="C61" s="392" t="s">
        <v>36</v>
      </c>
      <c r="D61" s="394" t="s">
        <v>36</v>
      </c>
      <c r="E61" s="445">
        <v>233311.40556620824</v>
      </c>
      <c r="F61" s="448">
        <v>26743.044644550275</v>
      </c>
      <c r="G61" s="449">
        <f t="shared" si="2"/>
        <v>0.11462382038138823</v>
      </c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</row>
    <row r="62" spans="1:23" x14ac:dyDescent="0.2">
      <c r="A62" s="390" t="s">
        <v>430</v>
      </c>
      <c r="B62" s="391" t="s">
        <v>2480</v>
      </c>
      <c r="C62" s="392" t="s">
        <v>55</v>
      </c>
      <c r="D62" s="394" t="s">
        <v>683</v>
      </c>
      <c r="E62" s="445">
        <v>1199000.0000000007</v>
      </c>
      <c r="F62" s="448">
        <v>831394.18022294529</v>
      </c>
      <c r="G62" s="449">
        <f t="shared" si="2"/>
        <v>0.69340632212088804</v>
      </c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</row>
    <row r="63" spans="1:23" x14ac:dyDescent="0.2">
      <c r="A63" s="390" t="s">
        <v>431</v>
      </c>
      <c r="B63" s="391" t="s">
        <v>2481</v>
      </c>
      <c r="C63" s="392" t="s">
        <v>55</v>
      </c>
      <c r="D63" s="394" t="s">
        <v>683</v>
      </c>
      <c r="E63" s="445">
        <v>1299500.0000000005</v>
      </c>
      <c r="F63" s="448">
        <v>948506.85852220433</v>
      </c>
      <c r="G63" s="449">
        <f t="shared" si="2"/>
        <v>0.72990139170619772</v>
      </c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386"/>
      <c r="V63" s="386"/>
      <c r="W63" s="386"/>
    </row>
    <row r="64" spans="1:23" x14ac:dyDescent="0.2">
      <c r="A64" s="390" t="s">
        <v>432</v>
      </c>
      <c r="B64" s="391" t="s">
        <v>2676</v>
      </c>
      <c r="C64" s="392" t="s">
        <v>40</v>
      </c>
      <c r="D64" s="394" t="s">
        <v>683</v>
      </c>
      <c r="E64" s="445">
        <v>899999.85714285751</v>
      </c>
      <c r="F64" s="448">
        <v>821138.93532993866</v>
      </c>
      <c r="G64" s="449">
        <f t="shared" si="2"/>
        <v>0.91237673963274724</v>
      </c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386"/>
      <c r="V64" s="386"/>
      <c r="W64" s="386"/>
    </row>
    <row r="65" spans="1:23" x14ac:dyDescent="0.2">
      <c r="A65" s="390" t="s">
        <v>434</v>
      </c>
      <c r="B65" s="391" t="s">
        <v>746</v>
      </c>
      <c r="C65" s="392" t="s">
        <v>40</v>
      </c>
      <c r="D65" s="394" t="s">
        <v>685</v>
      </c>
      <c r="E65" s="445">
        <v>4512113.3001555521</v>
      </c>
      <c r="F65" s="448">
        <v>2119558.4957911819</v>
      </c>
      <c r="G65" s="449">
        <f t="shared" si="2"/>
        <v>0.46974850913387117</v>
      </c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</row>
    <row r="66" spans="1:23" x14ac:dyDescent="0.2">
      <c r="A66" s="390" t="s">
        <v>436</v>
      </c>
      <c r="B66" s="391" t="s">
        <v>745</v>
      </c>
      <c r="C66" s="392" t="s">
        <v>36</v>
      </c>
      <c r="D66" s="394" t="s">
        <v>36</v>
      </c>
      <c r="E66" s="445">
        <v>367454.53779350524</v>
      </c>
      <c r="F66" s="448">
        <v>133072.4084565274</v>
      </c>
      <c r="G66" s="449">
        <f t="shared" si="2"/>
        <v>0.36214659167254254</v>
      </c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386"/>
      <c r="V66" s="386"/>
      <c r="W66" s="386"/>
    </row>
    <row r="67" spans="1:23" x14ac:dyDescent="0.2">
      <c r="A67" s="390" t="s">
        <v>438</v>
      </c>
      <c r="B67" s="391" t="s">
        <v>744</v>
      </c>
      <c r="C67" s="392" t="s">
        <v>36</v>
      </c>
      <c r="D67" s="394" t="s">
        <v>36</v>
      </c>
      <c r="E67" s="445">
        <v>139529.36999547752</v>
      </c>
      <c r="F67" s="448">
        <v>15993.389444289873</v>
      </c>
      <c r="G67" s="449">
        <f t="shared" si="2"/>
        <v>0.11462382038138821</v>
      </c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</row>
    <row r="68" spans="1:23" x14ac:dyDescent="0.2">
      <c r="A68" s="390" t="s">
        <v>440</v>
      </c>
      <c r="B68" s="391" t="s">
        <v>743</v>
      </c>
      <c r="C68" s="392" t="s">
        <v>36</v>
      </c>
      <c r="D68" s="394" t="s">
        <v>36</v>
      </c>
      <c r="E68" s="445">
        <v>171389.86608517394</v>
      </c>
      <c r="F68" s="448">
        <v>50454.462746510959</v>
      </c>
      <c r="G68" s="449">
        <f t="shared" si="2"/>
        <v>0.29438416575596776</v>
      </c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386"/>
      <c r="V68" s="386"/>
      <c r="W68" s="386"/>
    </row>
    <row r="69" spans="1:23" x14ac:dyDescent="0.2">
      <c r="A69" s="390" t="s">
        <v>442</v>
      </c>
      <c r="B69" s="391" t="s">
        <v>742</v>
      </c>
      <c r="C69" s="392" t="s">
        <v>40</v>
      </c>
      <c r="D69" s="394" t="s">
        <v>683</v>
      </c>
      <c r="E69" s="445">
        <v>1799999.9999999995</v>
      </c>
      <c r="F69" s="448">
        <v>1478050.3182050504</v>
      </c>
      <c r="G69" s="449">
        <f t="shared" si="2"/>
        <v>0.8211390656694727</v>
      </c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</row>
    <row r="70" spans="1:23" x14ac:dyDescent="0.2">
      <c r="A70" s="390" t="s">
        <v>444</v>
      </c>
      <c r="B70" s="391" t="s">
        <v>2482</v>
      </c>
      <c r="C70" s="392" t="s">
        <v>55</v>
      </c>
      <c r="D70" s="394" t="s">
        <v>683</v>
      </c>
      <c r="E70" s="445">
        <v>1199000.0000000019</v>
      </c>
      <c r="F70" s="448">
        <v>831394.18022294634</v>
      </c>
      <c r="G70" s="449">
        <f t="shared" si="2"/>
        <v>0.69340632212088826</v>
      </c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</row>
    <row r="71" spans="1:23" x14ac:dyDescent="0.2">
      <c r="A71" s="390" t="s">
        <v>445</v>
      </c>
      <c r="B71" s="391" t="s">
        <v>2483</v>
      </c>
      <c r="C71" s="392" t="s">
        <v>55</v>
      </c>
      <c r="D71" s="394" t="s">
        <v>683</v>
      </c>
      <c r="E71" s="445">
        <v>2749999.9999999991</v>
      </c>
      <c r="F71" s="448">
        <v>2007228.8271920434</v>
      </c>
      <c r="G71" s="449">
        <f t="shared" si="2"/>
        <v>0.72990139170619783</v>
      </c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</row>
    <row r="72" spans="1:23" x14ac:dyDescent="0.2">
      <c r="A72" s="390" t="s">
        <v>446</v>
      </c>
      <c r="B72" s="391" t="s">
        <v>2484</v>
      </c>
      <c r="C72" s="392" t="s">
        <v>55</v>
      </c>
      <c r="D72" s="394" t="s">
        <v>683</v>
      </c>
      <c r="E72" s="445">
        <v>2162328.303000004</v>
      </c>
      <c r="F72" s="448">
        <v>1578437.5825635181</v>
      </c>
      <c r="G72" s="449">
        <f t="shared" ref="G72:G135" si="4">F72/E72</f>
        <v>0.72997129084126644</v>
      </c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</row>
    <row r="73" spans="1:23" x14ac:dyDescent="0.2">
      <c r="A73" s="390" t="s">
        <v>447</v>
      </c>
      <c r="B73" s="391" t="s">
        <v>2485</v>
      </c>
      <c r="C73" s="392" t="s">
        <v>55</v>
      </c>
      <c r="D73" s="394" t="s">
        <v>683</v>
      </c>
      <c r="E73" s="445">
        <v>810000.00000000047</v>
      </c>
      <c r="F73" s="448">
        <v>591220.12728202075</v>
      </c>
      <c r="G73" s="449">
        <f t="shared" si="4"/>
        <v>0.72990139170619805</v>
      </c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</row>
    <row r="74" spans="1:23" x14ac:dyDescent="0.2">
      <c r="A74" s="390" t="s">
        <v>449</v>
      </c>
      <c r="B74" s="391" t="s">
        <v>741</v>
      </c>
      <c r="C74" s="392" t="s">
        <v>40</v>
      </c>
      <c r="D74" s="394" t="s">
        <v>685</v>
      </c>
      <c r="E74" s="445">
        <v>800219.4221133329</v>
      </c>
      <c r="F74" s="448">
        <v>584121.30899732444</v>
      </c>
      <c r="G74" s="449">
        <f t="shared" si="4"/>
        <v>0.72995142689075709</v>
      </c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</row>
    <row r="75" spans="1:23" x14ac:dyDescent="0.2">
      <c r="A75" s="390" t="s">
        <v>459</v>
      </c>
      <c r="B75" s="391" t="s">
        <v>739</v>
      </c>
      <c r="C75" s="392" t="s">
        <v>40</v>
      </c>
      <c r="D75" s="394" t="s">
        <v>683</v>
      </c>
      <c r="E75" s="445">
        <v>499999.99999999977</v>
      </c>
      <c r="F75" s="448">
        <v>456188.36981637345</v>
      </c>
      <c r="G75" s="449">
        <f t="shared" si="4"/>
        <v>0.91237673963274735</v>
      </c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</row>
    <row r="76" spans="1:23" x14ac:dyDescent="0.2">
      <c r="A76" s="390" t="s">
        <v>463</v>
      </c>
      <c r="B76" s="391" t="s">
        <v>738</v>
      </c>
      <c r="C76" s="392" t="s">
        <v>40</v>
      </c>
      <c r="D76" s="394" t="s">
        <v>683</v>
      </c>
      <c r="E76" s="445">
        <v>899999.9999999993</v>
      </c>
      <c r="F76" s="448">
        <v>821139.06566947198</v>
      </c>
      <c r="G76" s="449">
        <f t="shared" si="4"/>
        <v>0.91237673963274735</v>
      </c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</row>
    <row r="77" spans="1:23" x14ac:dyDescent="0.2">
      <c r="A77" s="390" t="s">
        <v>465</v>
      </c>
      <c r="B77" s="391" t="s">
        <v>737</v>
      </c>
      <c r="C77" s="392" t="s">
        <v>40</v>
      </c>
      <c r="D77" s="394" t="s">
        <v>683</v>
      </c>
      <c r="E77" s="445">
        <v>1500000.0000000023</v>
      </c>
      <c r="F77" s="448">
        <v>1368565.109449123</v>
      </c>
      <c r="G77" s="449">
        <f t="shared" si="4"/>
        <v>0.91237673963274724</v>
      </c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</row>
    <row r="78" spans="1:23" x14ac:dyDescent="0.2">
      <c r="A78" s="390" t="s">
        <v>470</v>
      </c>
      <c r="B78" s="391" t="s">
        <v>735</v>
      </c>
      <c r="C78" s="392" t="s">
        <v>40</v>
      </c>
      <c r="D78" s="394" t="s">
        <v>683</v>
      </c>
      <c r="E78" s="445">
        <v>900000.00000000047</v>
      </c>
      <c r="F78" s="448">
        <v>821139.06566947303</v>
      </c>
      <c r="G78" s="449">
        <f t="shared" si="4"/>
        <v>0.91237673963274735</v>
      </c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</row>
    <row r="79" spans="1:23" x14ac:dyDescent="0.2">
      <c r="A79" s="390" t="s">
        <v>473</v>
      </c>
      <c r="B79" s="391" t="s">
        <v>2486</v>
      </c>
      <c r="C79" s="392" t="s">
        <v>55</v>
      </c>
      <c r="D79" s="394" t="s">
        <v>683</v>
      </c>
      <c r="E79" s="445">
        <v>500000.00000000017</v>
      </c>
      <c r="F79" s="448">
        <v>433378.95132555516</v>
      </c>
      <c r="G79" s="449">
        <f t="shared" si="4"/>
        <v>0.86675790265110997</v>
      </c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</row>
    <row r="80" spans="1:23" x14ac:dyDescent="0.2">
      <c r="A80" s="390" t="s">
        <v>478</v>
      </c>
      <c r="B80" s="391" t="s">
        <v>2487</v>
      </c>
      <c r="C80" s="392" t="s">
        <v>55</v>
      </c>
      <c r="D80" s="394" t="s">
        <v>683</v>
      </c>
      <c r="E80" s="445">
        <v>670902.92333333427</v>
      </c>
      <c r="F80" s="448">
        <v>495970.66284569784</v>
      </c>
      <c r="G80" s="449">
        <f t="shared" si="4"/>
        <v>0.73925846139036366</v>
      </c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</row>
    <row r="81" spans="1:23" x14ac:dyDescent="0.2">
      <c r="A81" s="390" t="s">
        <v>481</v>
      </c>
      <c r="B81" s="391" t="s">
        <v>2677</v>
      </c>
      <c r="C81" s="392" t="s">
        <v>60</v>
      </c>
      <c r="D81" s="394" t="s">
        <v>641</v>
      </c>
      <c r="E81" s="445">
        <v>2199999.8534919885</v>
      </c>
      <c r="F81" s="448">
        <v>96385.169857781191</v>
      </c>
      <c r="G81" s="449">
        <f t="shared" si="4"/>
        <v>4.3811443762049408E-2</v>
      </c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</row>
    <row r="82" spans="1:23" x14ac:dyDescent="0.2">
      <c r="A82" s="390" t="s">
        <v>483</v>
      </c>
      <c r="B82" s="391" t="s">
        <v>2678</v>
      </c>
      <c r="C82" s="392" t="s">
        <v>60</v>
      </c>
      <c r="D82" s="394" t="s">
        <v>641</v>
      </c>
      <c r="E82" s="445">
        <v>2199999.8534919894</v>
      </c>
      <c r="F82" s="448">
        <v>96385.16985778122</v>
      </c>
      <c r="G82" s="449">
        <f t="shared" si="4"/>
        <v>4.3811443762049401E-2</v>
      </c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</row>
    <row r="83" spans="1:23" x14ac:dyDescent="0.2">
      <c r="A83" s="390" t="s">
        <v>485</v>
      </c>
      <c r="B83" s="391" t="s">
        <v>2679</v>
      </c>
      <c r="C83" s="392" t="s">
        <v>60</v>
      </c>
      <c r="D83" s="394" t="s">
        <v>641</v>
      </c>
      <c r="E83" s="445">
        <v>2199999.8534919885</v>
      </c>
      <c r="F83" s="448">
        <v>96385.169857781191</v>
      </c>
      <c r="G83" s="449">
        <f t="shared" si="4"/>
        <v>4.3811443762049408E-2</v>
      </c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</row>
    <row r="84" spans="1:23" x14ac:dyDescent="0.2">
      <c r="A84" s="390" t="s">
        <v>491</v>
      </c>
      <c r="B84" s="391" t="s">
        <v>2488</v>
      </c>
      <c r="C84" s="392" t="s">
        <v>40</v>
      </c>
      <c r="D84" s="394" t="s">
        <v>641</v>
      </c>
      <c r="E84" s="445">
        <v>28204402.99413944</v>
      </c>
      <c r="F84" s="448">
        <v>16149021.975983441</v>
      </c>
      <c r="G84" s="449">
        <f t="shared" si="4"/>
        <v>0.57257095565323712</v>
      </c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</row>
    <row r="85" spans="1:23" x14ac:dyDescent="0.2">
      <c r="A85" s="390" t="s">
        <v>493</v>
      </c>
      <c r="B85" s="391" t="s">
        <v>730</v>
      </c>
      <c r="C85" s="392" t="s">
        <v>40</v>
      </c>
      <c r="D85" s="394" t="s">
        <v>641</v>
      </c>
      <c r="E85" s="445">
        <v>4528054.8069074797</v>
      </c>
      <c r="F85" s="448">
        <v>1524083.2293319672</v>
      </c>
      <c r="G85" s="449">
        <f t="shared" si="4"/>
        <v>0.3365867451531287</v>
      </c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</row>
    <row r="86" spans="1:23" x14ac:dyDescent="0.2">
      <c r="A86" s="390" t="s">
        <v>495</v>
      </c>
      <c r="B86" s="391" t="s">
        <v>2489</v>
      </c>
      <c r="C86" s="392" t="s">
        <v>40</v>
      </c>
      <c r="D86" s="394" t="s">
        <v>641</v>
      </c>
      <c r="E86" s="445">
        <v>4585312.8705540625</v>
      </c>
      <c r="F86" s="448">
        <v>1671358.6425222845</v>
      </c>
      <c r="G86" s="449">
        <f t="shared" si="4"/>
        <v>0.36450263912314607</v>
      </c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</row>
    <row r="87" spans="1:23" x14ac:dyDescent="0.2">
      <c r="A87" s="390" t="s">
        <v>497</v>
      </c>
      <c r="B87" s="391" t="s">
        <v>2490</v>
      </c>
      <c r="C87" s="392" t="s">
        <v>40</v>
      </c>
      <c r="D87" s="394" t="s">
        <v>641</v>
      </c>
      <c r="E87" s="445">
        <v>10415359.576725176</v>
      </c>
      <c r="F87" s="448">
        <v>3802086.2924549296</v>
      </c>
      <c r="G87" s="449">
        <f t="shared" si="4"/>
        <v>0.36504609029066198</v>
      </c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</row>
    <row r="88" spans="1:23" x14ac:dyDescent="0.2">
      <c r="A88" s="390" t="s">
        <v>506</v>
      </c>
      <c r="B88" s="391" t="s">
        <v>2680</v>
      </c>
      <c r="C88" s="392" t="s">
        <v>54</v>
      </c>
      <c r="D88" s="393"/>
      <c r="E88" s="445">
        <v>1293343.1164258183</v>
      </c>
      <c r="F88" s="448">
        <v>657333.32511412504</v>
      </c>
      <c r="G88" s="449">
        <f t="shared" si="4"/>
        <v>0.50824357184555935</v>
      </c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</row>
    <row r="89" spans="1:23" x14ac:dyDescent="0.2">
      <c r="A89" s="390" t="s">
        <v>508</v>
      </c>
      <c r="B89" s="391" t="s">
        <v>727</v>
      </c>
      <c r="C89" s="392" t="s">
        <v>54</v>
      </c>
      <c r="D89" s="394" t="s">
        <v>641</v>
      </c>
      <c r="E89" s="445">
        <v>1527651.8762031121</v>
      </c>
      <c r="F89" s="448">
        <v>819804.15184899454</v>
      </c>
      <c r="G89" s="449">
        <f t="shared" si="4"/>
        <v>0.53664330507456259</v>
      </c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386"/>
      <c r="V89" s="386"/>
      <c r="W89" s="386"/>
    </row>
    <row r="90" spans="1:23" x14ac:dyDescent="0.2">
      <c r="A90" s="390" t="s">
        <v>510</v>
      </c>
      <c r="B90" s="391" t="s">
        <v>2491</v>
      </c>
      <c r="C90" s="392" t="s">
        <v>40</v>
      </c>
      <c r="D90" s="394" t="s">
        <v>641</v>
      </c>
      <c r="E90" s="445">
        <v>1014869.7344428858</v>
      </c>
      <c r="F90" s="448">
        <v>704980.34770663595</v>
      </c>
      <c r="G90" s="449">
        <f t="shared" si="4"/>
        <v>0.69465107075405685</v>
      </c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386"/>
      <c r="V90" s="386"/>
      <c r="W90" s="386"/>
    </row>
    <row r="91" spans="1:23" x14ac:dyDescent="0.2">
      <c r="A91" s="390" t="s">
        <v>512</v>
      </c>
      <c r="B91" s="391" t="s">
        <v>2681</v>
      </c>
      <c r="C91" s="392" t="s">
        <v>40</v>
      </c>
      <c r="D91" s="394" t="s">
        <v>641</v>
      </c>
      <c r="E91" s="445">
        <v>8897735.7054316569</v>
      </c>
      <c r="F91" s="448">
        <v>4384002.8457981497</v>
      </c>
      <c r="G91" s="449">
        <f t="shared" si="4"/>
        <v>0.49270994227463044</v>
      </c>
      <c r="H91" s="386"/>
      <c r="I91" s="386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</row>
    <row r="92" spans="1:23" x14ac:dyDescent="0.2">
      <c r="A92" s="390" t="s">
        <v>514</v>
      </c>
      <c r="B92" s="391" t="s">
        <v>2492</v>
      </c>
      <c r="C92" s="392" t="s">
        <v>40</v>
      </c>
      <c r="D92" s="394" t="s">
        <v>641</v>
      </c>
      <c r="E92" s="445">
        <v>6539891.4532681815</v>
      </c>
      <c r="F92" s="448">
        <v>2524485.6201557354</v>
      </c>
      <c r="G92" s="449">
        <f t="shared" si="4"/>
        <v>0.38601338236190047</v>
      </c>
      <c r="H92" s="386"/>
      <c r="I92" s="386"/>
      <c r="J92" s="386"/>
      <c r="K92" s="386"/>
      <c r="L92" s="386"/>
      <c r="M92" s="386"/>
      <c r="N92" s="386"/>
      <c r="O92" s="386"/>
      <c r="P92" s="386"/>
      <c r="Q92" s="386"/>
      <c r="R92" s="386"/>
      <c r="S92" s="386"/>
      <c r="T92" s="386"/>
      <c r="U92" s="386"/>
      <c r="V92" s="386"/>
      <c r="W92" s="386"/>
    </row>
    <row r="93" spans="1:23" x14ac:dyDescent="0.2">
      <c r="A93" s="390" t="s">
        <v>516</v>
      </c>
      <c r="B93" s="391" t="s">
        <v>725</v>
      </c>
      <c r="C93" s="392" t="s">
        <v>54</v>
      </c>
      <c r="D93" s="393"/>
      <c r="E93" s="445">
        <v>2899088.9948037155</v>
      </c>
      <c r="F93" s="448">
        <v>1546773.0661656503</v>
      </c>
      <c r="G93" s="449">
        <f t="shared" si="4"/>
        <v>0.53353762817839101</v>
      </c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386"/>
    </row>
    <row r="94" spans="1:23" x14ac:dyDescent="0.2">
      <c r="A94" s="390" t="s">
        <v>518</v>
      </c>
      <c r="B94" s="391" t="s">
        <v>2682</v>
      </c>
      <c r="C94" s="392" t="s">
        <v>41</v>
      </c>
      <c r="D94" s="394" t="s">
        <v>641</v>
      </c>
      <c r="E94" s="445">
        <v>2856507.2516622036</v>
      </c>
      <c r="F94" s="448">
        <v>1365074.1925705646</v>
      </c>
      <c r="G94" s="449">
        <f t="shared" si="4"/>
        <v>0.47788227800795074</v>
      </c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386"/>
      <c r="V94" s="386"/>
      <c r="W94" s="386"/>
    </row>
    <row r="95" spans="1:23" x14ac:dyDescent="0.2">
      <c r="A95" s="390" t="s">
        <v>525</v>
      </c>
      <c r="B95" s="391" t="s">
        <v>719</v>
      </c>
      <c r="C95" s="392" t="s">
        <v>54</v>
      </c>
      <c r="D95" s="393" t="s">
        <v>641</v>
      </c>
      <c r="E95" s="445">
        <v>14514519.361543212</v>
      </c>
      <c r="F95" s="448">
        <v>6643363.942597148</v>
      </c>
      <c r="G95" s="449">
        <f t="shared" si="4"/>
        <v>0.45770471464587392</v>
      </c>
      <c r="H95" s="386"/>
      <c r="I95" s="386"/>
      <c r="J95" s="386"/>
      <c r="K95" s="386"/>
      <c r="L95" s="386"/>
      <c r="M95" s="386"/>
      <c r="N95" s="386"/>
      <c r="O95" s="386"/>
      <c r="P95" s="386"/>
      <c r="Q95" s="386"/>
      <c r="R95" s="386"/>
      <c r="S95" s="386"/>
      <c r="T95" s="386"/>
      <c r="U95" s="386"/>
      <c r="V95" s="386"/>
      <c r="W95" s="386"/>
    </row>
    <row r="96" spans="1:23" x14ac:dyDescent="0.2">
      <c r="A96" s="390" t="s">
        <v>526</v>
      </c>
      <c r="B96" s="391" t="s">
        <v>2683</v>
      </c>
      <c r="C96" s="392" t="s">
        <v>54</v>
      </c>
      <c r="D96" s="394" t="s">
        <v>641</v>
      </c>
      <c r="E96" s="445">
        <v>4603151.9942290848</v>
      </c>
      <c r="F96" s="448">
        <v>1769368.1634146022</v>
      </c>
      <c r="G96" s="449">
        <f t="shared" si="4"/>
        <v>0.38438186825741089</v>
      </c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86"/>
      <c r="S96" s="386"/>
      <c r="T96" s="386"/>
      <c r="U96" s="386"/>
      <c r="V96" s="386"/>
      <c r="W96" s="386"/>
    </row>
    <row r="97" spans="1:23" x14ac:dyDescent="0.2">
      <c r="A97" s="390" t="s">
        <v>534</v>
      </c>
      <c r="B97" s="391" t="s">
        <v>714</v>
      </c>
      <c r="C97" s="392" t="s">
        <v>36</v>
      </c>
      <c r="D97" s="394" t="s">
        <v>36</v>
      </c>
      <c r="E97" s="445">
        <v>510835.16506320256</v>
      </c>
      <c r="F97" s="448">
        <v>184638.59324446437</v>
      </c>
      <c r="G97" s="449">
        <f t="shared" si="4"/>
        <v>0.36144456347600923</v>
      </c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86"/>
      <c r="S97" s="386"/>
      <c r="T97" s="386"/>
      <c r="U97" s="386"/>
      <c r="V97" s="386"/>
      <c r="W97" s="386"/>
    </row>
    <row r="98" spans="1:23" x14ac:dyDescent="0.2">
      <c r="A98" s="390" t="s">
        <v>536</v>
      </c>
      <c r="B98" s="391" t="s">
        <v>713</v>
      </c>
      <c r="C98" s="392" t="s">
        <v>36</v>
      </c>
      <c r="D98" s="394" t="s">
        <v>36</v>
      </c>
      <c r="E98" s="445">
        <v>510835.16506320285</v>
      </c>
      <c r="F98" s="448">
        <v>184638.59324446449</v>
      </c>
      <c r="G98" s="449">
        <f t="shared" si="4"/>
        <v>0.36144456347600923</v>
      </c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386"/>
    </row>
    <row r="99" spans="1:23" x14ac:dyDescent="0.2">
      <c r="A99" s="390" t="s">
        <v>538</v>
      </c>
      <c r="B99" s="391" t="s">
        <v>712</v>
      </c>
      <c r="C99" s="392" t="s">
        <v>36</v>
      </c>
      <c r="D99" s="394" t="s">
        <v>36</v>
      </c>
      <c r="E99" s="445">
        <v>510835.16506320331</v>
      </c>
      <c r="F99" s="448">
        <v>184638.5932444646</v>
      </c>
      <c r="G99" s="449">
        <f t="shared" si="4"/>
        <v>0.36144456347600917</v>
      </c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386"/>
      <c r="V99" s="386"/>
      <c r="W99" s="386"/>
    </row>
    <row r="100" spans="1:23" x14ac:dyDescent="0.2">
      <c r="A100" s="390" t="s">
        <v>540</v>
      </c>
      <c r="B100" s="391" t="s">
        <v>2684</v>
      </c>
      <c r="C100" s="392" t="s">
        <v>54</v>
      </c>
      <c r="D100" s="393" t="s">
        <v>641</v>
      </c>
      <c r="E100" s="445">
        <v>435592.65451870119</v>
      </c>
      <c r="F100" s="448">
        <v>90504.123198967805</v>
      </c>
      <c r="G100" s="449">
        <f t="shared" si="4"/>
        <v>0.20777238151310978</v>
      </c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386"/>
      <c r="V100" s="386"/>
      <c r="W100" s="386"/>
    </row>
    <row r="101" spans="1:23" x14ac:dyDescent="0.2">
      <c r="A101" s="390" t="s">
        <v>541</v>
      </c>
      <c r="B101" s="391" t="s">
        <v>2493</v>
      </c>
      <c r="C101" s="392" t="s">
        <v>54</v>
      </c>
      <c r="D101" s="394" t="s">
        <v>685</v>
      </c>
      <c r="E101" s="445">
        <v>1259251.884938071</v>
      </c>
      <c r="F101" s="448">
        <v>465886.04184829863</v>
      </c>
      <c r="G101" s="449">
        <f t="shared" si="4"/>
        <v>0.36997049392640818</v>
      </c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</row>
    <row r="102" spans="1:23" x14ac:dyDescent="0.2">
      <c r="A102" s="390" t="s">
        <v>543</v>
      </c>
      <c r="B102" s="391" t="s">
        <v>711</v>
      </c>
      <c r="C102" s="392" t="s">
        <v>36</v>
      </c>
      <c r="D102" s="394" t="s">
        <v>36</v>
      </c>
      <c r="E102" s="445">
        <v>112036.95526190345</v>
      </c>
      <c r="F102" s="448">
        <v>24353.111834295058</v>
      </c>
      <c r="G102" s="449">
        <f t="shared" si="4"/>
        <v>0.21736677667976562</v>
      </c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</row>
    <row r="103" spans="1:23" x14ac:dyDescent="0.2">
      <c r="A103" s="390" t="s">
        <v>547</v>
      </c>
      <c r="B103" s="391" t="s">
        <v>709</v>
      </c>
      <c r="C103" s="392" t="s">
        <v>28</v>
      </c>
      <c r="D103" s="394" t="s">
        <v>685</v>
      </c>
      <c r="E103" s="445">
        <v>1707120.3536132397</v>
      </c>
      <c r="F103" s="448">
        <v>535918.84415424825</v>
      </c>
      <c r="G103" s="449">
        <f t="shared" si="4"/>
        <v>0.31393149464824699</v>
      </c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</row>
    <row r="104" spans="1:23" x14ac:dyDescent="0.2">
      <c r="A104" s="390" t="s">
        <v>549</v>
      </c>
      <c r="B104" s="391" t="s">
        <v>2685</v>
      </c>
      <c r="C104" s="392" t="s">
        <v>40</v>
      </c>
      <c r="D104" s="394" t="s">
        <v>685</v>
      </c>
      <c r="E104" s="445">
        <v>3643741.3339553121</v>
      </c>
      <c r="F104" s="448">
        <v>2360506.2840406657</v>
      </c>
      <c r="G104" s="449">
        <f t="shared" si="4"/>
        <v>0.64782487770017316</v>
      </c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386"/>
      <c r="V104" s="386"/>
      <c r="W104" s="386"/>
    </row>
    <row r="105" spans="1:23" x14ac:dyDescent="0.2">
      <c r="A105" s="390" t="s">
        <v>550</v>
      </c>
      <c r="B105" s="391" t="s">
        <v>2686</v>
      </c>
      <c r="C105" s="392" t="s">
        <v>54</v>
      </c>
      <c r="D105" s="394" t="s">
        <v>641</v>
      </c>
      <c r="E105" s="445">
        <v>6478070.3922762703</v>
      </c>
      <c r="F105" s="448">
        <v>3202327.4367760979</v>
      </c>
      <c r="G105" s="449">
        <f t="shared" si="4"/>
        <v>0.49433353496655369</v>
      </c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386"/>
      <c r="V105" s="386"/>
      <c r="W105" s="386"/>
    </row>
    <row r="106" spans="1:23" x14ac:dyDescent="0.2">
      <c r="A106" s="390" t="s">
        <v>552</v>
      </c>
      <c r="B106" s="391" t="s">
        <v>708</v>
      </c>
      <c r="C106" s="392" t="s">
        <v>54</v>
      </c>
      <c r="D106" s="393" t="s">
        <v>641</v>
      </c>
      <c r="E106" s="445">
        <v>2565254.8226042041</v>
      </c>
      <c r="F106" s="448">
        <v>1444740.4550044197</v>
      </c>
      <c r="G106" s="449">
        <f t="shared" si="4"/>
        <v>0.56319568811403431</v>
      </c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386"/>
      <c r="V106" s="386"/>
      <c r="W106" s="386"/>
    </row>
    <row r="107" spans="1:23" x14ac:dyDescent="0.2">
      <c r="A107" s="390" t="s">
        <v>553</v>
      </c>
      <c r="B107" s="391" t="s">
        <v>707</v>
      </c>
      <c r="C107" s="392" t="s">
        <v>54</v>
      </c>
      <c r="D107" s="393" t="s">
        <v>641</v>
      </c>
      <c r="E107" s="445">
        <v>1927469.6714345366</v>
      </c>
      <c r="F107" s="448">
        <v>1102399.0480433123</v>
      </c>
      <c r="G107" s="449">
        <f t="shared" si="4"/>
        <v>0.57194106054226101</v>
      </c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</row>
    <row r="108" spans="1:23" x14ac:dyDescent="0.2">
      <c r="A108" s="390" t="s">
        <v>554</v>
      </c>
      <c r="B108" s="391" t="s">
        <v>706</v>
      </c>
      <c r="C108" s="392" t="s">
        <v>54</v>
      </c>
      <c r="D108" s="394" t="s">
        <v>641</v>
      </c>
      <c r="E108" s="445">
        <v>786466.19160719449</v>
      </c>
      <c r="F108" s="448">
        <v>587632.60363788321</v>
      </c>
      <c r="G108" s="449">
        <f t="shared" si="4"/>
        <v>0.7471810103330927</v>
      </c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</row>
    <row r="109" spans="1:23" x14ac:dyDescent="0.2">
      <c r="A109" s="390" t="s">
        <v>556</v>
      </c>
      <c r="B109" s="391" t="s">
        <v>2494</v>
      </c>
      <c r="C109" s="392" t="s">
        <v>40</v>
      </c>
      <c r="D109" s="394" t="s">
        <v>641</v>
      </c>
      <c r="E109" s="445">
        <v>1164204.0462271464</v>
      </c>
      <c r="F109" s="448">
        <v>591921.19910361408</v>
      </c>
      <c r="G109" s="449">
        <f t="shared" si="4"/>
        <v>0.5084342397038234</v>
      </c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</row>
    <row r="110" spans="1:23" x14ac:dyDescent="0.2">
      <c r="A110" s="390" t="s">
        <v>558</v>
      </c>
      <c r="B110" s="391" t="s">
        <v>2687</v>
      </c>
      <c r="C110" s="392" t="s">
        <v>41</v>
      </c>
      <c r="D110" s="394" t="s">
        <v>641</v>
      </c>
      <c r="E110" s="445">
        <v>8539155.218797477</v>
      </c>
      <c r="F110" s="448">
        <v>4765565.8408172727</v>
      </c>
      <c r="G110" s="449">
        <f t="shared" si="4"/>
        <v>0.55808399293722888</v>
      </c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</row>
    <row r="111" spans="1:23" x14ac:dyDescent="0.2">
      <c r="A111" s="390" t="s">
        <v>560</v>
      </c>
      <c r="B111" s="391" t="s">
        <v>2688</v>
      </c>
      <c r="C111" s="392" t="s">
        <v>40</v>
      </c>
      <c r="D111" s="394" t="s">
        <v>641</v>
      </c>
      <c r="E111" s="445">
        <v>2588973.8476620531</v>
      </c>
      <c r="F111" s="448">
        <v>599445.63523364323</v>
      </c>
      <c r="G111" s="449">
        <f t="shared" si="4"/>
        <v>0.23153792603002407</v>
      </c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6"/>
      <c r="W111" s="386"/>
    </row>
    <row r="112" spans="1:23" x14ac:dyDescent="0.2">
      <c r="A112" s="390" t="s">
        <v>563</v>
      </c>
      <c r="B112" s="391" t="s">
        <v>704</v>
      </c>
      <c r="C112" s="392" t="s">
        <v>40</v>
      </c>
      <c r="D112" s="394" t="s">
        <v>641</v>
      </c>
      <c r="E112" s="445">
        <v>1292571.5559140895</v>
      </c>
      <c r="F112" s="448">
        <v>224063.73810781981</v>
      </c>
      <c r="G112" s="449">
        <f t="shared" si="4"/>
        <v>0.17334726041481308</v>
      </c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386"/>
      <c r="V112" s="386"/>
      <c r="W112" s="386"/>
    </row>
    <row r="113" spans="1:23" x14ac:dyDescent="0.2">
      <c r="A113" s="390" t="s">
        <v>565</v>
      </c>
      <c r="B113" s="391" t="s">
        <v>702</v>
      </c>
      <c r="C113" s="392" t="s">
        <v>40</v>
      </c>
      <c r="D113" s="394" t="s">
        <v>641</v>
      </c>
      <c r="E113" s="445">
        <v>4050754.5602235808</v>
      </c>
      <c r="F113" s="448">
        <v>2259667.6975110071</v>
      </c>
      <c r="G113" s="449">
        <f t="shared" si="4"/>
        <v>0.55783870978010697</v>
      </c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</row>
    <row r="114" spans="1:23" x14ac:dyDescent="0.2">
      <c r="A114" s="390" t="s">
        <v>567</v>
      </c>
      <c r="B114" s="391" t="s">
        <v>2495</v>
      </c>
      <c r="C114" s="392" t="s">
        <v>41</v>
      </c>
      <c r="D114" s="393" t="s">
        <v>641</v>
      </c>
      <c r="E114" s="445">
        <v>56223720.886387639</v>
      </c>
      <c r="F114" s="448">
        <v>25423583.260888856</v>
      </c>
      <c r="G114" s="449">
        <f t="shared" si="4"/>
        <v>0.45218606773220832</v>
      </c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</row>
    <row r="115" spans="1:23" x14ac:dyDescent="0.2">
      <c r="A115" s="390" t="s">
        <v>569</v>
      </c>
      <c r="B115" s="391" t="s">
        <v>2496</v>
      </c>
      <c r="C115" s="392" t="s">
        <v>41</v>
      </c>
      <c r="D115" s="393" t="s">
        <v>641</v>
      </c>
      <c r="E115" s="445">
        <v>16570070.1872811</v>
      </c>
      <c r="F115" s="448">
        <v>11206653.023994189</v>
      </c>
      <c r="G115" s="449">
        <f t="shared" si="4"/>
        <v>0.67631898340395824</v>
      </c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386"/>
      <c r="V115" s="386"/>
      <c r="W115" s="386"/>
    </row>
    <row r="116" spans="1:23" x14ac:dyDescent="0.2">
      <c r="A116" s="390" t="s">
        <v>579</v>
      </c>
      <c r="B116" s="391" t="s">
        <v>2689</v>
      </c>
      <c r="C116" s="392" t="s">
        <v>40</v>
      </c>
      <c r="D116" s="394" t="s">
        <v>641</v>
      </c>
      <c r="E116" s="445">
        <v>2011614.5314359325</v>
      </c>
      <c r="F116" s="448">
        <v>654529.87113117054</v>
      </c>
      <c r="G116" s="449">
        <f t="shared" si="4"/>
        <v>0.3253753941934161</v>
      </c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386"/>
      <c r="V116" s="386"/>
      <c r="W116" s="386"/>
    </row>
    <row r="117" spans="1:23" x14ac:dyDescent="0.2">
      <c r="A117" s="390" t="s">
        <v>581</v>
      </c>
      <c r="B117" s="391" t="s">
        <v>2690</v>
      </c>
      <c r="C117" s="392" t="s">
        <v>40</v>
      </c>
      <c r="D117" s="394" t="s">
        <v>641</v>
      </c>
      <c r="E117" s="445">
        <v>5124251.777921794</v>
      </c>
      <c r="F117" s="448">
        <v>2841198.6041656365</v>
      </c>
      <c r="G117" s="449">
        <f t="shared" si="4"/>
        <v>0.55446116375607157</v>
      </c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386"/>
      <c r="V117" s="386"/>
      <c r="W117" s="386"/>
    </row>
    <row r="118" spans="1:23" x14ac:dyDescent="0.2">
      <c r="A118" s="390" t="s">
        <v>584</v>
      </c>
      <c r="B118" s="391" t="s">
        <v>2497</v>
      </c>
      <c r="C118" s="392" t="s">
        <v>55</v>
      </c>
      <c r="D118" s="394" t="s">
        <v>683</v>
      </c>
      <c r="E118" s="445">
        <v>1560000.0000000005</v>
      </c>
      <c r="F118" s="448">
        <v>1423307.7138270864</v>
      </c>
      <c r="G118" s="449">
        <f t="shared" si="4"/>
        <v>0.91237673963274746</v>
      </c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386"/>
      <c r="V118" s="386"/>
      <c r="W118" s="386"/>
    </row>
    <row r="119" spans="1:23" x14ac:dyDescent="0.2">
      <c r="A119" s="390" t="s">
        <v>585</v>
      </c>
      <c r="B119" s="391" t="s">
        <v>2498</v>
      </c>
      <c r="C119" s="392" t="s">
        <v>55</v>
      </c>
      <c r="D119" s="394" t="s">
        <v>683</v>
      </c>
      <c r="E119" s="445">
        <v>310000.00000000006</v>
      </c>
      <c r="F119" s="448">
        <v>226269.43142892141</v>
      </c>
      <c r="G119" s="449">
        <f t="shared" si="4"/>
        <v>0.72990139170619794</v>
      </c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386"/>
      <c r="V119" s="386"/>
      <c r="W119" s="386"/>
    </row>
    <row r="120" spans="1:23" x14ac:dyDescent="0.2">
      <c r="A120" s="390" t="s">
        <v>590</v>
      </c>
      <c r="B120" s="391" t="s">
        <v>687</v>
      </c>
      <c r="C120" s="392" t="s">
        <v>40</v>
      </c>
      <c r="D120" s="394" t="s">
        <v>685</v>
      </c>
      <c r="E120" s="445">
        <v>1000176.2233333336</v>
      </c>
      <c r="F120" s="448">
        <v>730062.17377651215</v>
      </c>
      <c r="G120" s="449">
        <f t="shared" si="4"/>
        <v>0.72993354245454878</v>
      </c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386"/>
      <c r="V120" s="386"/>
      <c r="W120" s="386"/>
    </row>
    <row r="121" spans="1:23" x14ac:dyDescent="0.2">
      <c r="A121" s="390" t="s">
        <v>592</v>
      </c>
      <c r="B121" s="391" t="s">
        <v>2691</v>
      </c>
      <c r="C121" s="392" t="s">
        <v>40</v>
      </c>
      <c r="D121" s="394" t="s">
        <v>685</v>
      </c>
      <c r="E121" s="445">
        <v>1049655.2431666674</v>
      </c>
      <c r="F121" s="448">
        <v>775205.68057227309</v>
      </c>
      <c r="G121" s="449">
        <f t="shared" si="4"/>
        <v>0.73853361436425813</v>
      </c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386"/>
      <c r="V121" s="386"/>
      <c r="W121" s="386"/>
    </row>
    <row r="122" spans="1:23" x14ac:dyDescent="0.2">
      <c r="A122" s="390" t="s">
        <v>594</v>
      </c>
      <c r="B122" s="391" t="s">
        <v>2692</v>
      </c>
      <c r="C122" s="392" t="s">
        <v>40</v>
      </c>
      <c r="D122" s="394" t="s">
        <v>685</v>
      </c>
      <c r="E122" s="445">
        <v>399747.83000000031</v>
      </c>
      <c r="F122" s="448">
        <v>291730.48264004622</v>
      </c>
      <c r="G122" s="449">
        <f t="shared" si="4"/>
        <v>0.72978628211701857</v>
      </c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386"/>
      <c r="V122" s="386"/>
      <c r="W122" s="386"/>
    </row>
    <row r="123" spans="1:23" x14ac:dyDescent="0.2">
      <c r="A123" s="390" t="s">
        <v>596</v>
      </c>
      <c r="B123" s="391" t="s">
        <v>2693</v>
      </c>
      <c r="C123" s="392" t="s">
        <v>40</v>
      </c>
      <c r="D123" s="394" t="s">
        <v>685</v>
      </c>
      <c r="E123" s="445">
        <v>10399350.342041129</v>
      </c>
      <c r="F123" s="448">
        <v>6094223.534775666</v>
      </c>
      <c r="G123" s="449">
        <f t="shared" si="4"/>
        <v>0.58601963914406641</v>
      </c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386"/>
      <c r="V123" s="386"/>
      <c r="W123" s="386"/>
    </row>
    <row r="124" spans="1:23" x14ac:dyDescent="0.2">
      <c r="A124" s="390" t="s">
        <v>598</v>
      </c>
      <c r="B124" s="391" t="s">
        <v>2499</v>
      </c>
      <c r="C124" s="392" t="s">
        <v>41</v>
      </c>
      <c r="D124" s="393" t="s">
        <v>683</v>
      </c>
      <c r="E124" s="445">
        <v>380000.00000000023</v>
      </c>
      <c r="F124" s="448">
        <v>277362.52884835534</v>
      </c>
      <c r="G124" s="449">
        <f t="shared" si="4"/>
        <v>0.72990139170619783</v>
      </c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386"/>
      <c r="V124" s="386"/>
      <c r="W124" s="386"/>
    </row>
    <row r="125" spans="1:23" x14ac:dyDescent="0.2">
      <c r="A125" s="390" t="s">
        <v>600</v>
      </c>
      <c r="B125" s="391" t="s">
        <v>2500</v>
      </c>
      <c r="C125" s="392" t="s">
        <v>55</v>
      </c>
      <c r="D125" s="394" t="s">
        <v>683</v>
      </c>
      <c r="E125" s="445">
        <v>310000.00000000023</v>
      </c>
      <c r="F125" s="448">
        <v>282836.78928615188</v>
      </c>
      <c r="G125" s="449">
        <f t="shared" si="4"/>
        <v>0.91237673963274735</v>
      </c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386"/>
      <c r="V125" s="386"/>
      <c r="W125" s="386"/>
    </row>
    <row r="126" spans="1:23" x14ac:dyDescent="0.2">
      <c r="A126" s="390" t="s">
        <v>601</v>
      </c>
      <c r="B126" s="391" t="s">
        <v>2501</v>
      </c>
      <c r="C126" s="392" t="s">
        <v>55</v>
      </c>
      <c r="D126" s="394" t="s">
        <v>683</v>
      </c>
      <c r="E126" s="445">
        <v>674999.99999999988</v>
      </c>
      <c r="F126" s="448">
        <v>615854.29925210436</v>
      </c>
      <c r="G126" s="449">
        <f t="shared" si="4"/>
        <v>0.91237673963274735</v>
      </c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386"/>
      <c r="V126" s="386"/>
      <c r="W126" s="386"/>
    </row>
    <row r="127" spans="1:23" x14ac:dyDescent="0.2">
      <c r="A127" s="390" t="s">
        <v>602</v>
      </c>
      <c r="B127" s="391" t="s">
        <v>2502</v>
      </c>
      <c r="C127" s="392" t="s">
        <v>55</v>
      </c>
      <c r="D127" s="394" t="s">
        <v>683</v>
      </c>
      <c r="E127" s="445">
        <v>1100000.0000000014</v>
      </c>
      <c r="F127" s="448">
        <v>1003614.4135960233</v>
      </c>
      <c r="G127" s="449">
        <f t="shared" si="4"/>
        <v>0.91237673963274735</v>
      </c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386"/>
      <c r="V127" s="386"/>
      <c r="W127" s="386"/>
    </row>
    <row r="128" spans="1:23" x14ac:dyDescent="0.2">
      <c r="A128" s="390" t="s">
        <v>603</v>
      </c>
      <c r="B128" s="391" t="s">
        <v>2503</v>
      </c>
      <c r="C128" s="392" t="s">
        <v>55</v>
      </c>
      <c r="D128" s="393" t="s">
        <v>683</v>
      </c>
      <c r="E128" s="445">
        <v>490000.00000000035</v>
      </c>
      <c r="F128" s="448">
        <v>357651.68193603726</v>
      </c>
      <c r="G128" s="449">
        <f t="shared" si="4"/>
        <v>0.72990139170619794</v>
      </c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386"/>
      <c r="V128" s="386"/>
      <c r="W128" s="386"/>
    </row>
    <row r="129" spans="1:23" x14ac:dyDescent="0.2">
      <c r="A129" s="390" t="s">
        <v>605</v>
      </c>
      <c r="B129" s="391" t="s">
        <v>2504</v>
      </c>
      <c r="C129" s="392" t="s">
        <v>55</v>
      </c>
      <c r="D129" s="394" t="s">
        <v>683</v>
      </c>
      <c r="E129" s="445">
        <v>452250.00000000023</v>
      </c>
      <c r="F129" s="448">
        <v>330508.47393196292</v>
      </c>
      <c r="G129" s="449">
        <f t="shared" si="4"/>
        <v>0.73080922925807135</v>
      </c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</row>
    <row r="130" spans="1:23" x14ac:dyDescent="0.2">
      <c r="A130" s="390" t="s">
        <v>606</v>
      </c>
      <c r="B130" s="391" t="s">
        <v>2505</v>
      </c>
      <c r="C130" s="392" t="s">
        <v>55</v>
      </c>
      <c r="D130" s="394" t="s">
        <v>683</v>
      </c>
      <c r="E130" s="445">
        <v>550000.00000000012</v>
      </c>
      <c r="F130" s="448">
        <v>401445.76543840894</v>
      </c>
      <c r="G130" s="449">
        <f t="shared" si="4"/>
        <v>0.72990139170619794</v>
      </c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</row>
    <row r="131" spans="1:23" x14ac:dyDescent="0.2">
      <c r="A131" s="390" t="s">
        <v>607</v>
      </c>
      <c r="B131" s="391" t="s">
        <v>2506</v>
      </c>
      <c r="C131" s="392" t="s">
        <v>55</v>
      </c>
      <c r="D131" s="394" t="s">
        <v>683</v>
      </c>
      <c r="E131" s="445">
        <v>260000.00000000009</v>
      </c>
      <c r="F131" s="448">
        <v>189774.36184361149</v>
      </c>
      <c r="G131" s="449">
        <f t="shared" si="4"/>
        <v>0.72990139170619783</v>
      </c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386"/>
      <c r="V131" s="386"/>
      <c r="W131" s="386"/>
    </row>
    <row r="132" spans="1:23" x14ac:dyDescent="0.2">
      <c r="A132" s="390" t="s">
        <v>610</v>
      </c>
      <c r="B132" s="391" t="s">
        <v>2507</v>
      </c>
      <c r="C132" s="392" t="s">
        <v>55</v>
      </c>
      <c r="D132" s="394" t="s">
        <v>683</v>
      </c>
      <c r="E132" s="445">
        <v>619674.6436666667</v>
      </c>
      <c r="F132" s="448">
        <v>457898.75109294034</v>
      </c>
      <c r="G132" s="449">
        <f t="shared" si="4"/>
        <v>0.73893414192892437</v>
      </c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</row>
    <row r="133" spans="1:23" x14ac:dyDescent="0.2">
      <c r="A133" s="390" t="s">
        <v>611</v>
      </c>
      <c r="B133" s="391" t="s">
        <v>2508</v>
      </c>
      <c r="C133" s="392" t="s">
        <v>55</v>
      </c>
      <c r="D133" s="394" t="s">
        <v>683</v>
      </c>
      <c r="E133" s="445">
        <v>800368.37491666619</v>
      </c>
      <c r="F133" s="448">
        <v>591556.22398745082</v>
      </c>
      <c r="G133" s="449">
        <f t="shared" si="4"/>
        <v>0.73910494533100868</v>
      </c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386"/>
      <c r="V133" s="386"/>
      <c r="W133" s="386"/>
    </row>
    <row r="134" spans="1:23" x14ac:dyDescent="0.2">
      <c r="A134" s="390" t="s">
        <v>612</v>
      </c>
      <c r="B134" s="391" t="s">
        <v>2509</v>
      </c>
      <c r="C134" s="392" t="s">
        <v>28</v>
      </c>
      <c r="D134" s="393" t="s">
        <v>683</v>
      </c>
      <c r="E134" s="445">
        <v>480000.0000000007</v>
      </c>
      <c r="F134" s="448">
        <v>437940.83502371935</v>
      </c>
      <c r="G134" s="449">
        <f t="shared" si="4"/>
        <v>0.91237673963274735</v>
      </c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386"/>
      <c r="V134" s="386"/>
      <c r="W134" s="386"/>
    </row>
    <row r="135" spans="1:23" x14ac:dyDescent="0.2">
      <c r="A135" s="390" t="s">
        <v>614</v>
      </c>
      <c r="B135" s="391" t="s">
        <v>2510</v>
      </c>
      <c r="C135" s="392" t="s">
        <v>55</v>
      </c>
      <c r="D135" s="394" t="s">
        <v>683</v>
      </c>
      <c r="E135" s="445">
        <v>3410406.3059166661</v>
      </c>
      <c r="F135" s="448">
        <v>2489334.4497856759</v>
      </c>
      <c r="G135" s="449">
        <f t="shared" si="4"/>
        <v>0.72992313128994757</v>
      </c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</row>
    <row r="136" spans="1:23" x14ac:dyDescent="0.2">
      <c r="A136" s="390" t="s">
        <v>619</v>
      </c>
      <c r="B136" s="391" t="s">
        <v>2694</v>
      </c>
      <c r="C136" s="392"/>
      <c r="D136" s="394" t="s">
        <v>670</v>
      </c>
      <c r="E136" s="445">
        <v>1510742.8533333337</v>
      </c>
      <c r="F136" s="448">
        <v>1378366.6389477409</v>
      </c>
      <c r="G136" s="449">
        <f t="shared" ref="G136:G176" si="5">F136/E136</f>
        <v>0.91237673963274735</v>
      </c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86"/>
      <c r="S136" s="386"/>
      <c r="T136" s="386"/>
      <c r="U136" s="386"/>
      <c r="V136" s="386"/>
      <c r="W136" s="386"/>
    </row>
    <row r="137" spans="1:23" x14ac:dyDescent="0.2">
      <c r="A137" s="390" t="s">
        <v>2395</v>
      </c>
      <c r="B137" s="391" t="s">
        <v>2511</v>
      </c>
      <c r="C137" s="392" t="s">
        <v>41</v>
      </c>
      <c r="D137" s="394" t="s">
        <v>641</v>
      </c>
      <c r="E137" s="445">
        <v>33674305.863786973</v>
      </c>
      <c r="F137" s="448">
        <v>17472882.590532877</v>
      </c>
      <c r="G137" s="449">
        <f t="shared" si="5"/>
        <v>0.51887877544413019</v>
      </c>
      <c r="H137" s="386"/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6"/>
      <c r="T137" s="386"/>
      <c r="U137" s="386"/>
      <c r="V137" s="386"/>
      <c r="W137" s="386"/>
    </row>
    <row r="138" spans="1:23" x14ac:dyDescent="0.2">
      <c r="A138" s="390" t="s">
        <v>2512</v>
      </c>
      <c r="B138" s="391" t="s">
        <v>665</v>
      </c>
      <c r="C138" s="392" t="s">
        <v>41</v>
      </c>
      <c r="D138" s="394"/>
      <c r="E138" s="445">
        <v>1519072.4443336658</v>
      </c>
      <c r="F138" s="448">
        <v>1026066.4915852279</v>
      </c>
      <c r="G138" s="449">
        <f t="shared" si="5"/>
        <v>0.67545593063226639</v>
      </c>
      <c r="H138" s="386"/>
      <c r="I138" s="386"/>
      <c r="J138" s="386"/>
      <c r="K138" s="386"/>
      <c r="L138" s="386"/>
      <c r="M138" s="386"/>
      <c r="N138" s="386"/>
      <c r="O138" s="386"/>
      <c r="P138" s="386"/>
      <c r="Q138" s="386"/>
      <c r="R138" s="386"/>
      <c r="S138" s="386"/>
      <c r="T138" s="386"/>
      <c r="U138" s="386"/>
      <c r="V138" s="386"/>
      <c r="W138" s="386"/>
    </row>
    <row r="139" spans="1:23" x14ac:dyDescent="0.2">
      <c r="A139" s="390" t="s">
        <v>2513</v>
      </c>
      <c r="B139" s="391" t="s">
        <v>662</v>
      </c>
      <c r="C139" s="392" t="s">
        <v>41</v>
      </c>
      <c r="D139" s="394" t="s">
        <v>641</v>
      </c>
      <c r="E139" s="445">
        <v>3898527.313977581</v>
      </c>
      <c r="F139" s="448">
        <v>2630294.0952420938</v>
      </c>
      <c r="G139" s="449">
        <f t="shared" si="5"/>
        <v>0.67468915398170271</v>
      </c>
      <c r="H139" s="386"/>
      <c r="I139" s="386"/>
      <c r="J139" s="386"/>
      <c r="K139" s="386"/>
      <c r="L139" s="386"/>
      <c r="M139" s="386"/>
      <c r="N139" s="386"/>
      <c r="O139" s="386"/>
      <c r="P139" s="386"/>
      <c r="Q139" s="386"/>
      <c r="R139" s="386"/>
      <c r="S139" s="386"/>
      <c r="T139" s="386"/>
      <c r="U139" s="386"/>
      <c r="V139" s="386"/>
      <c r="W139" s="386"/>
    </row>
    <row r="140" spans="1:23" x14ac:dyDescent="0.2">
      <c r="A140" s="390" t="s">
        <v>2514</v>
      </c>
      <c r="B140" s="391" t="s">
        <v>661</v>
      </c>
      <c r="C140" s="392" t="s">
        <v>41</v>
      </c>
      <c r="D140" s="394" t="s">
        <v>641</v>
      </c>
      <c r="E140" s="445">
        <v>1570175.3270355244</v>
      </c>
      <c r="F140" s="448">
        <v>1059228.0822669475</v>
      </c>
      <c r="G140" s="449">
        <f t="shared" si="5"/>
        <v>0.67459223440146632</v>
      </c>
      <c r="H140" s="386"/>
      <c r="I140" s="386"/>
      <c r="J140" s="386"/>
      <c r="K140" s="386"/>
      <c r="L140" s="386"/>
      <c r="M140" s="386"/>
      <c r="N140" s="386"/>
      <c r="O140" s="386"/>
      <c r="P140" s="386"/>
      <c r="Q140" s="386"/>
      <c r="R140" s="386"/>
      <c r="S140" s="386"/>
      <c r="T140" s="386"/>
      <c r="U140" s="386"/>
      <c r="V140" s="386"/>
      <c r="W140" s="386"/>
    </row>
    <row r="141" spans="1:23" x14ac:dyDescent="0.2">
      <c r="A141" s="390" t="s">
        <v>2515</v>
      </c>
      <c r="B141" s="391" t="s">
        <v>660</v>
      </c>
      <c r="C141" s="392" t="s">
        <v>41</v>
      </c>
      <c r="D141" s="394" t="s">
        <v>641</v>
      </c>
      <c r="E141" s="445">
        <v>3908357.2537217839</v>
      </c>
      <c r="F141" s="448">
        <v>2625170.5858489964</v>
      </c>
      <c r="G141" s="449">
        <f t="shared" si="5"/>
        <v>0.67168132681554216</v>
      </c>
      <c r="H141" s="386"/>
      <c r="I141" s="386"/>
      <c r="J141" s="386"/>
      <c r="K141" s="386"/>
      <c r="L141" s="386"/>
      <c r="M141" s="386"/>
      <c r="N141" s="386"/>
      <c r="O141" s="386"/>
      <c r="P141" s="386"/>
      <c r="Q141" s="386"/>
      <c r="R141" s="386"/>
      <c r="S141" s="386"/>
      <c r="T141" s="386"/>
      <c r="U141" s="386"/>
      <c r="V141" s="386"/>
      <c r="W141" s="386"/>
    </row>
    <row r="142" spans="1:23" x14ac:dyDescent="0.2">
      <c r="A142" s="390" t="s">
        <v>2516</v>
      </c>
      <c r="B142" s="391" t="s">
        <v>659</v>
      </c>
      <c r="C142" s="392" t="s">
        <v>41</v>
      </c>
      <c r="D142" s="394" t="s">
        <v>641</v>
      </c>
      <c r="E142" s="445">
        <v>1547124.6792083432</v>
      </c>
      <c r="F142" s="448">
        <v>1048326.4753535669</v>
      </c>
      <c r="G142" s="449">
        <f t="shared" si="5"/>
        <v>0.67759663422213068</v>
      </c>
      <c r="H142" s="386"/>
      <c r="I142" s="386"/>
      <c r="J142" s="386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386"/>
      <c r="V142" s="386"/>
      <c r="W142" s="386"/>
    </row>
    <row r="143" spans="1:23" x14ac:dyDescent="0.2">
      <c r="A143" s="390" t="s">
        <v>2517</v>
      </c>
      <c r="B143" s="391" t="s">
        <v>658</v>
      </c>
      <c r="C143" s="392" t="s">
        <v>41</v>
      </c>
      <c r="D143" s="394" t="s">
        <v>641</v>
      </c>
      <c r="E143" s="445">
        <v>1580789.7598517705</v>
      </c>
      <c r="F143" s="448">
        <v>1078925.8497211623</v>
      </c>
      <c r="G143" s="449">
        <f t="shared" si="5"/>
        <v>0.6825233039353269</v>
      </c>
      <c r="H143" s="386"/>
      <c r="I143" s="386"/>
      <c r="J143" s="386"/>
      <c r="K143" s="386"/>
      <c r="L143" s="386"/>
      <c r="M143" s="386"/>
      <c r="N143" s="386"/>
      <c r="O143" s="386"/>
      <c r="P143" s="386"/>
      <c r="Q143" s="386"/>
      <c r="R143" s="386"/>
      <c r="S143" s="386"/>
      <c r="T143" s="386"/>
      <c r="U143" s="386"/>
      <c r="V143" s="386"/>
      <c r="W143" s="386"/>
    </row>
    <row r="144" spans="1:23" x14ac:dyDescent="0.2">
      <c r="A144" s="390" t="s">
        <v>2518</v>
      </c>
      <c r="B144" s="391" t="s">
        <v>657</v>
      </c>
      <c r="C144" s="392" t="s">
        <v>41</v>
      </c>
      <c r="D144" s="394" t="s">
        <v>641</v>
      </c>
      <c r="E144" s="445">
        <v>2546023.4091524263</v>
      </c>
      <c r="F144" s="448">
        <v>1738641.443976186</v>
      </c>
      <c r="G144" s="449">
        <f t="shared" si="5"/>
        <v>0.68288509749208526</v>
      </c>
      <c r="H144" s="386"/>
      <c r="I144" s="386"/>
      <c r="J144" s="386"/>
      <c r="K144" s="386"/>
      <c r="L144" s="386"/>
      <c r="M144" s="386"/>
      <c r="N144" s="386"/>
      <c r="O144" s="386"/>
      <c r="P144" s="386"/>
      <c r="Q144" s="386"/>
      <c r="R144" s="386"/>
      <c r="S144" s="386"/>
      <c r="T144" s="386"/>
      <c r="U144" s="386"/>
      <c r="V144" s="386"/>
      <c r="W144" s="386"/>
    </row>
    <row r="145" spans="1:23" x14ac:dyDescent="0.2">
      <c r="A145" s="390" t="s">
        <v>2397</v>
      </c>
      <c r="B145" s="391" t="s">
        <v>2519</v>
      </c>
      <c r="C145" s="392" t="s">
        <v>41</v>
      </c>
      <c r="D145" s="394" t="s">
        <v>641</v>
      </c>
      <c r="E145" s="445">
        <v>36144300.363234602</v>
      </c>
      <c r="F145" s="448">
        <v>18966985.476950631</v>
      </c>
      <c r="G145" s="449">
        <f t="shared" si="5"/>
        <v>0.52475730021996891</v>
      </c>
      <c r="H145" s="386"/>
      <c r="I145" s="386"/>
      <c r="J145" s="386"/>
      <c r="K145" s="386"/>
      <c r="L145" s="386"/>
      <c r="M145" s="386"/>
      <c r="N145" s="386"/>
      <c r="O145" s="386"/>
      <c r="P145" s="386"/>
      <c r="Q145" s="386"/>
      <c r="R145" s="386"/>
      <c r="S145" s="386"/>
      <c r="T145" s="386"/>
      <c r="U145" s="386"/>
      <c r="V145" s="386"/>
      <c r="W145" s="386"/>
    </row>
    <row r="146" spans="1:23" x14ac:dyDescent="0.2">
      <c r="A146" s="390" t="s">
        <v>2520</v>
      </c>
      <c r="B146" s="391" t="s">
        <v>2521</v>
      </c>
      <c r="C146" s="392" t="s">
        <v>41</v>
      </c>
      <c r="D146" s="394" t="s">
        <v>641</v>
      </c>
      <c r="E146" s="445">
        <v>1230142.3593705995</v>
      </c>
      <c r="F146" s="448">
        <v>574473.79187187564</v>
      </c>
      <c r="G146" s="449">
        <f t="shared" si="5"/>
        <v>0.46699781329845785</v>
      </c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86"/>
      <c r="S146" s="386"/>
      <c r="T146" s="386"/>
      <c r="U146" s="386"/>
      <c r="V146" s="386"/>
      <c r="W146" s="386"/>
    </row>
    <row r="147" spans="1:23" x14ac:dyDescent="0.2">
      <c r="A147" s="390" t="s">
        <v>2522</v>
      </c>
      <c r="B147" s="391" t="s">
        <v>2523</v>
      </c>
      <c r="C147" s="392" t="s">
        <v>41</v>
      </c>
      <c r="D147" s="394" t="s">
        <v>641</v>
      </c>
      <c r="E147" s="445">
        <v>695856.21557874721</v>
      </c>
      <c r="F147" s="448">
        <v>309103.08181654388</v>
      </c>
      <c r="G147" s="449">
        <f t="shared" si="5"/>
        <v>0.44420539027514649</v>
      </c>
      <c r="H147" s="386"/>
      <c r="I147" s="386"/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</row>
    <row r="148" spans="1:23" x14ac:dyDescent="0.2">
      <c r="A148" s="390" t="s">
        <v>2524</v>
      </c>
      <c r="B148" s="391" t="s">
        <v>2525</v>
      </c>
      <c r="C148" s="392" t="s">
        <v>41</v>
      </c>
      <c r="D148" s="394" t="s">
        <v>641</v>
      </c>
      <c r="E148" s="445">
        <v>695856.21557874721</v>
      </c>
      <c r="F148" s="448">
        <v>309103.08181654388</v>
      </c>
      <c r="G148" s="449">
        <f t="shared" si="5"/>
        <v>0.44420539027514649</v>
      </c>
      <c r="H148" s="386"/>
      <c r="I148" s="386"/>
      <c r="J148" s="386"/>
      <c r="K148" s="386"/>
      <c r="L148" s="386"/>
      <c r="M148" s="386"/>
      <c r="N148" s="386"/>
      <c r="O148" s="386"/>
      <c r="P148" s="386"/>
      <c r="Q148" s="386"/>
      <c r="R148" s="386"/>
      <c r="S148" s="386"/>
      <c r="T148" s="386"/>
      <c r="U148" s="386"/>
      <c r="V148" s="386"/>
      <c r="W148" s="386"/>
    </row>
    <row r="149" spans="1:23" x14ac:dyDescent="0.2">
      <c r="A149" s="390" t="s">
        <v>2526</v>
      </c>
      <c r="B149" s="391" t="s">
        <v>2527</v>
      </c>
      <c r="C149" s="392" t="s">
        <v>41</v>
      </c>
      <c r="D149" s="394" t="s">
        <v>641</v>
      </c>
      <c r="E149" s="445">
        <v>2429670.2870439677</v>
      </c>
      <c r="F149" s="448">
        <v>1098149.2639976456</v>
      </c>
      <c r="G149" s="449">
        <f t="shared" si="5"/>
        <v>0.45197460324285277</v>
      </c>
      <c r="H149" s="386"/>
      <c r="I149" s="386"/>
      <c r="J149" s="386"/>
      <c r="K149" s="386"/>
      <c r="L149" s="386"/>
      <c r="M149" s="386"/>
      <c r="N149" s="386"/>
      <c r="O149" s="386"/>
      <c r="P149" s="386"/>
      <c r="Q149" s="386"/>
      <c r="R149" s="386"/>
      <c r="S149" s="386"/>
      <c r="T149" s="386"/>
      <c r="U149" s="386"/>
      <c r="V149" s="386"/>
      <c r="W149" s="386"/>
    </row>
    <row r="150" spans="1:23" x14ac:dyDescent="0.2">
      <c r="A150" s="390" t="s">
        <v>2528</v>
      </c>
      <c r="B150" s="391" t="s">
        <v>2529</v>
      </c>
      <c r="C150" s="392" t="s">
        <v>41</v>
      </c>
      <c r="D150" s="394" t="s">
        <v>641</v>
      </c>
      <c r="E150" s="445">
        <v>1440964.5507192884</v>
      </c>
      <c r="F150" s="448">
        <v>661060.90258353041</v>
      </c>
      <c r="G150" s="449">
        <f t="shared" si="5"/>
        <v>0.4587627795933964</v>
      </c>
      <c r="H150" s="386"/>
      <c r="I150" s="386"/>
      <c r="J150" s="386"/>
      <c r="K150" s="386"/>
      <c r="L150" s="386"/>
      <c r="M150" s="386"/>
      <c r="N150" s="386"/>
      <c r="O150" s="386"/>
      <c r="P150" s="386"/>
      <c r="Q150" s="386"/>
      <c r="R150" s="386"/>
      <c r="S150" s="386"/>
      <c r="T150" s="386"/>
      <c r="U150" s="386"/>
      <c r="V150" s="386"/>
      <c r="W150" s="386"/>
    </row>
    <row r="151" spans="1:23" x14ac:dyDescent="0.2">
      <c r="A151" s="390" t="s">
        <v>2530</v>
      </c>
      <c r="B151" s="391" t="s">
        <v>2531</v>
      </c>
      <c r="C151" s="392" t="s">
        <v>41</v>
      </c>
      <c r="D151" s="394" t="s">
        <v>641</v>
      </c>
      <c r="E151" s="445">
        <v>10678171.506058218</v>
      </c>
      <c r="F151" s="448">
        <v>4807691.0979220234</v>
      </c>
      <c r="G151" s="449">
        <f t="shared" si="5"/>
        <v>0.45023542609279116</v>
      </c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86"/>
      <c r="S151" s="386"/>
      <c r="T151" s="386"/>
      <c r="U151" s="386"/>
      <c r="V151" s="386"/>
      <c r="W151" s="386"/>
    </row>
    <row r="152" spans="1:23" x14ac:dyDescent="0.2">
      <c r="A152" s="390" t="s">
        <v>2532</v>
      </c>
      <c r="B152" s="391" t="s">
        <v>2533</v>
      </c>
      <c r="C152" s="392" t="s">
        <v>41</v>
      </c>
      <c r="D152" s="394" t="s">
        <v>641</v>
      </c>
      <c r="E152" s="445">
        <v>8893684.4515356719</v>
      </c>
      <c r="F152" s="448">
        <v>4000758.0469505498</v>
      </c>
      <c r="G152" s="449">
        <f t="shared" si="5"/>
        <v>0.44984258984584718</v>
      </c>
      <c r="H152" s="386"/>
      <c r="I152" s="386"/>
      <c r="J152" s="386"/>
      <c r="K152" s="386"/>
      <c r="L152" s="386"/>
      <c r="M152" s="386"/>
      <c r="N152" s="386"/>
      <c r="O152" s="386"/>
      <c r="P152" s="386"/>
      <c r="Q152" s="386"/>
      <c r="R152" s="386"/>
      <c r="S152" s="386"/>
      <c r="T152" s="386"/>
      <c r="U152" s="386"/>
      <c r="V152" s="386"/>
      <c r="W152" s="386"/>
    </row>
    <row r="153" spans="1:23" x14ac:dyDescent="0.2">
      <c r="A153" s="390" t="s">
        <v>2534</v>
      </c>
      <c r="B153" s="391" t="s">
        <v>2535</v>
      </c>
      <c r="C153" s="392" t="s">
        <v>41</v>
      </c>
      <c r="D153" s="394" t="s">
        <v>641</v>
      </c>
      <c r="E153" s="445">
        <v>1740691.2860100463</v>
      </c>
      <c r="F153" s="448">
        <v>793248.0018663971</v>
      </c>
      <c r="G153" s="449">
        <f t="shared" si="5"/>
        <v>0.45570860740312741</v>
      </c>
      <c r="H153" s="386"/>
      <c r="I153" s="386"/>
      <c r="J153" s="386"/>
      <c r="K153" s="386"/>
      <c r="L153" s="386"/>
      <c r="M153" s="386"/>
      <c r="N153" s="386"/>
      <c r="O153" s="386"/>
      <c r="P153" s="386"/>
      <c r="Q153" s="386"/>
      <c r="R153" s="386"/>
      <c r="S153" s="386"/>
      <c r="T153" s="386"/>
      <c r="U153" s="386"/>
      <c r="V153" s="386"/>
      <c r="W153" s="386"/>
    </row>
    <row r="154" spans="1:23" x14ac:dyDescent="0.2">
      <c r="A154" s="390" t="s">
        <v>2536</v>
      </c>
      <c r="B154" s="391" t="s">
        <v>2537</v>
      </c>
      <c r="C154" s="392" t="s">
        <v>41</v>
      </c>
      <c r="D154" s="394" t="s">
        <v>641</v>
      </c>
      <c r="E154" s="445">
        <v>5276691.202944329</v>
      </c>
      <c r="F154" s="448">
        <v>2383911.6615713048</v>
      </c>
      <c r="G154" s="449">
        <f t="shared" si="5"/>
        <v>0.45178153693001993</v>
      </c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86"/>
      <c r="S154" s="386"/>
      <c r="T154" s="386"/>
      <c r="U154" s="386"/>
      <c r="V154" s="386"/>
      <c r="W154" s="386"/>
    </row>
    <row r="155" spans="1:23" x14ac:dyDescent="0.2">
      <c r="A155" s="390" t="s">
        <v>2399</v>
      </c>
      <c r="B155" s="391" t="s">
        <v>2538</v>
      </c>
      <c r="C155" s="392" t="s">
        <v>41</v>
      </c>
      <c r="D155" s="394" t="s">
        <v>641</v>
      </c>
      <c r="E155" s="445">
        <v>811334.5636038084</v>
      </c>
      <c r="F155" s="448">
        <v>383005.06069423642</v>
      </c>
      <c r="G155" s="449">
        <f t="shared" si="5"/>
        <v>0.47206797032409653</v>
      </c>
      <c r="H155" s="386"/>
      <c r="I155" s="386"/>
      <c r="J155" s="386"/>
      <c r="K155" s="386"/>
      <c r="L155" s="386"/>
      <c r="M155" s="386"/>
      <c r="N155" s="386"/>
      <c r="O155" s="386"/>
      <c r="P155" s="386"/>
      <c r="Q155" s="386"/>
      <c r="R155" s="386"/>
      <c r="S155" s="386"/>
      <c r="T155" s="386"/>
      <c r="U155" s="386"/>
      <c r="V155" s="386"/>
      <c r="W155" s="386"/>
    </row>
    <row r="156" spans="1:23" x14ac:dyDescent="0.2">
      <c r="A156" s="390" t="s">
        <v>2539</v>
      </c>
      <c r="B156" s="391" t="s">
        <v>2540</v>
      </c>
      <c r="C156" s="392" t="s">
        <v>41</v>
      </c>
      <c r="D156" s="394" t="s">
        <v>641</v>
      </c>
      <c r="E156" s="445">
        <v>1264432.2830134504</v>
      </c>
      <c r="F156" s="448">
        <v>589798.97244738042</v>
      </c>
      <c r="G156" s="449">
        <f t="shared" si="5"/>
        <v>0.46645358582726604</v>
      </c>
      <c r="H156" s="386"/>
      <c r="I156" s="386"/>
      <c r="J156" s="386"/>
      <c r="K156" s="386"/>
      <c r="L156" s="386"/>
      <c r="M156" s="386"/>
      <c r="N156" s="386"/>
      <c r="O156" s="386"/>
      <c r="P156" s="386"/>
      <c r="Q156" s="386"/>
      <c r="R156" s="386"/>
      <c r="S156" s="386"/>
      <c r="T156" s="386"/>
      <c r="U156" s="386"/>
      <c r="V156" s="386"/>
      <c r="W156" s="386"/>
    </row>
    <row r="157" spans="1:23" x14ac:dyDescent="0.2">
      <c r="A157" s="390" t="s">
        <v>2541</v>
      </c>
      <c r="B157" s="391" t="s">
        <v>2542</v>
      </c>
      <c r="C157" s="392" t="s">
        <v>41</v>
      </c>
      <c r="D157" s="394" t="s">
        <v>641</v>
      </c>
      <c r="E157" s="445">
        <v>2912816.4586010585</v>
      </c>
      <c r="F157" s="448">
        <v>1316495.9415574207</v>
      </c>
      <c r="G157" s="449">
        <f t="shared" si="5"/>
        <v>0.451966665345504</v>
      </c>
      <c r="H157" s="386"/>
      <c r="I157" s="386"/>
      <c r="J157" s="386"/>
      <c r="K157" s="386"/>
      <c r="L157" s="386"/>
      <c r="M157" s="386"/>
      <c r="N157" s="386"/>
      <c r="O157" s="386"/>
      <c r="P157" s="386"/>
      <c r="Q157" s="386"/>
      <c r="R157" s="386"/>
      <c r="S157" s="386"/>
      <c r="T157" s="386"/>
      <c r="U157" s="386"/>
      <c r="V157" s="386"/>
      <c r="W157" s="386"/>
    </row>
    <row r="158" spans="1:23" x14ac:dyDescent="0.2">
      <c r="A158" s="390" t="s">
        <v>2543</v>
      </c>
      <c r="B158" s="391" t="s">
        <v>2544</v>
      </c>
      <c r="C158" s="392" t="s">
        <v>41</v>
      </c>
      <c r="D158" s="394" t="s">
        <v>641</v>
      </c>
      <c r="E158" s="445">
        <v>5960893.753386626</v>
      </c>
      <c r="F158" s="448">
        <v>2686056.3501931448</v>
      </c>
      <c r="G158" s="449">
        <f t="shared" si="5"/>
        <v>0.4506130223621394</v>
      </c>
      <c r="H158" s="386"/>
      <c r="I158" s="386"/>
      <c r="J158" s="386"/>
      <c r="K158" s="386"/>
      <c r="L158" s="386"/>
      <c r="M158" s="386"/>
      <c r="N158" s="386"/>
      <c r="O158" s="386"/>
      <c r="P158" s="386"/>
      <c r="Q158" s="386"/>
      <c r="R158" s="386"/>
      <c r="S158" s="386"/>
      <c r="T158" s="386"/>
      <c r="U158" s="386"/>
      <c r="V158" s="386"/>
      <c r="W158" s="386"/>
    </row>
    <row r="159" spans="1:23" x14ac:dyDescent="0.2">
      <c r="A159" s="390" t="s">
        <v>2545</v>
      </c>
      <c r="B159" s="391" t="s">
        <v>2546</v>
      </c>
      <c r="C159" s="392" t="s">
        <v>41</v>
      </c>
      <c r="D159" s="394" t="s">
        <v>641</v>
      </c>
      <c r="E159" s="445">
        <v>4857853.8903195197</v>
      </c>
      <c r="F159" s="448">
        <v>2172659.4209850663</v>
      </c>
      <c r="G159" s="449">
        <f t="shared" si="5"/>
        <v>0.44724676164399052</v>
      </c>
      <c r="H159" s="386"/>
      <c r="I159" s="386"/>
      <c r="J159" s="386"/>
      <c r="K159" s="386"/>
      <c r="L159" s="386"/>
      <c r="M159" s="386"/>
      <c r="N159" s="386"/>
      <c r="O159" s="386"/>
      <c r="P159" s="386"/>
      <c r="Q159" s="386"/>
      <c r="R159" s="386"/>
      <c r="S159" s="386"/>
      <c r="T159" s="386"/>
      <c r="U159" s="386"/>
      <c r="V159" s="386"/>
      <c r="W159" s="386"/>
    </row>
    <row r="160" spans="1:23" x14ac:dyDescent="0.2">
      <c r="A160" s="390" t="s">
        <v>2547</v>
      </c>
      <c r="B160" s="391" t="s">
        <v>2548</v>
      </c>
      <c r="C160" s="392" t="s">
        <v>41</v>
      </c>
      <c r="D160" s="394" t="s">
        <v>641</v>
      </c>
      <c r="E160" s="445">
        <v>3765766.4882811364</v>
      </c>
      <c r="F160" s="448">
        <v>1686240.2208512232</v>
      </c>
      <c r="G160" s="449">
        <f t="shared" si="5"/>
        <v>0.44778140814060363</v>
      </c>
      <c r="H160" s="386"/>
      <c r="I160" s="386"/>
      <c r="J160" s="386"/>
      <c r="K160" s="386"/>
      <c r="L160" s="386"/>
      <c r="M160" s="386"/>
      <c r="N160" s="386"/>
      <c r="O160" s="386"/>
      <c r="P160" s="386"/>
      <c r="Q160" s="386"/>
      <c r="R160" s="386"/>
      <c r="S160" s="386"/>
      <c r="T160" s="386"/>
      <c r="U160" s="386"/>
      <c r="V160" s="386"/>
      <c r="W160" s="386"/>
    </row>
    <row r="161" spans="1:23" x14ac:dyDescent="0.2">
      <c r="A161" s="390" t="s">
        <v>2549</v>
      </c>
      <c r="B161" s="391" t="s">
        <v>2550</v>
      </c>
      <c r="C161" s="392" t="s">
        <v>41</v>
      </c>
      <c r="D161" s="394" t="s">
        <v>641</v>
      </c>
      <c r="E161" s="445">
        <v>2194988.5508378013</v>
      </c>
      <c r="F161" s="448">
        <v>995789.55681788921</v>
      </c>
      <c r="G161" s="449">
        <f t="shared" si="5"/>
        <v>0.45366503457970569</v>
      </c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</row>
    <row r="162" spans="1:23" x14ac:dyDescent="0.2">
      <c r="A162" s="390" t="s">
        <v>2551</v>
      </c>
      <c r="B162" s="391" t="s">
        <v>2552</v>
      </c>
      <c r="C162" s="392" t="s">
        <v>41</v>
      </c>
      <c r="D162" s="394" t="s">
        <v>641</v>
      </c>
      <c r="E162" s="445">
        <v>785286.02662554127</v>
      </c>
      <c r="F162" s="448">
        <v>374448.6805180324</v>
      </c>
      <c r="G162" s="449">
        <f t="shared" si="5"/>
        <v>0.47683094798856762</v>
      </c>
      <c r="H162" s="386"/>
      <c r="I162" s="386"/>
      <c r="J162" s="386"/>
      <c r="K162" s="386"/>
      <c r="L162" s="386"/>
      <c r="M162" s="386"/>
      <c r="N162" s="386"/>
      <c r="O162" s="386"/>
      <c r="P162" s="386"/>
      <c r="Q162" s="386"/>
      <c r="R162" s="386"/>
      <c r="S162" s="386"/>
      <c r="T162" s="386"/>
      <c r="U162" s="386"/>
      <c r="V162" s="386"/>
      <c r="W162" s="386"/>
    </row>
    <row r="163" spans="1:23" x14ac:dyDescent="0.2">
      <c r="A163" s="390" t="s">
        <v>2553</v>
      </c>
      <c r="B163" s="391" t="s">
        <v>2554</v>
      </c>
      <c r="C163" s="392" t="s">
        <v>41</v>
      </c>
      <c r="D163" s="394" t="s">
        <v>641</v>
      </c>
      <c r="E163" s="445">
        <v>588620.7968790849</v>
      </c>
      <c r="F163" s="448">
        <v>281590.12642805732</v>
      </c>
      <c r="G163" s="449">
        <f t="shared" si="5"/>
        <v>0.47838969999203385</v>
      </c>
      <c r="H163" s="386"/>
      <c r="I163" s="386"/>
      <c r="J163" s="386"/>
      <c r="K163" s="386"/>
      <c r="L163" s="386"/>
      <c r="M163" s="386"/>
      <c r="N163" s="386"/>
      <c r="O163" s="386"/>
      <c r="P163" s="386"/>
      <c r="Q163" s="386"/>
      <c r="R163" s="386"/>
      <c r="S163" s="386"/>
      <c r="T163" s="386"/>
      <c r="U163" s="386"/>
      <c r="V163" s="386"/>
      <c r="W163" s="386"/>
    </row>
    <row r="164" spans="1:23" x14ac:dyDescent="0.2">
      <c r="A164" s="390" t="s">
        <v>2403</v>
      </c>
      <c r="B164" s="391" t="s">
        <v>2695</v>
      </c>
      <c r="C164" s="392" t="s">
        <v>41</v>
      </c>
      <c r="D164" s="393" t="s">
        <v>641</v>
      </c>
      <c r="E164" s="445">
        <v>2427803.4823365207</v>
      </c>
      <c r="F164" s="448">
        <v>1168766.8637158296</v>
      </c>
      <c r="G164" s="449">
        <f t="shared" si="5"/>
        <v>0.48140917179631321</v>
      </c>
      <c r="H164" s="386"/>
      <c r="I164" s="386"/>
      <c r="J164" s="386"/>
      <c r="K164" s="386"/>
      <c r="L164" s="386"/>
      <c r="M164" s="386"/>
      <c r="N164" s="386"/>
      <c r="O164" s="386"/>
      <c r="P164" s="386"/>
      <c r="Q164" s="386"/>
      <c r="R164" s="386"/>
      <c r="S164" s="386"/>
      <c r="T164" s="386"/>
      <c r="U164" s="386"/>
      <c r="V164" s="386"/>
      <c r="W164" s="386"/>
    </row>
    <row r="165" spans="1:23" x14ac:dyDescent="0.2">
      <c r="A165" s="390" t="s">
        <v>2405</v>
      </c>
      <c r="B165" s="391" t="s">
        <v>2696</v>
      </c>
      <c r="C165" s="392" t="s">
        <v>41</v>
      </c>
      <c r="D165" s="393" t="s">
        <v>641</v>
      </c>
      <c r="E165" s="445">
        <v>2049829.7296005141</v>
      </c>
      <c r="F165" s="448">
        <v>1226725.7821787584</v>
      </c>
      <c r="G165" s="449">
        <f t="shared" si="5"/>
        <v>0.59845252728275722</v>
      </c>
      <c r="H165" s="386"/>
      <c r="I165" s="386"/>
      <c r="J165" s="386"/>
      <c r="K165" s="386"/>
      <c r="L165" s="386"/>
      <c r="M165" s="386"/>
      <c r="N165" s="386"/>
      <c r="O165" s="386"/>
      <c r="P165" s="386"/>
      <c r="Q165" s="386"/>
      <c r="R165" s="386"/>
      <c r="S165" s="386"/>
      <c r="T165" s="386"/>
      <c r="U165" s="386"/>
      <c r="V165" s="386"/>
      <c r="W165" s="386"/>
    </row>
    <row r="166" spans="1:23" x14ac:dyDescent="0.2">
      <c r="A166" s="390" t="s">
        <v>2407</v>
      </c>
      <c r="B166" s="391" t="s">
        <v>2697</v>
      </c>
      <c r="C166" s="392" t="s">
        <v>41</v>
      </c>
      <c r="D166" s="393" t="s">
        <v>641</v>
      </c>
      <c r="E166" s="445">
        <v>5648177.6346561695</v>
      </c>
      <c r="F166" s="448">
        <v>399783.0816875833</v>
      </c>
      <c r="G166" s="449">
        <f t="shared" si="5"/>
        <v>7.078089740566737E-2</v>
      </c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</row>
    <row r="167" spans="1:23" x14ac:dyDescent="0.2">
      <c r="A167" s="390" t="s">
        <v>2409</v>
      </c>
      <c r="B167" s="391" t="s">
        <v>2698</v>
      </c>
      <c r="C167" s="392" t="s">
        <v>107</v>
      </c>
      <c r="D167" s="393" t="s">
        <v>641</v>
      </c>
      <c r="E167" s="445">
        <v>94412.005436585037</v>
      </c>
      <c r="F167" s="448">
        <v>41269.603969744705</v>
      </c>
      <c r="G167" s="449">
        <f t="shared" si="5"/>
        <v>0.4371224165708969</v>
      </c>
      <c r="H167" s="386"/>
      <c r="I167" s="386"/>
      <c r="J167" s="386"/>
      <c r="K167" s="386"/>
      <c r="L167" s="386"/>
      <c r="M167" s="386"/>
      <c r="N167" s="386"/>
      <c r="O167" s="386"/>
      <c r="P167" s="386"/>
      <c r="Q167" s="386"/>
      <c r="R167" s="386"/>
      <c r="S167" s="386"/>
      <c r="T167" s="386"/>
      <c r="U167" s="386"/>
      <c r="V167" s="386"/>
      <c r="W167" s="386"/>
    </row>
    <row r="168" spans="1:23" x14ac:dyDescent="0.2">
      <c r="A168" s="390" t="s">
        <v>2411</v>
      </c>
      <c r="B168" s="391" t="s">
        <v>2555</v>
      </c>
      <c r="C168" s="392" t="s">
        <v>54</v>
      </c>
      <c r="D168" s="394" t="s">
        <v>641</v>
      </c>
      <c r="E168" s="445">
        <v>126907.55214285718</v>
      </c>
      <c r="F168" s="448">
        <v>98496.661249135315</v>
      </c>
      <c r="G168" s="449">
        <f t="shared" si="5"/>
        <v>0.77612923412359003</v>
      </c>
      <c r="H168" s="386"/>
      <c r="I168" s="386"/>
      <c r="J168" s="386"/>
      <c r="K168" s="386"/>
      <c r="L168" s="386"/>
      <c r="M168" s="386"/>
      <c r="N168" s="386"/>
      <c r="O168" s="386"/>
      <c r="P168" s="386"/>
      <c r="Q168" s="386"/>
      <c r="R168" s="386"/>
      <c r="S168" s="386"/>
      <c r="T168" s="386"/>
      <c r="U168" s="386"/>
      <c r="V168" s="386"/>
      <c r="W168" s="386"/>
    </row>
    <row r="169" spans="1:23" x14ac:dyDescent="0.2">
      <c r="A169" s="390" t="s">
        <v>2419</v>
      </c>
      <c r="B169" s="391" t="s">
        <v>2556</v>
      </c>
      <c r="C169" s="392" t="s">
        <v>40</v>
      </c>
      <c r="D169" s="394" t="s">
        <v>641</v>
      </c>
      <c r="E169" s="445">
        <v>2382770.1970662656</v>
      </c>
      <c r="F169" s="448">
        <v>1076385.3216550213</v>
      </c>
      <c r="G169" s="449">
        <f t="shared" si="5"/>
        <v>0.45173694172450934</v>
      </c>
      <c r="H169" s="386"/>
      <c r="I169" s="386"/>
      <c r="J169" s="386"/>
      <c r="K169" s="386"/>
      <c r="L169" s="386"/>
      <c r="M169" s="386"/>
      <c r="N169" s="386"/>
      <c r="O169" s="386"/>
      <c r="P169" s="386"/>
      <c r="Q169" s="386"/>
      <c r="R169" s="386"/>
      <c r="S169" s="386"/>
      <c r="T169" s="386"/>
      <c r="U169" s="386"/>
      <c r="V169" s="386"/>
      <c r="W169" s="386"/>
    </row>
    <row r="170" spans="1:23" x14ac:dyDescent="0.2">
      <c r="A170" s="390" t="s">
        <v>2425</v>
      </c>
      <c r="B170" s="391" t="s">
        <v>2699</v>
      </c>
      <c r="C170" s="392" t="s">
        <v>28</v>
      </c>
      <c r="D170" s="394" t="s">
        <v>685</v>
      </c>
      <c r="E170" s="445">
        <v>3570726.9953718269</v>
      </c>
      <c r="F170" s="448">
        <v>1484787.2069021019</v>
      </c>
      <c r="G170" s="449">
        <f t="shared" si="5"/>
        <v>0.41582210256527552</v>
      </c>
      <c r="H170" s="386"/>
      <c r="I170" s="386"/>
      <c r="J170" s="386"/>
      <c r="K170" s="386"/>
      <c r="L170" s="386"/>
      <c r="M170" s="386"/>
      <c r="N170" s="386"/>
      <c r="O170" s="386"/>
      <c r="P170" s="386"/>
      <c r="Q170" s="386"/>
      <c r="R170" s="386"/>
      <c r="S170" s="386"/>
      <c r="T170" s="386"/>
      <c r="U170" s="386"/>
      <c r="V170" s="386"/>
      <c r="W170" s="386"/>
    </row>
    <row r="171" spans="1:23" x14ac:dyDescent="0.2">
      <c r="A171" s="390" t="s">
        <v>2427</v>
      </c>
      <c r="B171" s="391" t="s">
        <v>2700</v>
      </c>
      <c r="C171" s="392" t="s">
        <v>28</v>
      </c>
      <c r="D171" s="394" t="s">
        <v>685</v>
      </c>
      <c r="E171" s="445">
        <v>3836535.0231184526</v>
      </c>
      <c r="F171" s="448">
        <v>1535883.7121281035</v>
      </c>
      <c r="G171" s="449">
        <f t="shared" si="5"/>
        <v>0.40033095042090622</v>
      </c>
      <c r="H171" s="386"/>
      <c r="I171" s="386"/>
      <c r="J171" s="386"/>
      <c r="K171" s="386"/>
      <c r="L171" s="386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</row>
    <row r="172" spans="1:23" x14ac:dyDescent="0.2">
      <c r="A172" s="390" t="s">
        <v>2429</v>
      </c>
      <c r="B172" s="391" t="s">
        <v>2557</v>
      </c>
      <c r="C172" s="392" t="s">
        <v>41</v>
      </c>
      <c r="D172" s="394" t="s">
        <v>641</v>
      </c>
      <c r="E172" s="445">
        <v>4264584.8258681968</v>
      </c>
      <c r="F172" s="448">
        <v>970857.71222935955</v>
      </c>
      <c r="G172" s="449">
        <f t="shared" si="5"/>
        <v>0.22765585675311534</v>
      </c>
      <c r="H172" s="386"/>
      <c r="I172" s="386"/>
      <c r="J172" s="386"/>
      <c r="K172" s="386"/>
      <c r="L172" s="386"/>
      <c r="M172" s="386"/>
      <c r="N172" s="386"/>
      <c r="O172" s="386"/>
      <c r="P172" s="386"/>
      <c r="Q172" s="386"/>
      <c r="R172" s="386"/>
      <c r="S172" s="386"/>
      <c r="T172" s="386"/>
      <c r="U172" s="386"/>
      <c r="V172" s="386"/>
      <c r="W172" s="386"/>
    </row>
    <row r="173" spans="1:23" x14ac:dyDescent="0.2">
      <c r="A173" s="390" t="s">
        <v>2608</v>
      </c>
      <c r="B173" s="391" t="s">
        <v>2658</v>
      </c>
      <c r="C173" s="392" t="s">
        <v>54</v>
      </c>
      <c r="D173" s="394" t="s">
        <v>641</v>
      </c>
      <c r="E173" s="445">
        <v>398797.12546499667</v>
      </c>
      <c r="F173" s="448">
        <v>239935.06950782562</v>
      </c>
      <c r="G173" s="449">
        <f t="shared" si="5"/>
        <v>0.60164693822218951</v>
      </c>
      <c r="H173" s="386"/>
      <c r="I173" s="386"/>
      <c r="J173" s="386"/>
      <c r="K173" s="386"/>
      <c r="L173" s="386"/>
      <c r="M173" s="386"/>
      <c r="N173" s="386"/>
      <c r="O173" s="386"/>
      <c r="P173" s="386"/>
      <c r="Q173" s="386"/>
      <c r="R173" s="386"/>
      <c r="S173" s="386"/>
      <c r="T173" s="386"/>
      <c r="U173" s="386"/>
      <c r="V173" s="386"/>
      <c r="W173" s="386"/>
    </row>
    <row r="174" spans="1:23" x14ac:dyDescent="0.2">
      <c r="A174" s="390" t="s">
        <v>2656</v>
      </c>
      <c r="B174" s="391" t="s">
        <v>2701</v>
      </c>
      <c r="C174" s="392" t="s">
        <v>54</v>
      </c>
      <c r="D174" s="393" t="s">
        <v>641</v>
      </c>
      <c r="E174" s="445">
        <v>3329915.7596133612</v>
      </c>
      <c r="F174" s="448">
        <v>1310967.5855110607</v>
      </c>
      <c r="G174" s="449">
        <f t="shared" si="5"/>
        <v>0.3936939190507564</v>
      </c>
      <c r="H174" s="386"/>
      <c r="I174" s="386"/>
      <c r="J174" s="386"/>
      <c r="K174" s="386"/>
      <c r="L174" s="386"/>
      <c r="M174" s="386"/>
      <c r="N174" s="386"/>
      <c r="O174" s="386"/>
      <c r="P174" s="386"/>
      <c r="Q174" s="386"/>
      <c r="R174" s="386"/>
      <c r="S174" s="386"/>
      <c r="T174" s="386"/>
      <c r="U174" s="386"/>
      <c r="V174" s="386"/>
      <c r="W174" s="386"/>
    </row>
    <row r="175" spans="1:23" x14ac:dyDescent="0.2">
      <c r="A175" s="390" t="s">
        <v>2702</v>
      </c>
      <c r="B175" s="391" t="s">
        <v>2703</v>
      </c>
      <c r="C175" s="392" t="s">
        <v>54</v>
      </c>
      <c r="D175" s="394" t="s">
        <v>641</v>
      </c>
      <c r="E175" s="445">
        <v>34939303.375165932</v>
      </c>
      <c r="F175" s="448">
        <v>16205945.311476909</v>
      </c>
      <c r="G175" s="449">
        <f t="shared" si="5"/>
        <v>0.46383138030724819</v>
      </c>
      <c r="H175" s="386"/>
      <c r="I175" s="386"/>
      <c r="J175" s="386"/>
      <c r="K175" s="386"/>
      <c r="L175" s="386"/>
      <c r="M175" s="386"/>
      <c r="N175" s="386"/>
      <c r="O175" s="386"/>
      <c r="P175" s="386"/>
      <c r="Q175" s="386"/>
      <c r="R175" s="386"/>
      <c r="S175" s="386"/>
      <c r="T175" s="386"/>
      <c r="U175" s="386"/>
      <c r="V175" s="386"/>
      <c r="W175" s="386"/>
    </row>
    <row r="176" spans="1:23" x14ac:dyDescent="0.2">
      <c r="A176" s="392" t="s">
        <v>639</v>
      </c>
      <c r="B176" s="395"/>
      <c r="C176" s="396"/>
      <c r="D176" s="394"/>
      <c r="E176" s="445">
        <v>637063957.17591405</v>
      </c>
      <c r="F176" s="448">
        <f>SUM(F7:F175)</f>
        <v>317694326.13816231</v>
      </c>
      <c r="G176" s="449">
        <f t="shared" si="5"/>
        <v>0.49868513602070974</v>
      </c>
      <c r="H176" s="386"/>
      <c r="I176" s="386"/>
      <c r="J176" s="386"/>
      <c r="K176" s="386"/>
      <c r="L176" s="386"/>
      <c r="M176" s="386"/>
      <c r="N176" s="386"/>
      <c r="O176" s="386"/>
      <c r="P176" s="386"/>
      <c r="Q176" s="386"/>
      <c r="R176" s="386"/>
      <c r="S176" s="386"/>
      <c r="T176" s="386"/>
      <c r="U176" s="386"/>
      <c r="V176" s="386"/>
      <c r="W176" s="386"/>
    </row>
    <row r="177" spans="6:23" x14ac:dyDescent="0.2"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</row>
    <row r="178" spans="6:23" x14ac:dyDescent="0.2">
      <c r="F178" s="386"/>
      <c r="G178" s="386"/>
      <c r="H178" s="386"/>
      <c r="I178" s="386"/>
      <c r="J178" s="386"/>
      <c r="K178" s="386"/>
      <c r="L178" s="386"/>
      <c r="M178" s="386"/>
    </row>
    <row r="179" spans="6:23" x14ac:dyDescent="0.2">
      <c r="F179" s="386"/>
      <c r="G179" s="386"/>
      <c r="H179" s="386"/>
      <c r="I179" s="386"/>
      <c r="J179" s="386"/>
      <c r="K179" s="386"/>
      <c r="L179" s="386"/>
      <c r="M179" s="386"/>
    </row>
  </sheetData>
  <pageMargins left="0.7" right="0.7" top="0.75" bottom="0.75" header="0.3" footer="0.3"/>
  <pageSetup paperSize="9" orientation="landscape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B2:R39"/>
  <sheetViews>
    <sheetView showGridLines="0" workbookViewId="0">
      <selection activeCell="O34" sqref="O34"/>
    </sheetView>
  </sheetViews>
  <sheetFormatPr defaultColWidth="8.7109375" defaultRowHeight="14.25" x14ac:dyDescent="0.2"/>
  <cols>
    <col min="1" max="1" width="2.42578125" style="381" customWidth="1"/>
    <col min="2" max="2" width="24.42578125" style="381" customWidth="1"/>
    <col min="3" max="11" width="8.7109375" style="381"/>
    <col min="12" max="12" width="10.42578125" style="381" bestFit="1" customWidth="1"/>
    <col min="13" max="13" width="8.42578125" style="381" customWidth="1"/>
    <col min="14" max="18" width="8.7109375" style="381"/>
    <col min="19" max="19" width="9" style="381" bestFit="1" customWidth="1"/>
    <col min="20" max="16384" width="8.7109375" style="381"/>
  </cols>
  <sheetData>
    <row r="2" spans="2:17" ht="15" x14ac:dyDescent="0.25">
      <c r="B2" s="384" t="s">
        <v>3031</v>
      </c>
    </row>
    <row r="3" spans="2:17" x14ac:dyDescent="0.2">
      <c r="L3" s="534"/>
    </row>
    <row r="4" spans="2:17" ht="21.6" customHeight="1" x14ac:dyDescent="0.2">
      <c r="B4" s="533" t="s">
        <v>3032</v>
      </c>
      <c r="C4" s="543">
        <v>2009</v>
      </c>
      <c r="D4" s="543">
        <v>2010</v>
      </c>
      <c r="E4" s="543">
        <v>2011</v>
      </c>
      <c r="F4" s="543">
        <v>2012</v>
      </c>
      <c r="G4" s="543">
        <v>2013</v>
      </c>
      <c r="H4" s="543">
        <v>2014</v>
      </c>
      <c r="I4" s="543">
        <v>2015</v>
      </c>
      <c r="J4" s="543">
        <v>2016</v>
      </c>
      <c r="K4" s="543">
        <v>2017</v>
      </c>
      <c r="L4" s="543">
        <v>2018</v>
      </c>
      <c r="M4" s="543">
        <v>2019</v>
      </c>
      <c r="N4" s="543">
        <v>2020</v>
      </c>
      <c r="O4" s="543">
        <v>2021</v>
      </c>
      <c r="P4" s="543">
        <v>2022</v>
      </c>
      <c r="Q4" s="543">
        <v>2023</v>
      </c>
    </row>
    <row r="5" spans="2:17" x14ac:dyDescent="0.2">
      <c r="B5" s="386" t="s">
        <v>28</v>
      </c>
      <c r="C5" s="532">
        <v>14.3</v>
      </c>
      <c r="D5" s="532">
        <v>42.5</v>
      </c>
      <c r="E5" s="532">
        <v>161.80000000000001</v>
      </c>
      <c r="F5" s="532">
        <v>72.099999999999994</v>
      </c>
      <c r="G5" s="532">
        <v>56.4</v>
      </c>
      <c r="H5" s="532">
        <v>26.446000000000002</v>
      </c>
      <c r="I5" s="532">
        <v>10.032999999999999</v>
      </c>
      <c r="J5" s="544">
        <f>Incurred!P397/1000000</f>
        <v>34.07540522</v>
      </c>
      <c r="K5" s="544">
        <f>Incurred!Q397/1000000</f>
        <v>13.292465849999997</v>
      </c>
      <c r="L5" s="544">
        <f>Incurred!R397/1000000</f>
        <v>15.366261043184689</v>
      </c>
      <c r="M5" s="544">
        <f>Incurred!S397/1000000</f>
        <v>7.6282297397063266</v>
      </c>
      <c r="N5" s="544">
        <f>Incurred!T397/1000000</f>
        <v>2.1448035080563508</v>
      </c>
      <c r="O5" s="544">
        <f>Incurred!U397/1000000</f>
        <v>0.1541691221414358</v>
      </c>
      <c r="P5" s="544">
        <f>Incurred!V397/1000000</f>
        <v>0</v>
      </c>
      <c r="Q5" s="544">
        <f>Incurred!W397/1000000</f>
        <v>0</v>
      </c>
    </row>
    <row r="6" spans="2:17" x14ac:dyDescent="0.2">
      <c r="B6" s="386" t="s">
        <v>31</v>
      </c>
      <c r="C6" s="532">
        <v>11.8</v>
      </c>
      <c r="D6" s="532">
        <v>20.8</v>
      </c>
      <c r="E6" s="532">
        <v>28.9</v>
      </c>
      <c r="F6" s="532">
        <v>23.7</v>
      </c>
      <c r="G6" s="532">
        <v>35.6</v>
      </c>
      <c r="H6" s="532">
        <v>11.976000000000001</v>
      </c>
      <c r="I6" s="532">
        <v>19.12</v>
      </c>
      <c r="J6" s="544">
        <f>Incurred!P398/1000000</f>
        <v>2.7093797000000004</v>
      </c>
      <c r="K6" s="544">
        <f>Incurred!Q398/1000000</f>
        <v>3.7934169500000001</v>
      </c>
      <c r="L6" s="544">
        <f>Incurred!R398/1000000</f>
        <v>3.71965364999692E-2</v>
      </c>
      <c r="M6" s="544">
        <f>Incurred!S398/1000000</f>
        <v>8.6866319824794563E-2</v>
      </c>
      <c r="N6" s="544">
        <f>Incurred!T398/1000000</f>
        <v>1.3187674648033672</v>
      </c>
      <c r="O6" s="544">
        <f>Incurred!U398/1000000</f>
        <v>5.3889714146279557</v>
      </c>
      <c r="P6" s="544">
        <f>Incurred!V398/1000000</f>
        <v>7.0572730445704942E-3</v>
      </c>
      <c r="Q6" s="544">
        <f>Incurred!W398/1000000</f>
        <v>0</v>
      </c>
    </row>
    <row r="7" spans="2:17" x14ac:dyDescent="0.2">
      <c r="B7" s="386" t="s">
        <v>40</v>
      </c>
      <c r="C7" s="532">
        <v>55.3</v>
      </c>
      <c r="D7" s="532">
        <v>35</v>
      </c>
      <c r="E7" s="532">
        <v>19.2</v>
      </c>
      <c r="F7" s="532">
        <v>47</v>
      </c>
      <c r="G7" s="532">
        <v>69.5</v>
      </c>
      <c r="H7" s="532">
        <v>65</v>
      </c>
      <c r="I7" s="532">
        <v>56.7</v>
      </c>
      <c r="J7" s="544">
        <f>Incurred!P400/1000000</f>
        <v>74.080413980000031</v>
      </c>
      <c r="K7" s="544">
        <f>Incurred!Q400/1000000</f>
        <v>75.35655924000001</v>
      </c>
      <c r="L7" s="544">
        <f>Incurred!R400/1000000</f>
        <v>65.421842479931655</v>
      </c>
      <c r="M7" s="544">
        <f>Incurred!S400/1000000</f>
        <v>34.867277239647073</v>
      </c>
      <c r="N7" s="544">
        <f>Incurred!T400/1000000</f>
        <v>36.729844688835037</v>
      </c>
      <c r="O7" s="544">
        <f>Incurred!U400/1000000</f>
        <v>39.719663475713645</v>
      </c>
      <c r="P7" s="544">
        <f>Incurred!V400/1000000</f>
        <v>45.613130229157633</v>
      </c>
      <c r="Q7" s="544">
        <f>Incurred!W400/1000000</f>
        <v>21.607652926651557</v>
      </c>
    </row>
    <row r="8" spans="2:17" x14ac:dyDescent="0.2">
      <c r="B8" s="386" t="s">
        <v>41</v>
      </c>
      <c r="C8" s="532">
        <v>0</v>
      </c>
      <c r="D8" s="532">
        <v>0</v>
      </c>
      <c r="E8" s="532">
        <v>0</v>
      </c>
      <c r="F8" s="532">
        <v>0</v>
      </c>
      <c r="G8" s="532">
        <v>0</v>
      </c>
      <c r="H8" s="532">
        <v>2.0419999999999998</v>
      </c>
      <c r="I8" s="532">
        <v>10.050000000000001</v>
      </c>
      <c r="J8" s="544">
        <f>Incurred!P401/1000000</f>
        <v>24.558707409999997</v>
      </c>
      <c r="K8" s="544">
        <f>Incurred!Q401/1000000</f>
        <v>19.665950299999999</v>
      </c>
      <c r="L8" s="544">
        <f>Incurred!R401/1000000</f>
        <v>16.683025950815161</v>
      </c>
      <c r="M8" s="544">
        <f>Incurred!S401/1000000</f>
        <v>10.256875326942227</v>
      </c>
      <c r="N8" s="544">
        <f>Incurred!T401/1000000</f>
        <v>40.300997954878042</v>
      </c>
      <c r="O8" s="544">
        <f>Incurred!U401/1000000</f>
        <v>52.90439656067872</v>
      </c>
      <c r="P8" s="544">
        <f>Incurred!V401/1000000</f>
        <v>47.397219017840918</v>
      </c>
      <c r="Q8" s="544">
        <f>Incurred!W401/1000000</f>
        <v>24.691725608178665</v>
      </c>
    </row>
    <row r="9" spans="2:17" x14ac:dyDescent="0.2">
      <c r="B9" s="386" t="s">
        <v>3027</v>
      </c>
      <c r="C9" s="532">
        <v>1.2</v>
      </c>
      <c r="D9" s="532">
        <v>0.2</v>
      </c>
      <c r="E9" s="532">
        <v>1.2</v>
      </c>
      <c r="F9" s="532">
        <v>12.3</v>
      </c>
      <c r="G9" s="532">
        <v>14.5</v>
      </c>
      <c r="H9" s="532">
        <v>5.7110000000000003</v>
      </c>
      <c r="I9" s="532">
        <v>5.5910000000000002</v>
      </c>
      <c r="J9" s="544">
        <f>Incurred!P399/1000000</f>
        <v>4.4846957400000003</v>
      </c>
      <c r="K9" s="544">
        <f>Incurred!Q399/1000000</f>
        <v>7.1288016899999995</v>
      </c>
      <c r="L9" s="544">
        <f>Incurred!R399/1000000</f>
        <v>1.5862013316559429</v>
      </c>
      <c r="M9" s="544">
        <f>Incurred!S399/1000000</f>
        <v>0</v>
      </c>
      <c r="N9" s="544">
        <f>Incurred!T399/1000000</f>
        <v>0</v>
      </c>
      <c r="O9" s="544">
        <f>Incurred!U399/1000000</f>
        <v>0</v>
      </c>
      <c r="P9" s="544">
        <f>Incurred!V399/1000000</f>
        <v>0</v>
      </c>
      <c r="Q9" s="544">
        <f>Incurred!W399/1000000</f>
        <v>0</v>
      </c>
    </row>
    <row r="10" spans="2:17" x14ac:dyDescent="0.2">
      <c r="B10" s="386" t="s">
        <v>3028</v>
      </c>
      <c r="C10" s="532">
        <v>3.7</v>
      </c>
      <c r="D10" s="532">
        <v>8</v>
      </c>
      <c r="E10" s="532">
        <v>11</v>
      </c>
      <c r="F10" s="532">
        <v>14.1</v>
      </c>
      <c r="G10" s="532">
        <v>23.8</v>
      </c>
      <c r="H10" s="532">
        <v>6.0910000000000002</v>
      </c>
      <c r="I10" s="532">
        <v>3.032</v>
      </c>
      <c r="J10" s="544">
        <f>Incurred!P402/1000000</f>
        <v>12.037717619999999</v>
      </c>
      <c r="K10" s="544">
        <f>Incurred!Q402/1000000</f>
        <v>11.996533159999998</v>
      </c>
      <c r="L10" s="544">
        <f>Incurred!R402/1000000</f>
        <v>38.836548974328316</v>
      </c>
      <c r="M10" s="544">
        <f>Incurred!S402/1000000</f>
        <v>27.853441816945569</v>
      </c>
      <c r="N10" s="544">
        <f>Incurred!T402/1000000</f>
        <v>13.181687207258937</v>
      </c>
      <c r="O10" s="544">
        <f>Incurred!U402/1000000</f>
        <v>5.2982804618004904</v>
      </c>
      <c r="P10" s="544">
        <f>Incurred!V402/1000000</f>
        <v>3.8518698144854144</v>
      </c>
      <c r="Q10" s="544">
        <f>Incurred!W402/1000000</f>
        <v>3.3558699088865951</v>
      </c>
    </row>
    <row r="11" spans="2:17" x14ac:dyDescent="0.2">
      <c r="B11" s="386" t="s">
        <v>60</v>
      </c>
      <c r="C11" s="532">
        <v>3.8</v>
      </c>
      <c r="D11" s="532">
        <v>2.4</v>
      </c>
      <c r="E11" s="532">
        <v>2.2000000000000002</v>
      </c>
      <c r="F11" s="532">
        <v>2.4</v>
      </c>
      <c r="G11" s="532">
        <v>4.0999999999999996</v>
      </c>
      <c r="H11" s="532">
        <v>0.53900000000000003</v>
      </c>
      <c r="I11" s="532">
        <v>2.0840000000000001</v>
      </c>
      <c r="J11" s="544">
        <f>Incurred!P403/1000000</f>
        <v>1.76773358</v>
      </c>
      <c r="K11" s="544">
        <f>Incurred!Q403/1000000</f>
        <v>5.1729032799999999</v>
      </c>
      <c r="L11" s="544">
        <f>Incurred!R403/1000000</f>
        <v>3.5646900634171672</v>
      </c>
      <c r="M11" s="544">
        <f>Incurred!S403/1000000</f>
        <v>2.3724503912770318</v>
      </c>
      <c r="N11" s="544">
        <f>Incurred!T403/1000000</f>
        <v>2.4372655401293497</v>
      </c>
      <c r="O11" s="544">
        <f>Incurred!U403/1000000</f>
        <v>2.4812903575935139</v>
      </c>
      <c r="P11" s="544">
        <f>Incurred!V403/1000000</f>
        <v>2.5467287216132446</v>
      </c>
      <c r="Q11" s="544">
        <f>Incurred!W403/1000000</f>
        <v>2.6124145679240174</v>
      </c>
    </row>
    <row r="12" spans="2:17" x14ac:dyDescent="0.2">
      <c r="B12" s="386" t="s">
        <v>55</v>
      </c>
      <c r="C12" s="532">
        <v>6.4</v>
      </c>
      <c r="D12" s="532">
        <v>5.8</v>
      </c>
      <c r="E12" s="532">
        <v>7.3</v>
      </c>
      <c r="F12" s="532">
        <v>7.7</v>
      </c>
      <c r="G12" s="532">
        <v>12.7</v>
      </c>
      <c r="H12" s="532">
        <v>12.414999999999999</v>
      </c>
      <c r="I12" s="532">
        <v>7.1109999999999998</v>
      </c>
      <c r="J12" s="544">
        <f>Incurred!P404/1000000</f>
        <v>9.8678862099999982</v>
      </c>
      <c r="K12" s="544">
        <f>Incurred!Q404/1000000</f>
        <v>12.243387490000002</v>
      </c>
      <c r="L12" s="544">
        <f>Incurred!R404/1000000</f>
        <v>18.477660351864603</v>
      </c>
      <c r="M12" s="544">
        <f>Incurred!S404/1000000</f>
        <v>14.956247170657983</v>
      </c>
      <c r="N12" s="544">
        <f>Incurred!T404/1000000</f>
        <v>7.9424929406140086</v>
      </c>
      <c r="O12" s="544">
        <f>Incurred!U404/1000000</f>
        <v>9.7181844775662345</v>
      </c>
      <c r="P12" s="544">
        <f>Incurred!V404/1000000</f>
        <v>10.351036856890026</v>
      </c>
      <c r="Q12" s="544">
        <f>Incurred!W404/1000000</f>
        <v>7.4052695366222672</v>
      </c>
    </row>
    <row r="13" spans="2:17" x14ac:dyDescent="0.2">
      <c r="B13" s="386" t="s">
        <v>36</v>
      </c>
      <c r="C13" s="532">
        <v>0.9</v>
      </c>
      <c r="D13" s="532">
        <v>2.8</v>
      </c>
      <c r="E13" s="532">
        <v>0.7</v>
      </c>
      <c r="F13" s="532">
        <v>1.2</v>
      </c>
      <c r="G13" s="532">
        <v>1.9</v>
      </c>
      <c r="H13" s="532">
        <v>1.2150000000000001</v>
      </c>
      <c r="I13" s="532">
        <v>0.69199999999999995</v>
      </c>
      <c r="J13" s="544">
        <f>Incurred!P405/1000000</f>
        <v>0.87311178999999994</v>
      </c>
      <c r="K13" s="544">
        <f>Incurred!Q405/1000000</f>
        <v>1.52831227</v>
      </c>
      <c r="L13" s="544">
        <f>Incurred!R405/1000000</f>
        <v>9.5483773032397448</v>
      </c>
      <c r="M13" s="544">
        <f>Incurred!S405/1000000</f>
        <v>1.5211284298623511</v>
      </c>
      <c r="N13" s="544">
        <f>Incurred!T405/1000000</f>
        <v>1.2159694563672998</v>
      </c>
      <c r="O13" s="544">
        <f>Incurred!U405/1000000</f>
        <v>1.6233328820994897</v>
      </c>
      <c r="P13" s="544">
        <f>Incurred!V405/1000000</f>
        <v>1.2469642668252015</v>
      </c>
      <c r="Q13" s="544">
        <f>Incurred!W405/1000000</f>
        <v>0.7491301998177764</v>
      </c>
    </row>
    <row r="14" spans="2:17" ht="7.5" customHeight="1" x14ac:dyDescent="0.2">
      <c r="H14" s="531"/>
      <c r="I14" s="531"/>
      <c r="J14" s="545"/>
      <c r="K14" s="546"/>
      <c r="L14" s="546"/>
      <c r="M14" s="547"/>
      <c r="N14" s="547"/>
      <c r="O14" s="547"/>
      <c r="P14" s="547"/>
      <c r="Q14" s="547"/>
    </row>
    <row r="15" spans="2:17" ht="15" x14ac:dyDescent="0.25">
      <c r="B15" s="541" t="s">
        <v>3030</v>
      </c>
      <c r="C15" s="540">
        <f t="shared" ref="C15:I15" si="0">SUM(C5:C13)</f>
        <v>97.40000000000002</v>
      </c>
      <c r="D15" s="540">
        <f t="shared" si="0"/>
        <v>117.5</v>
      </c>
      <c r="E15" s="540">
        <f t="shared" si="0"/>
        <v>232.29999999999998</v>
      </c>
      <c r="F15" s="540">
        <f t="shared" si="0"/>
        <v>180.5</v>
      </c>
      <c r="G15" s="540">
        <f t="shared" si="0"/>
        <v>218.5</v>
      </c>
      <c r="H15" s="540">
        <f t="shared" si="0"/>
        <v>131.435</v>
      </c>
      <c r="I15" s="540">
        <f t="shared" si="0"/>
        <v>114.413</v>
      </c>
      <c r="J15" s="540">
        <f>SUM(J5:J14)</f>
        <v>164.45505125</v>
      </c>
      <c r="K15" s="540">
        <f>SUM(K5:K14)</f>
        <v>150.17833022999997</v>
      </c>
      <c r="L15" s="540">
        <f>SUM(L5:L14)</f>
        <v>169.52180403493725</v>
      </c>
      <c r="M15" s="540">
        <f>SUM(M5:M13)</f>
        <v>99.542516434863359</v>
      </c>
      <c r="N15" s="540">
        <f>SUM(N5:N13)</f>
        <v>105.27182876094238</v>
      </c>
      <c r="O15" s="540">
        <f>SUM(O5:O13)</f>
        <v>117.28828875222148</v>
      </c>
      <c r="P15" s="540">
        <f>SUM(P5:P13)</f>
        <v>111.01400617985702</v>
      </c>
      <c r="Q15" s="540">
        <f>SUM(Q5:Q13)</f>
        <v>60.422062748080883</v>
      </c>
    </row>
    <row r="16" spans="2:17" x14ac:dyDescent="0.2">
      <c r="C16" s="535"/>
      <c r="D16" s="535"/>
      <c r="E16" s="535"/>
      <c r="F16" s="535"/>
      <c r="G16" s="535"/>
    </row>
    <row r="17" spans="2:18" x14ac:dyDescent="0.2">
      <c r="B17" s="536" t="s">
        <v>675</v>
      </c>
      <c r="C17" s="537">
        <v>2.4363233665559259E-2</v>
      </c>
      <c r="D17" s="537">
        <v>2.9189189189189113E-2</v>
      </c>
      <c r="E17" s="537">
        <v>3.2563025210083918E-2</v>
      </c>
      <c r="F17" s="537">
        <v>1.6276703967446737E-2</v>
      </c>
      <c r="G17" s="537">
        <v>2.206619859578729E-2</v>
      </c>
      <c r="H17" s="537">
        <v>2.9296875E-2</v>
      </c>
      <c r="I17" s="537">
        <v>1.3282732447817747E-2</v>
      </c>
      <c r="J17" s="537">
        <v>1.3108614232209881E-2</v>
      </c>
      <c r="K17" s="538">
        <f>Incurred!A16</f>
        <v>2.1256931608129997E-2</v>
      </c>
      <c r="L17" s="538">
        <v>2.5000000000000001E-2</v>
      </c>
      <c r="M17" s="538">
        <v>2.5000000000000001E-2</v>
      </c>
      <c r="N17" s="538">
        <v>2.5000000000000001E-2</v>
      </c>
      <c r="O17" s="538">
        <v>2.5000000000000001E-2</v>
      </c>
      <c r="P17" s="538">
        <v>2.5000000000000001E-2</v>
      </c>
      <c r="Q17" s="538">
        <v>2.5000000000000001E-2</v>
      </c>
    </row>
    <row r="18" spans="2:18" x14ac:dyDescent="0.2"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</row>
    <row r="19" spans="2:18" x14ac:dyDescent="0.2">
      <c r="B19" s="386" t="s">
        <v>3029</v>
      </c>
      <c r="C19" s="530">
        <f t="shared" ref="C19:J19" si="1">D19/(1+D17)</f>
        <v>0.81905116435552061</v>
      </c>
      <c r="D19" s="530">
        <f t="shared" si="1"/>
        <v>0.84295860374751952</v>
      </c>
      <c r="E19" s="530">
        <f t="shared" si="1"/>
        <v>0.87040788601240715</v>
      </c>
      <c r="F19" s="530">
        <f t="shared" si="1"/>
        <v>0.88457525750396226</v>
      </c>
      <c r="G19" s="530">
        <f t="shared" si="1"/>
        <v>0.90409447080896432</v>
      </c>
      <c r="H19" s="530">
        <f t="shared" si="1"/>
        <v>0.9305816135084457</v>
      </c>
      <c r="I19" s="530">
        <f t="shared" si="1"/>
        <v>0.94294228010153691</v>
      </c>
      <c r="J19" s="530">
        <f t="shared" si="1"/>
        <v>0.95530294669462834</v>
      </c>
      <c r="K19" s="530">
        <f>L19/(1+L17)</f>
        <v>0.97560975609756106</v>
      </c>
      <c r="L19" s="530">
        <v>1</v>
      </c>
      <c r="M19" s="530">
        <f>L19*(1+M17)</f>
        <v>1.0249999999999999</v>
      </c>
      <c r="N19" s="530">
        <f t="shared" ref="N19:Q19" si="2">M19*(1+N17)</f>
        <v>1.0506249999999999</v>
      </c>
      <c r="O19" s="530">
        <f t="shared" si="2"/>
        <v>1.0768906249999999</v>
      </c>
      <c r="P19" s="530">
        <f t="shared" si="2"/>
        <v>1.1038128906249998</v>
      </c>
      <c r="Q19" s="530">
        <f t="shared" si="2"/>
        <v>1.1314082128906247</v>
      </c>
    </row>
    <row r="21" spans="2:18" ht="25.5" x14ac:dyDescent="0.2">
      <c r="B21" s="533" t="s">
        <v>3033</v>
      </c>
      <c r="C21" s="542">
        <f t="shared" ref="C21:Q21" si="3">C4</f>
        <v>2009</v>
      </c>
      <c r="D21" s="542">
        <f t="shared" si="3"/>
        <v>2010</v>
      </c>
      <c r="E21" s="542">
        <f t="shared" si="3"/>
        <v>2011</v>
      </c>
      <c r="F21" s="542">
        <f t="shared" si="3"/>
        <v>2012</v>
      </c>
      <c r="G21" s="542">
        <f t="shared" si="3"/>
        <v>2013</v>
      </c>
      <c r="H21" s="542">
        <f t="shared" si="3"/>
        <v>2014</v>
      </c>
      <c r="I21" s="542">
        <f t="shared" si="3"/>
        <v>2015</v>
      </c>
      <c r="J21" s="542">
        <f t="shared" si="3"/>
        <v>2016</v>
      </c>
      <c r="K21" s="542">
        <f t="shared" si="3"/>
        <v>2017</v>
      </c>
      <c r="L21" s="542">
        <f t="shared" si="3"/>
        <v>2018</v>
      </c>
      <c r="M21" s="542">
        <f t="shared" si="3"/>
        <v>2019</v>
      </c>
      <c r="N21" s="542">
        <f t="shared" si="3"/>
        <v>2020</v>
      </c>
      <c r="O21" s="542">
        <f t="shared" si="3"/>
        <v>2021</v>
      </c>
      <c r="P21" s="542">
        <f t="shared" si="3"/>
        <v>2022</v>
      </c>
      <c r="Q21" s="542">
        <f t="shared" si="3"/>
        <v>2023</v>
      </c>
    </row>
    <row r="22" spans="2:18" x14ac:dyDescent="0.2">
      <c r="B22" s="381" t="str">
        <f t="shared" ref="B22:B30" si="4">B5</f>
        <v>Augmentation</v>
      </c>
      <c r="C22" s="532">
        <f t="shared" ref="C22:G30" si="5">C5/C$19</f>
        <v>17.459226752033388</v>
      </c>
      <c r="D22" s="532">
        <f t="shared" si="5"/>
        <v>50.41765967042609</v>
      </c>
      <c r="E22" s="532">
        <f t="shared" si="5"/>
        <v>185.88985991527844</v>
      </c>
      <c r="F22" s="532">
        <f t="shared" si="5"/>
        <v>81.508045119244173</v>
      </c>
      <c r="G22" s="532">
        <f t="shared" si="5"/>
        <v>62.382861328124804</v>
      </c>
      <c r="H22" s="532">
        <f t="shared" ref="H22:J30" si="6">H5/H$19</f>
        <v>28.418786290322494</v>
      </c>
      <c r="I22" s="532">
        <f t="shared" si="6"/>
        <v>10.640099836142289</v>
      </c>
      <c r="J22" s="532">
        <f t="shared" si="6"/>
        <v>35.66973737273787</v>
      </c>
      <c r="K22" s="532">
        <f t="shared" ref="K22:Q22" si="7">K5/K$19</f>
        <v>13.624777496249996</v>
      </c>
      <c r="L22" s="532">
        <f t="shared" si="7"/>
        <v>15.366261043184689</v>
      </c>
      <c r="M22" s="532">
        <f t="shared" si="7"/>
        <v>7.4421753558110506</v>
      </c>
      <c r="N22" s="532">
        <f t="shared" si="7"/>
        <v>2.0414548559727312</v>
      </c>
      <c r="O22" s="532">
        <f t="shared" si="7"/>
        <v>0.14316135600255209</v>
      </c>
      <c r="P22" s="532">
        <f t="shared" si="7"/>
        <v>0</v>
      </c>
      <c r="Q22" s="532">
        <f t="shared" si="7"/>
        <v>0</v>
      </c>
    </row>
    <row r="23" spans="2:18" x14ac:dyDescent="0.2">
      <c r="B23" s="381" t="str">
        <f t="shared" si="4"/>
        <v>Connection</v>
      </c>
      <c r="C23" s="532">
        <f t="shared" si="5"/>
        <v>14.406914382796781</v>
      </c>
      <c r="D23" s="532">
        <f t="shared" si="5"/>
        <v>24.674995791643827</v>
      </c>
      <c r="E23" s="532">
        <f t="shared" si="5"/>
        <v>33.202824175225871</v>
      </c>
      <c r="F23" s="532">
        <f t="shared" si="5"/>
        <v>26.79251968552132</v>
      </c>
      <c r="G23" s="532">
        <f t="shared" si="5"/>
        <v>39.376416015624876</v>
      </c>
      <c r="H23" s="532">
        <f t="shared" si="6"/>
        <v>12.869370967741895</v>
      </c>
      <c r="I23" s="532">
        <f t="shared" si="6"/>
        <v>20.276956928838892</v>
      </c>
      <c r="J23" s="532">
        <f t="shared" si="6"/>
        <v>2.8361471189579395</v>
      </c>
      <c r="K23" s="532">
        <f t="shared" ref="K23:L30" si="8">K6/K$19</f>
        <v>3.8882523737499999</v>
      </c>
      <c r="L23" s="532">
        <f t="shared" si="8"/>
        <v>3.71965364999692E-2</v>
      </c>
      <c r="M23" s="532">
        <f t="shared" ref="M23:Q30" si="9">M6/M$19</f>
        <v>8.4747629097360555E-2</v>
      </c>
      <c r="N23" s="532">
        <f t="shared" si="9"/>
        <v>1.2552218582304506</v>
      </c>
      <c r="O23" s="532">
        <f t="shared" si="9"/>
        <v>5.0041956810868848</v>
      </c>
      <c r="P23" s="532">
        <f t="shared" si="9"/>
        <v>6.3935410652565692E-3</v>
      </c>
      <c r="Q23" s="532">
        <f t="shared" si="9"/>
        <v>0</v>
      </c>
    </row>
    <row r="24" spans="2:18" x14ac:dyDescent="0.2">
      <c r="B24" s="381" t="str">
        <f t="shared" si="4"/>
        <v>Replacement</v>
      </c>
      <c r="C24" s="532">
        <f t="shared" si="5"/>
        <v>67.51714960751373</v>
      </c>
      <c r="D24" s="532">
        <f t="shared" si="5"/>
        <v>41.520425610939128</v>
      </c>
      <c r="E24" s="532">
        <f t="shared" si="5"/>
        <v>22.058623673506464</v>
      </c>
      <c r="F24" s="532">
        <f t="shared" si="5"/>
        <v>53.132844945970554</v>
      </c>
      <c r="G24" s="532">
        <f t="shared" si="5"/>
        <v>76.872497558593508</v>
      </c>
      <c r="H24" s="532">
        <f t="shared" si="6"/>
        <v>69.848790322580427</v>
      </c>
      <c r="I24" s="532">
        <f t="shared" si="6"/>
        <v>60.130933988763864</v>
      </c>
      <c r="J24" s="532">
        <f t="shared" si="6"/>
        <v>77.546514680311716</v>
      </c>
      <c r="K24" s="532">
        <f t="shared" si="8"/>
        <v>77.240473221000002</v>
      </c>
      <c r="L24" s="532">
        <f t="shared" si="8"/>
        <v>65.421842479931655</v>
      </c>
      <c r="M24" s="532">
        <f t="shared" si="9"/>
        <v>34.016855843558126</v>
      </c>
      <c r="N24" s="532">
        <f t="shared" si="9"/>
        <v>34.95999494475673</v>
      </c>
      <c r="O24" s="532">
        <f t="shared" si="9"/>
        <v>36.883656105478352</v>
      </c>
      <c r="P24" s="532">
        <f t="shared" si="9"/>
        <v>41.323244742440558</v>
      </c>
      <c r="Q24" s="532">
        <f t="shared" si="9"/>
        <v>19.098016684399312</v>
      </c>
    </row>
    <row r="25" spans="2:18" x14ac:dyDescent="0.2">
      <c r="B25" s="381" t="str">
        <f t="shared" si="4"/>
        <v>Refurbishment</v>
      </c>
      <c r="C25" s="532">
        <f t="shared" si="5"/>
        <v>0</v>
      </c>
      <c r="D25" s="532">
        <f t="shared" si="5"/>
        <v>0</v>
      </c>
      <c r="E25" s="532">
        <f t="shared" si="5"/>
        <v>0</v>
      </c>
      <c r="F25" s="532">
        <f t="shared" si="5"/>
        <v>0</v>
      </c>
      <c r="G25" s="532">
        <f t="shared" si="5"/>
        <v>0</v>
      </c>
      <c r="H25" s="532">
        <f t="shared" si="6"/>
        <v>2.1943266129032186</v>
      </c>
      <c r="I25" s="532">
        <f t="shared" si="6"/>
        <v>10.658128511235924</v>
      </c>
      <c r="J25" s="532">
        <f t="shared" si="6"/>
        <v>25.707768928143398</v>
      </c>
      <c r="K25" s="532">
        <f t="shared" si="8"/>
        <v>20.157599057499997</v>
      </c>
      <c r="L25" s="532">
        <f t="shared" si="8"/>
        <v>16.683025950815161</v>
      </c>
      <c r="M25" s="532">
        <f t="shared" si="9"/>
        <v>10.006707636041199</v>
      </c>
      <c r="N25" s="532">
        <f t="shared" si="9"/>
        <v>38.359070034387194</v>
      </c>
      <c r="O25" s="532">
        <f t="shared" si="9"/>
        <v>49.126991481311045</v>
      </c>
      <c r="P25" s="532">
        <f t="shared" si="9"/>
        <v>42.939541130928191</v>
      </c>
      <c r="Q25" s="532">
        <f t="shared" si="9"/>
        <v>21.823887547266427</v>
      </c>
    </row>
    <row r="26" spans="2:18" x14ac:dyDescent="0.2">
      <c r="B26" s="381" t="str">
        <f t="shared" si="4"/>
        <v>Easements</v>
      </c>
      <c r="C26" s="532">
        <f t="shared" si="5"/>
        <v>1.465109937233571</v>
      </c>
      <c r="D26" s="532">
        <f t="shared" si="5"/>
        <v>0.23725957491965219</v>
      </c>
      <c r="E26" s="532">
        <f t="shared" si="5"/>
        <v>1.378663979594154</v>
      </c>
      <c r="F26" s="532">
        <f t="shared" si="5"/>
        <v>13.904978570966762</v>
      </c>
      <c r="G26" s="532">
        <f t="shared" si="5"/>
        <v>16.0381469726562</v>
      </c>
      <c r="H26" s="532">
        <f t="shared" si="6"/>
        <v>6.1370221774193361</v>
      </c>
      <c r="I26" s="532">
        <f t="shared" si="6"/>
        <v>5.9293130852059743</v>
      </c>
      <c r="J26" s="532">
        <f t="shared" si="6"/>
        <v>4.6945272758941625</v>
      </c>
      <c r="K26" s="532">
        <f t="shared" si="8"/>
        <v>7.3070217322499991</v>
      </c>
      <c r="L26" s="532">
        <f t="shared" si="8"/>
        <v>1.5862013316559429</v>
      </c>
      <c r="M26" s="532">
        <f t="shared" si="9"/>
        <v>0</v>
      </c>
      <c r="N26" s="532">
        <f t="shared" si="9"/>
        <v>0</v>
      </c>
      <c r="O26" s="532">
        <f t="shared" si="9"/>
        <v>0</v>
      </c>
      <c r="P26" s="532">
        <f t="shared" si="9"/>
        <v>0</v>
      </c>
      <c r="Q26" s="532">
        <f t="shared" si="9"/>
        <v>0</v>
      </c>
    </row>
    <row r="27" spans="2:18" x14ac:dyDescent="0.2">
      <c r="B27" s="381" t="str">
        <f t="shared" si="4"/>
        <v>Security/ Compliance</v>
      </c>
      <c r="C27" s="532">
        <f t="shared" si="5"/>
        <v>4.5174223064701771</v>
      </c>
      <c r="D27" s="532">
        <f t="shared" si="5"/>
        <v>9.4903829967860869</v>
      </c>
      <c r="E27" s="532">
        <f t="shared" si="5"/>
        <v>12.637753146279746</v>
      </c>
      <c r="F27" s="532">
        <f t="shared" si="5"/>
        <v>15.939853483791165</v>
      </c>
      <c r="G27" s="532">
        <f t="shared" si="5"/>
        <v>26.324682617187417</v>
      </c>
      <c r="H27" s="532">
        <f t="shared" si="6"/>
        <v>6.5453689516128826</v>
      </c>
      <c r="I27" s="532">
        <f t="shared" si="6"/>
        <v>3.2154672284644099</v>
      </c>
      <c r="J27" s="532">
        <f t="shared" si="6"/>
        <v>12.600942624170477</v>
      </c>
      <c r="K27" s="532">
        <f t="shared" si="8"/>
        <v>12.296446488999997</v>
      </c>
      <c r="L27" s="532">
        <f t="shared" si="8"/>
        <v>38.836548974328316</v>
      </c>
      <c r="M27" s="532">
        <f t="shared" si="9"/>
        <v>27.174089577507875</v>
      </c>
      <c r="N27" s="532">
        <f t="shared" si="9"/>
        <v>12.546519649978764</v>
      </c>
      <c r="O27" s="532">
        <f t="shared" si="9"/>
        <v>4.9199801157155498</v>
      </c>
      <c r="P27" s="532">
        <f t="shared" si="9"/>
        <v>3.4896039421177738</v>
      </c>
      <c r="Q27" s="532">
        <f t="shared" si="9"/>
        <v>2.9661000076291768</v>
      </c>
    </row>
    <row r="28" spans="2:18" x14ac:dyDescent="0.2">
      <c r="B28" s="381" t="str">
        <f t="shared" si="4"/>
        <v>Inventory/Spares</v>
      </c>
      <c r="C28" s="532">
        <f t="shared" si="5"/>
        <v>4.639514801239641</v>
      </c>
      <c r="D28" s="532">
        <f t="shared" si="5"/>
        <v>2.8471148990358262</v>
      </c>
      <c r="E28" s="532">
        <f t="shared" si="5"/>
        <v>2.5275506292559493</v>
      </c>
      <c r="F28" s="532">
        <f t="shared" si="5"/>
        <v>2.7131665504325388</v>
      </c>
      <c r="G28" s="532">
        <f t="shared" si="5"/>
        <v>4.5349243164062356</v>
      </c>
      <c r="H28" s="532">
        <f t="shared" si="6"/>
        <v>0.57920766129032075</v>
      </c>
      <c r="I28" s="532">
        <f t="shared" si="6"/>
        <v>2.2101034644194688</v>
      </c>
      <c r="J28" s="532">
        <f t="shared" si="6"/>
        <v>1.850442926106741</v>
      </c>
      <c r="K28" s="532">
        <f t="shared" si="8"/>
        <v>5.3022258619999993</v>
      </c>
      <c r="L28" s="532">
        <f t="shared" si="8"/>
        <v>3.5646900634171672</v>
      </c>
      <c r="M28" s="532">
        <f t="shared" si="9"/>
        <v>2.3145857475873481</v>
      </c>
      <c r="N28" s="532">
        <f t="shared" si="9"/>
        <v>2.3198244284395955</v>
      </c>
      <c r="O28" s="532">
        <f t="shared" si="9"/>
        <v>2.3041247643821898</v>
      </c>
      <c r="P28" s="532">
        <f t="shared" si="9"/>
        <v>2.3072105274755748</v>
      </c>
      <c r="Q28" s="532">
        <f t="shared" si="9"/>
        <v>2.3089938168732069</v>
      </c>
    </row>
    <row r="29" spans="2:18" x14ac:dyDescent="0.2">
      <c r="B29" s="381" t="str">
        <f t="shared" si="4"/>
        <v>Information Technology</v>
      </c>
      <c r="C29" s="532">
        <f t="shared" si="5"/>
        <v>7.8139196652457121</v>
      </c>
      <c r="D29" s="532">
        <f t="shared" si="5"/>
        <v>6.8805276726699125</v>
      </c>
      <c r="E29" s="532">
        <f t="shared" si="5"/>
        <v>8.386872542531103</v>
      </c>
      <c r="F29" s="532">
        <f t="shared" si="5"/>
        <v>8.704742682637729</v>
      </c>
      <c r="G29" s="532">
        <f t="shared" si="5"/>
        <v>14.047204589843705</v>
      </c>
      <c r="H29" s="532">
        <f t="shared" si="6"/>
        <v>13.341118951612861</v>
      </c>
      <c r="I29" s="532">
        <f t="shared" si="6"/>
        <v>7.5412887406366806</v>
      </c>
      <c r="J29" s="532">
        <f t="shared" si="6"/>
        <v>10.329588372089844</v>
      </c>
      <c r="K29" s="532">
        <f t="shared" si="8"/>
        <v>12.549472177250001</v>
      </c>
      <c r="L29" s="532">
        <f t="shared" si="8"/>
        <v>18.477660351864603</v>
      </c>
      <c r="M29" s="532">
        <f t="shared" si="9"/>
        <v>14.591460654300473</v>
      </c>
      <c r="N29" s="532">
        <f t="shared" si="9"/>
        <v>7.5597791225356419</v>
      </c>
      <c r="O29" s="532">
        <f t="shared" si="9"/>
        <v>9.0243003810774525</v>
      </c>
      <c r="P29" s="532">
        <f t="shared" si="9"/>
        <v>9.3775285148455492</v>
      </c>
      <c r="Q29" s="532">
        <f t="shared" si="9"/>
        <v>6.545179230847733</v>
      </c>
    </row>
    <row r="30" spans="2:18" x14ac:dyDescent="0.2">
      <c r="B30" s="381" t="str">
        <f t="shared" si="4"/>
        <v>Facilities</v>
      </c>
      <c r="C30" s="532">
        <f t="shared" si="5"/>
        <v>1.0988324529251783</v>
      </c>
      <c r="D30" s="532">
        <f t="shared" si="5"/>
        <v>3.3216340488751301</v>
      </c>
      <c r="E30" s="532">
        <f t="shared" si="5"/>
        <v>0.80422065476325644</v>
      </c>
      <c r="F30" s="532">
        <f t="shared" si="5"/>
        <v>1.3565832752162694</v>
      </c>
      <c r="G30" s="532">
        <f t="shared" si="5"/>
        <v>2.1015502929687435</v>
      </c>
      <c r="H30" s="532">
        <f t="shared" si="6"/>
        <v>1.3056350806451573</v>
      </c>
      <c r="I30" s="532">
        <f t="shared" si="6"/>
        <v>0.73387312734082166</v>
      </c>
      <c r="J30" s="532">
        <f t="shared" si="6"/>
        <v>0.91396325429643888</v>
      </c>
      <c r="K30" s="532">
        <f t="shared" si="8"/>
        <v>1.5665200767499998</v>
      </c>
      <c r="L30" s="532">
        <f t="shared" si="8"/>
        <v>9.5483773032397448</v>
      </c>
      <c r="M30" s="532">
        <f t="shared" si="9"/>
        <v>1.4840277364510743</v>
      </c>
      <c r="N30" s="532">
        <f t="shared" si="9"/>
        <v>1.1573772339010588</v>
      </c>
      <c r="O30" s="532">
        <f t="shared" si="9"/>
        <v>1.5074259580442442</v>
      </c>
      <c r="P30" s="532">
        <f t="shared" si="9"/>
        <v>1.129688081572545</v>
      </c>
      <c r="Q30" s="532">
        <f t="shared" si="9"/>
        <v>0.66212193908671602</v>
      </c>
    </row>
    <row r="31" spans="2:18" ht="8.1" customHeight="1" x14ac:dyDescent="0.2"/>
    <row r="32" spans="2:18" ht="15" x14ac:dyDescent="0.25">
      <c r="B32" s="539" t="s">
        <v>3030</v>
      </c>
      <c r="C32" s="540">
        <f t="shared" ref="C32:Q32" si="10">SUM(C22:C30)</f>
        <v>118.91808990545819</v>
      </c>
      <c r="D32" s="540">
        <f t="shared" si="10"/>
        <v>139.39000026529561</v>
      </c>
      <c r="E32" s="540">
        <f t="shared" si="10"/>
        <v>266.88636871643496</v>
      </c>
      <c r="F32" s="540">
        <f t="shared" si="10"/>
        <v>204.05273431378049</v>
      </c>
      <c r="G32" s="540">
        <f t="shared" si="10"/>
        <v>241.67828369140548</v>
      </c>
      <c r="H32" s="540">
        <f t="shared" si="10"/>
        <v>141.23962701612859</v>
      </c>
      <c r="I32" s="540">
        <f t="shared" si="10"/>
        <v>121.33616491104833</v>
      </c>
      <c r="J32" s="540">
        <f>SUM(J22:J30)</f>
        <v>172.14963255270862</v>
      </c>
      <c r="K32" s="540">
        <f>SUM(K22:K30)</f>
        <v>153.93278848575</v>
      </c>
      <c r="L32" s="540">
        <f>SUM(L22:L30)</f>
        <v>169.52180403493725</v>
      </c>
      <c r="M32" s="540">
        <f t="shared" si="10"/>
        <v>97.114650180354502</v>
      </c>
      <c r="N32" s="540">
        <f t="shared" si="10"/>
        <v>100.19924212820217</v>
      </c>
      <c r="O32" s="540">
        <f t="shared" si="10"/>
        <v>108.91383584309827</v>
      </c>
      <c r="P32" s="540">
        <f t="shared" si="10"/>
        <v>100.57321048044544</v>
      </c>
      <c r="Q32" s="540">
        <f t="shared" si="10"/>
        <v>53.404299226102566</v>
      </c>
      <c r="R32" s="535"/>
    </row>
    <row r="39" spans="18:18" x14ac:dyDescent="0.2">
      <c r="R39" s="53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A1:U64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2.75" outlineLevelCol="1" x14ac:dyDescent="0.2"/>
  <cols>
    <col min="1" max="1" width="54.5703125" style="547" bestFit="1" customWidth="1"/>
    <col min="2" max="7" width="10.140625" style="547" customWidth="1" outlineLevel="1"/>
    <col min="8" max="8" width="3.42578125" style="547" customWidth="1" outlineLevel="1"/>
    <col min="9" max="14" width="10.140625" style="547" customWidth="1" outlineLevel="1"/>
    <col min="15" max="15" width="3.28515625" style="547" customWidth="1"/>
    <col min="16" max="20" width="10.140625" style="547" customWidth="1"/>
    <col min="21" max="21" width="9.5703125" style="547" bestFit="1" customWidth="1"/>
    <col min="22" max="16384" width="9.140625" style="547"/>
  </cols>
  <sheetData>
    <row r="1" spans="1:21" x14ac:dyDescent="0.2">
      <c r="I1" s="573" t="s">
        <v>2335</v>
      </c>
      <c r="P1" s="573" t="s">
        <v>3040</v>
      </c>
    </row>
    <row r="2" spans="1:21" ht="15" x14ac:dyDescent="0.25">
      <c r="B2" s="673" t="str">
        <f>IF(Incurred!$B$15&lt;&gt;"$Nominal","ERROR: Incurred spend A18 must be set to 0 for $Nominal","OK. Incurred spend set to $Nominal")</f>
        <v>OK. Incurred spend set to $Nominal</v>
      </c>
      <c r="I2" s="577">
        <f>Incurred!A17</f>
        <v>2.5000000000000001E-2</v>
      </c>
      <c r="J2" s="577">
        <f>I2</f>
        <v>2.5000000000000001E-2</v>
      </c>
      <c r="K2" s="577">
        <f t="shared" ref="K2:M2" si="0">J2</f>
        <v>2.5000000000000001E-2</v>
      </c>
      <c r="L2" s="577">
        <f t="shared" si="0"/>
        <v>2.5000000000000001E-2</v>
      </c>
      <c r="M2" s="577">
        <f t="shared" si="0"/>
        <v>2.5000000000000001E-2</v>
      </c>
      <c r="P2" s="577">
        <f>Incurred!A17</f>
        <v>2.5000000000000001E-2</v>
      </c>
    </row>
    <row r="3" spans="1:21" x14ac:dyDescent="0.2">
      <c r="I3" s="612">
        <f>IF(Incurred!A21=1,1,1+I2)</f>
        <v>1.0249999999999999</v>
      </c>
      <c r="J3" s="612">
        <f>IF(Incurred!$A$21=1,1,I3*(1+J2))</f>
        <v>1.0506249999999999</v>
      </c>
      <c r="K3" s="612">
        <f>IF(Incurred!$A$21=1,1,J3*(1+K2))</f>
        <v>1.0768906249999999</v>
      </c>
      <c r="L3" s="612">
        <f>IF(Incurred!$A$21=1,1,K3*(1+L2))</f>
        <v>1.1038128906249998</v>
      </c>
      <c r="M3" s="612">
        <f>IF(Incurred!$A$21=1,1,L3*(1+M2))</f>
        <v>1.1314082128906247</v>
      </c>
      <c r="P3" s="613">
        <f>(1+P2)^0.5</f>
        <v>1.0124228365658292</v>
      </c>
    </row>
    <row r="5" spans="1:21" x14ac:dyDescent="0.2">
      <c r="B5" s="614"/>
      <c r="C5" s="614"/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P5" s="608" t="s">
        <v>3007</v>
      </c>
      <c r="Q5" s="601"/>
      <c r="R5" s="601"/>
      <c r="S5" s="601"/>
      <c r="T5" s="601"/>
      <c r="U5" s="601"/>
    </row>
    <row r="6" spans="1:21" ht="13.5" thickBot="1" x14ac:dyDescent="0.25">
      <c r="B6" s="614" t="s">
        <v>2297</v>
      </c>
      <c r="C6" s="615"/>
      <c r="D6" s="615"/>
      <c r="E6" s="615"/>
      <c r="F6" s="615"/>
      <c r="G6" s="614"/>
      <c r="H6" s="614"/>
      <c r="I6" s="616" t="s">
        <v>2298</v>
      </c>
      <c r="J6" s="614"/>
      <c r="K6" s="614"/>
      <c r="L6" s="614"/>
      <c r="M6" s="614"/>
      <c r="N6" s="614"/>
      <c r="P6" s="617" t="s">
        <v>2984</v>
      </c>
    </row>
    <row r="7" spans="1:21" x14ac:dyDescent="0.2">
      <c r="A7" s="618" t="s">
        <v>2274</v>
      </c>
      <c r="B7" s="619" t="s">
        <v>2279</v>
      </c>
      <c r="C7" s="620" t="s">
        <v>2280</v>
      </c>
      <c r="D7" s="620" t="s">
        <v>2281</v>
      </c>
      <c r="E7" s="620" t="s">
        <v>2282</v>
      </c>
      <c r="F7" s="620" t="s">
        <v>2283</v>
      </c>
      <c r="G7" s="621" t="s">
        <v>639</v>
      </c>
      <c r="H7" s="614"/>
      <c r="I7" s="619" t="s">
        <v>2279</v>
      </c>
      <c r="J7" s="620" t="s">
        <v>2280</v>
      </c>
      <c r="K7" s="620" t="s">
        <v>2281</v>
      </c>
      <c r="L7" s="620" t="s">
        <v>2282</v>
      </c>
      <c r="M7" s="620" t="s">
        <v>2283</v>
      </c>
      <c r="N7" s="621" t="s">
        <v>639</v>
      </c>
      <c r="P7" s="622" t="s">
        <v>2279</v>
      </c>
      <c r="Q7" s="623" t="s">
        <v>2280</v>
      </c>
      <c r="R7" s="623" t="s">
        <v>2281</v>
      </c>
      <c r="S7" s="623" t="s">
        <v>2282</v>
      </c>
      <c r="T7" s="623" t="s">
        <v>2283</v>
      </c>
      <c r="U7" s="624" t="s">
        <v>639</v>
      </c>
    </row>
    <row r="8" spans="1:21" x14ac:dyDescent="0.2">
      <c r="A8" s="625" t="s">
        <v>1031</v>
      </c>
      <c r="B8" s="626">
        <f>'For RFM &amp; PTRM'!AI8</f>
        <v>1.5880000000000001</v>
      </c>
      <c r="C8" s="627">
        <f>'For RFM &amp; PTRM'!AJ8</f>
        <v>0.7</v>
      </c>
      <c r="D8" s="627">
        <f>'For RFM &amp; PTRM'!AK8</f>
        <v>1.089</v>
      </c>
      <c r="E8" s="627">
        <f>'For RFM &amp; PTRM'!AL8</f>
        <v>0.82</v>
      </c>
      <c r="F8" s="628">
        <f>'For RFM &amp; PTRM'!AM8</f>
        <v>0.34599999999999997</v>
      </c>
      <c r="G8" s="629">
        <f>SUM(B8:F8)</f>
        <v>4.5430000000000001</v>
      </c>
      <c r="H8" s="630"/>
      <c r="I8" s="626">
        <f>B8/I$3</f>
        <v>1.5492682926829271</v>
      </c>
      <c r="J8" s="627">
        <f t="shared" ref="J8:M8" si="1">C8/J$3</f>
        <v>0.66627007733491972</v>
      </c>
      <c r="K8" s="627">
        <f t="shared" si="1"/>
        <v>1.0112447584916064</v>
      </c>
      <c r="L8" s="627">
        <f t="shared" si="1"/>
        <v>0.7428795287357991</v>
      </c>
      <c r="M8" s="628">
        <f t="shared" si="1"/>
        <v>0.30581358351289289</v>
      </c>
      <c r="N8" s="629">
        <f>SUM(I8:M8)</f>
        <v>4.2754762407581453</v>
      </c>
      <c r="O8" s="630"/>
      <c r="P8" s="626">
        <f>I8*$P$3</f>
        <v>1.5685145994795484</v>
      </c>
      <c r="Q8" s="627">
        <f t="shared" ref="Q8:Q32" si="2">J8*$P$3</f>
        <v>0.67454704161435386</v>
      </c>
      <c r="R8" s="627">
        <f t="shared" ref="R8:R32" si="3">K8*$P$3</f>
        <v>1.023807286854399</v>
      </c>
      <c r="S8" s="627">
        <f t="shared" ref="S8:S32" si="4">L8*$P$3</f>
        <v>0.75210819970938414</v>
      </c>
      <c r="T8" s="628">
        <f t="shared" ref="T8:T32" si="5">M8*$P$3</f>
        <v>0.30961265568048413</v>
      </c>
      <c r="U8" s="885">
        <f>SUM(P8:T8)</f>
        <v>4.3285897833381703</v>
      </c>
    </row>
    <row r="9" spans="1:21" x14ac:dyDescent="0.2">
      <c r="A9" s="625" t="s">
        <v>1032</v>
      </c>
      <c r="B9" s="631">
        <f>'For RFM &amp; PTRM'!AI9</f>
        <v>2.9169999999999998</v>
      </c>
      <c r="C9" s="632">
        <f>'For RFM &amp; PTRM'!AJ9</f>
        <v>0.95899999999999996</v>
      </c>
      <c r="D9" s="632">
        <f>'For RFM &amp; PTRM'!AK9</f>
        <v>0.68400000000000005</v>
      </c>
      <c r="E9" s="632">
        <f>'For RFM &amp; PTRM'!AL9</f>
        <v>0.76700000000000002</v>
      </c>
      <c r="F9" s="633">
        <f>'For RFM &amp; PTRM'!AM9</f>
        <v>1.7000000000000001E-2</v>
      </c>
      <c r="G9" s="629">
        <f t="shared" ref="G9:G32" si="6">SUM(B9:F9)</f>
        <v>5.3440000000000003</v>
      </c>
      <c r="H9" s="630"/>
      <c r="I9" s="631">
        <f t="shared" ref="I9:I32" si="7">B9/I$3</f>
        <v>2.8458536585365852</v>
      </c>
      <c r="J9" s="632">
        <f t="shared" ref="J9:J32" si="8">C9/J$3</f>
        <v>0.91279000594883997</v>
      </c>
      <c r="K9" s="632">
        <f t="shared" ref="K9:K32" si="9">D9/K$3</f>
        <v>0.63516199706910825</v>
      </c>
      <c r="L9" s="632">
        <f t="shared" ref="L9:L32" si="10">E9/L$3</f>
        <v>0.6948641445614121</v>
      </c>
      <c r="M9" s="633">
        <f t="shared" ref="M9:M32" si="11">F9/M$3</f>
        <v>1.5025522889361794E-2</v>
      </c>
      <c r="N9" s="629">
        <f t="shared" ref="N9:N32" si="12">SUM(I9:M9)</f>
        <v>5.1036953290053066</v>
      </c>
      <c r="O9" s="630"/>
      <c r="P9" s="631">
        <f t="shared" ref="P9:P32" si="13">I9*$P$3</f>
        <v>2.8812072334268524</v>
      </c>
      <c r="Q9" s="632">
        <f t="shared" si="2"/>
        <v>0.92412944701166466</v>
      </c>
      <c r="R9" s="632">
        <f t="shared" si="3"/>
        <v>0.64305251075152348</v>
      </c>
      <c r="S9" s="632">
        <f t="shared" si="4"/>
        <v>0.70349632826475328</v>
      </c>
      <c r="T9" s="633">
        <f t="shared" si="5"/>
        <v>1.521218250453246E-2</v>
      </c>
      <c r="U9" s="885">
        <f t="shared" ref="U9:U32" si="14">SUM(P9:T9)</f>
        <v>5.1670977019593263</v>
      </c>
    </row>
    <row r="10" spans="1:21" x14ac:dyDescent="0.2">
      <c r="A10" s="625" t="s">
        <v>1033</v>
      </c>
      <c r="B10" s="631">
        <f>'For RFM &amp; PTRM'!AI10</f>
        <v>0</v>
      </c>
      <c r="C10" s="632">
        <f>'For RFM &amp; PTRM'!AJ10</f>
        <v>0</v>
      </c>
      <c r="D10" s="632">
        <f>'For RFM &amp; PTRM'!AK10</f>
        <v>0</v>
      </c>
      <c r="E10" s="632">
        <f>'For RFM &amp; PTRM'!AL10</f>
        <v>0</v>
      </c>
      <c r="F10" s="633">
        <f>'For RFM &amp; PTRM'!AM10</f>
        <v>0</v>
      </c>
      <c r="G10" s="629">
        <f t="shared" si="6"/>
        <v>0</v>
      </c>
      <c r="H10" s="630"/>
      <c r="I10" s="631">
        <f t="shared" si="7"/>
        <v>0</v>
      </c>
      <c r="J10" s="632">
        <f t="shared" si="8"/>
        <v>0</v>
      </c>
      <c r="K10" s="632">
        <f t="shared" si="9"/>
        <v>0</v>
      </c>
      <c r="L10" s="632">
        <f t="shared" si="10"/>
        <v>0</v>
      </c>
      <c r="M10" s="633">
        <f t="shared" si="11"/>
        <v>0</v>
      </c>
      <c r="N10" s="629">
        <f t="shared" si="12"/>
        <v>0</v>
      </c>
      <c r="O10" s="630"/>
      <c r="P10" s="631">
        <f t="shared" si="13"/>
        <v>0</v>
      </c>
      <c r="Q10" s="632">
        <f t="shared" si="2"/>
        <v>0</v>
      </c>
      <c r="R10" s="632">
        <f t="shared" si="3"/>
        <v>0</v>
      </c>
      <c r="S10" s="632">
        <f t="shared" si="4"/>
        <v>0</v>
      </c>
      <c r="T10" s="633">
        <f t="shared" si="5"/>
        <v>0</v>
      </c>
      <c r="U10" s="885">
        <f t="shared" si="14"/>
        <v>0</v>
      </c>
    </row>
    <row r="11" spans="1:21" x14ac:dyDescent="0.2">
      <c r="A11" s="625" t="s">
        <v>1034</v>
      </c>
      <c r="B11" s="631">
        <f>'For RFM &amp; PTRM'!AI11</f>
        <v>17.585999999999999</v>
      </c>
      <c r="C11" s="632">
        <f>'For RFM &amp; PTRM'!AJ11</f>
        <v>12.311</v>
      </c>
      <c r="D11" s="632">
        <f>'For RFM &amp; PTRM'!AK11</f>
        <v>13.932</v>
      </c>
      <c r="E11" s="632">
        <f>'For RFM &amp; PTRM'!AL11</f>
        <v>12.504</v>
      </c>
      <c r="F11" s="633">
        <f>'For RFM &amp; PTRM'!AM11</f>
        <v>10.51</v>
      </c>
      <c r="G11" s="629">
        <f t="shared" si="6"/>
        <v>66.843000000000004</v>
      </c>
      <c r="H11" s="630"/>
      <c r="I11" s="631">
        <f t="shared" si="7"/>
        <v>17.157073170731707</v>
      </c>
      <c r="J11" s="632">
        <f t="shared" si="8"/>
        <v>11.717787031528852</v>
      </c>
      <c r="K11" s="632">
        <f t="shared" si="9"/>
        <v>12.937246992933941</v>
      </c>
      <c r="L11" s="632">
        <f t="shared" si="10"/>
        <v>11.328006862576137</v>
      </c>
      <c r="M11" s="633">
        <f t="shared" si="11"/>
        <v>9.289308562776025</v>
      </c>
      <c r="N11" s="629">
        <f t="shared" si="12"/>
        <v>62.42942262054666</v>
      </c>
      <c r="O11" s="630"/>
      <c r="P11" s="631">
        <f t="shared" si="13"/>
        <v>17.370212686679679</v>
      </c>
      <c r="Q11" s="632">
        <f t="shared" si="2"/>
        <v>11.863355184734727</v>
      </c>
      <c r="R11" s="632">
        <f t="shared" si="3"/>
        <v>13.097964297938924</v>
      </c>
      <c r="S11" s="632">
        <f t="shared" si="4"/>
        <v>11.468732840446512</v>
      </c>
      <c r="T11" s="633">
        <f t="shared" si="5"/>
        <v>9.4047081248609494</v>
      </c>
      <c r="U11" s="885">
        <f t="shared" si="14"/>
        <v>63.20497313466079</v>
      </c>
    </row>
    <row r="12" spans="1:21" x14ac:dyDescent="0.2">
      <c r="A12" s="625" t="s">
        <v>1035</v>
      </c>
      <c r="B12" s="631">
        <f>'For RFM &amp; PTRM'!AI12</f>
        <v>5.0000000000000001E-3</v>
      </c>
      <c r="C12" s="632">
        <f>'For RFM &amp; PTRM'!AJ12</f>
        <v>0</v>
      </c>
      <c r="D12" s="632">
        <f>'For RFM &amp; PTRM'!AK12</f>
        <v>0</v>
      </c>
      <c r="E12" s="632">
        <f>'For RFM &amp; PTRM'!AL12</f>
        <v>0</v>
      </c>
      <c r="F12" s="633">
        <f>'For RFM &amp; PTRM'!AM12</f>
        <v>0</v>
      </c>
      <c r="G12" s="629">
        <f t="shared" si="6"/>
        <v>5.0000000000000001E-3</v>
      </c>
      <c r="H12" s="630"/>
      <c r="I12" s="631">
        <f t="shared" si="7"/>
        <v>4.8780487804878057E-3</v>
      </c>
      <c r="J12" s="632">
        <f t="shared" si="8"/>
        <v>0</v>
      </c>
      <c r="K12" s="632">
        <f t="shared" si="9"/>
        <v>0</v>
      </c>
      <c r="L12" s="632">
        <f t="shared" si="10"/>
        <v>0</v>
      </c>
      <c r="M12" s="633">
        <f t="shared" si="11"/>
        <v>0</v>
      </c>
      <c r="N12" s="629">
        <f t="shared" si="12"/>
        <v>4.8780487804878057E-3</v>
      </c>
      <c r="O12" s="630"/>
      <c r="P12" s="631">
        <f t="shared" si="13"/>
        <v>4.9386479832479483E-3</v>
      </c>
      <c r="Q12" s="632">
        <f t="shared" si="2"/>
        <v>0</v>
      </c>
      <c r="R12" s="632">
        <f t="shared" si="3"/>
        <v>0</v>
      </c>
      <c r="S12" s="632">
        <f t="shared" si="4"/>
        <v>0</v>
      </c>
      <c r="T12" s="633">
        <f t="shared" si="5"/>
        <v>0</v>
      </c>
      <c r="U12" s="885">
        <f t="shared" si="14"/>
        <v>4.9386479832479483E-3</v>
      </c>
    </row>
    <row r="13" spans="1:21" x14ac:dyDescent="0.2">
      <c r="A13" s="625" t="s">
        <v>854</v>
      </c>
      <c r="B13" s="631">
        <f>'For RFM &amp; PTRM'!AI13</f>
        <v>5.3999999999999999E-2</v>
      </c>
      <c r="C13" s="632">
        <f>'For RFM &amp; PTRM'!AJ13</f>
        <v>8.3000000000000004E-2</v>
      </c>
      <c r="D13" s="632">
        <f>'For RFM &amp; PTRM'!AK13</f>
        <v>1.2999999999999999E-2</v>
      </c>
      <c r="E13" s="632">
        <f>'For RFM &amp; PTRM'!AL13</f>
        <v>0</v>
      </c>
      <c r="F13" s="633">
        <f>'For RFM &amp; PTRM'!AM13</f>
        <v>0</v>
      </c>
      <c r="G13" s="629">
        <f t="shared" si="6"/>
        <v>0.15000000000000002</v>
      </c>
      <c r="H13" s="630"/>
      <c r="I13" s="631">
        <f t="shared" si="7"/>
        <v>5.2682926829268298E-2</v>
      </c>
      <c r="J13" s="632">
        <f t="shared" si="8"/>
        <v>7.9000594883997632E-2</v>
      </c>
      <c r="K13" s="632">
        <f t="shared" si="9"/>
        <v>1.2071792341956733E-2</v>
      </c>
      <c r="L13" s="632">
        <f t="shared" si="10"/>
        <v>0</v>
      </c>
      <c r="M13" s="633">
        <f t="shared" si="11"/>
        <v>0</v>
      </c>
      <c r="N13" s="629">
        <f t="shared" si="12"/>
        <v>0.14375531405522265</v>
      </c>
      <c r="O13" s="630"/>
      <c r="P13" s="631">
        <f t="shared" si="13"/>
        <v>5.3337398219077833E-2</v>
      </c>
      <c r="Q13" s="632">
        <f t="shared" si="2"/>
        <v>7.9982006362844818E-2</v>
      </c>
      <c r="R13" s="632">
        <f t="shared" si="3"/>
        <v>1.222175824527749E-2</v>
      </c>
      <c r="S13" s="632">
        <f t="shared" si="4"/>
        <v>0</v>
      </c>
      <c r="T13" s="633">
        <f t="shared" si="5"/>
        <v>0</v>
      </c>
      <c r="U13" s="885">
        <f t="shared" si="14"/>
        <v>0.14554116282720014</v>
      </c>
    </row>
    <row r="14" spans="1:21" x14ac:dyDescent="0.2">
      <c r="A14" s="625" t="s">
        <v>1036</v>
      </c>
      <c r="B14" s="631">
        <f>'For RFM &amp; PTRM'!AI14</f>
        <v>0.48599999999999999</v>
      </c>
      <c r="C14" s="632">
        <f>'For RFM &amp; PTRM'!AJ14</f>
        <v>0</v>
      </c>
      <c r="D14" s="632">
        <f>'For RFM &amp; PTRM'!AK14</f>
        <v>0</v>
      </c>
      <c r="E14" s="632">
        <f>'For RFM &amp; PTRM'!AL14</f>
        <v>0</v>
      </c>
      <c r="F14" s="633">
        <f>'For RFM &amp; PTRM'!AM14</f>
        <v>0</v>
      </c>
      <c r="G14" s="629">
        <f t="shared" si="6"/>
        <v>0.48599999999999999</v>
      </c>
      <c r="H14" s="630"/>
      <c r="I14" s="631">
        <f t="shared" si="7"/>
        <v>0.47414634146341467</v>
      </c>
      <c r="J14" s="632">
        <f t="shared" si="8"/>
        <v>0</v>
      </c>
      <c r="K14" s="632">
        <f t="shared" si="9"/>
        <v>0</v>
      </c>
      <c r="L14" s="632">
        <f t="shared" si="10"/>
        <v>0</v>
      </c>
      <c r="M14" s="633">
        <f t="shared" si="11"/>
        <v>0</v>
      </c>
      <c r="N14" s="629">
        <f t="shared" si="12"/>
        <v>0.47414634146341467</v>
      </c>
      <c r="O14" s="630"/>
      <c r="P14" s="631">
        <f t="shared" si="13"/>
        <v>0.48003658397170051</v>
      </c>
      <c r="Q14" s="632">
        <f t="shared" si="2"/>
        <v>0</v>
      </c>
      <c r="R14" s="632">
        <f t="shared" si="3"/>
        <v>0</v>
      </c>
      <c r="S14" s="632">
        <f t="shared" si="4"/>
        <v>0</v>
      </c>
      <c r="T14" s="633">
        <f t="shared" si="5"/>
        <v>0</v>
      </c>
      <c r="U14" s="885">
        <f t="shared" si="14"/>
        <v>0.48003658397170051</v>
      </c>
    </row>
    <row r="15" spans="1:21" x14ac:dyDescent="0.2">
      <c r="A15" s="625" t="s">
        <v>1037</v>
      </c>
      <c r="B15" s="631">
        <f>'For RFM &amp; PTRM'!AI15</f>
        <v>0.56499999999999995</v>
      </c>
      <c r="C15" s="632">
        <f>'For RFM &amp; PTRM'!AJ15</f>
        <v>1.89</v>
      </c>
      <c r="D15" s="632">
        <f>'For RFM &amp; PTRM'!AK15</f>
        <v>2.8439999999999999</v>
      </c>
      <c r="E15" s="632">
        <f>'For RFM &amp; PTRM'!AL15</f>
        <v>1.879</v>
      </c>
      <c r="F15" s="633">
        <f>'For RFM &amp; PTRM'!AM15</f>
        <v>0.90100000000000002</v>
      </c>
      <c r="G15" s="629">
        <f t="shared" si="6"/>
        <v>8.0789999999999988</v>
      </c>
      <c r="H15" s="630"/>
      <c r="I15" s="631">
        <f t="shared" si="7"/>
        <v>0.551219512195122</v>
      </c>
      <c r="J15" s="632">
        <f t="shared" si="8"/>
        <v>1.7989292088042832</v>
      </c>
      <c r="K15" s="632">
        <f t="shared" si="9"/>
        <v>2.6409367246557656</v>
      </c>
      <c r="L15" s="632">
        <f t="shared" si="10"/>
        <v>1.7022812615787397</v>
      </c>
      <c r="M15" s="633">
        <f t="shared" si="11"/>
        <v>0.79635271313617495</v>
      </c>
      <c r="N15" s="629">
        <f t="shared" si="12"/>
        <v>7.4897194203700845</v>
      </c>
      <c r="O15" s="630"/>
      <c r="P15" s="631">
        <f t="shared" si="13"/>
        <v>0.55806722210701809</v>
      </c>
      <c r="Q15" s="632">
        <f t="shared" si="2"/>
        <v>1.8212770123587552</v>
      </c>
      <c r="R15" s="632">
        <f t="shared" si="3"/>
        <v>2.6737446499668605</v>
      </c>
      <c r="S15" s="632">
        <f t="shared" si="4"/>
        <v>1.723428423480406</v>
      </c>
      <c r="T15" s="633">
        <f t="shared" si="5"/>
        <v>0.8062456727402203</v>
      </c>
      <c r="U15" s="885">
        <f t="shared" si="14"/>
        <v>7.5827629806532597</v>
      </c>
    </row>
    <row r="16" spans="1:21" x14ac:dyDescent="0.2">
      <c r="A16" s="625" t="s">
        <v>41</v>
      </c>
      <c r="B16" s="631">
        <f>'For RFM &amp; PTRM'!AI16</f>
        <v>0</v>
      </c>
      <c r="C16" s="632">
        <f>'For RFM &amp; PTRM'!AJ16</f>
        <v>0</v>
      </c>
      <c r="D16" s="632">
        <f>'For RFM &amp; PTRM'!AK16</f>
        <v>0</v>
      </c>
      <c r="E16" s="632">
        <f>'For RFM &amp; PTRM'!AL16</f>
        <v>0</v>
      </c>
      <c r="F16" s="633">
        <f>'For RFM &amp; PTRM'!AM16</f>
        <v>0</v>
      </c>
      <c r="G16" s="629">
        <f t="shared" si="6"/>
        <v>0</v>
      </c>
      <c r="H16" s="630"/>
      <c r="I16" s="631">
        <f t="shared" si="7"/>
        <v>0</v>
      </c>
      <c r="J16" s="632">
        <f t="shared" si="8"/>
        <v>0</v>
      </c>
      <c r="K16" s="632">
        <f t="shared" si="9"/>
        <v>0</v>
      </c>
      <c r="L16" s="632">
        <f t="shared" si="10"/>
        <v>0</v>
      </c>
      <c r="M16" s="633">
        <f t="shared" si="11"/>
        <v>0</v>
      </c>
      <c r="N16" s="629">
        <f t="shared" si="12"/>
        <v>0</v>
      </c>
      <c r="O16" s="630"/>
      <c r="P16" s="631">
        <f t="shared" si="13"/>
        <v>0</v>
      </c>
      <c r="Q16" s="632">
        <f t="shared" si="2"/>
        <v>0</v>
      </c>
      <c r="R16" s="632">
        <f t="shared" si="3"/>
        <v>0</v>
      </c>
      <c r="S16" s="632">
        <f t="shared" si="4"/>
        <v>0</v>
      </c>
      <c r="T16" s="633">
        <f t="shared" si="5"/>
        <v>0</v>
      </c>
      <c r="U16" s="885">
        <f t="shared" si="14"/>
        <v>0</v>
      </c>
    </row>
    <row r="17" spans="1:21" x14ac:dyDescent="0.2">
      <c r="A17" s="625" t="s">
        <v>1038</v>
      </c>
      <c r="B17" s="631">
        <f>'For RFM &amp; PTRM'!AI17</f>
        <v>17.108000000000001</v>
      </c>
      <c r="C17" s="632">
        <f>'For RFM &amp; PTRM'!AJ17</f>
        <v>13.432</v>
      </c>
      <c r="D17" s="632">
        <f>'For RFM &amp; PTRM'!AK17</f>
        <v>19.085999999999999</v>
      </c>
      <c r="E17" s="632">
        <f>'For RFM &amp; PTRM'!AL17</f>
        <v>17.55</v>
      </c>
      <c r="F17" s="633">
        <f>'For RFM &amp; PTRM'!AM17</f>
        <v>12.728999999999999</v>
      </c>
      <c r="G17" s="629">
        <f t="shared" si="6"/>
        <v>79.905000000000001</v>
      </c>
      <c r="H17" s="630"/>
      <c r="I17" s="631">
        <f t="shared" si="7"/>
        <v>16.690731707317074</v>
      </c>
      <c r="J17" s="632">
        <f t="shared" si="8"/>
        <v>12.784770969660917</v>
      </c>
      <c r="K17" s="632">
        <f t="shared" si="9"/>
        <v>17.723248356814324</v>
      </c>
      <c r="L17" s="632">
        <f t="shared" si="10"/>
        <v>15.899433816235701</v>
      </c>
      <c r="M17" s="633">
        <f t="shared" si="11"/>
        <v>11.250581226981543</v>
      </c>
      <c r="N17" s="629">
        <f t="shared" si="12"/>
        <v>74.348766077009557</v>
      </c>
      <c r="O17" s="630"/>
      <c r="P17" s="631">
        <f t="shared" si="13"/>
        <v>16.898077939481176</v>
      </c>
      <c r="Q17" s="632">
        <f t="shared" si="2"/>
        <v>12.943594089948572</v>
      </c>
      <c r="R17" s="632">
        <f t="shared" si="3"/>
        <v>17.943421374566629</v>
      </c>
      <c r="S17" s="632">
        <f t="shared" si="4"/>
        <v>16.096949884024017</v>
      </c>
      <c r="T17" s="633">
        <f t="shared" si="5"/>
        <v>11.390345358834921</v>
      </c>
      <c r="U17" s="885">
        <f t="shared" si="14"/>
        <v>75.272388646855319</v>
      </c>
    </row>
    <row r="18" spans="1:21" x14ac:dyDescent="0.2">
      <c r="A18" s="625" t="s">
        <v>1039</v>
      </c>
      <c r="B18" s="631">
        <f>'For RFM &amp; PTRM'!AI18</f>
        <v>2.2610000000000001</v>
      </c>
      <c r="C18" s="632">
        <f>'For RFM &amp; PTRM'!AJ18</f>
        <v>0.34599999999999997</v>
      </c>
      <c r="D18" s="632">
        <f>'For RFM &amp; PTRM'!AK18</f>
        <v>1.137</v>
      </c>
      <c r="E18" s="632">
        <f>'For RFM &amp; PTRM'!AL18</f>
        <v>0.97399999999999998</v>
      </c>
      <c r="F18" s="633">
        <f>'For RFM &amp; PTRM'!AM18</f>
        <v>0</v>
      </c>
      <c r="G18" s="629">
        <f t="shared" si="6"/>
        <v>4.718</v>
      </c>
      <c r="H18" s="630"/>
      <c r="I18" s="631">
        <f t="shared" si="7"/>
        <v>2.2058536585365855</v>
      </c>
      <c r="J18" s="632">
        <f t="shared" si="8"/>
        <v>0.3293277810826889</v>
      </c>
      <c r="K18" s="632">
        <f t="shared" si="9"/>
        <v>1.0558175302157544</v>
      </c>
      <c r="L18" s="632">
        <f t="shared" si="10"/>
        <v>0.88239592803496136</v>
      </c>
      <c r="M18" s="633">
        <f t="shared" si="11"/>
        <v>0</v>
      </c>
      <c r="N18" s="629">
        <f t="shared" si="12"/>
        <v>4.4733948978699907</v>
      </c>
      <c r="O18" s="630"/>
      <c r="P18" s="631">
        <f t="shared" si="13"/>
        <v>2.233256618024722</v>
      </c>
      <c r="Q18" s="632">
        <f t="shared" si="2"/>
        <v>0.3334189662836663</v>
      </c>
      <c r="R18" s="632">
        <f t="shared" si="3"/>
        <v>1.0689337788369622</v>
      </c>
      <c r="S18" s="632">
        <f t="shared" si="4"/>
        <v>0.8933577884352929</v>
      </c>
      <c r="T18" s="633">
        <f t="shared" si="5"/>
        <v>0</v>
      </c>
      <c r="U18" s="885">
        <f t="shared" si="14"/>
        <v>4.5289671515806438</v>
      </c>
    </row>
    <row r="19" spans="1:21" x14ac:dyDescent="0.2">
      <c r="A19" s="625" t="s">
        <v>1040</v>
      </c>
      <c r="B19" s="631">
        <f>'For RFM &amp; PTRM'!AI19</f>
        <v>14.747</v>
      </c>
      <c r="C19" s="632">
        <f>'For RFM &amp; PTRM'!AJ19</f>
        <v>11.802</v>
      </c>
      <c r="D19" s="632">
        <f>'For RFM &amp; PTRM'!AK19</f>
        <v>5.2990000000000004</v>
      </c>
      <c r="E19" s="632">
        <f>'For RFM &amp; PTRM'!AL19</f>
        <v>1.421</v>
      </c>
      <c r="F19" s="633">
        <f>'For RFM &amp; PTRM'!AM19</f>
        <v>0.93</v>
      </c>
      <c r="G19" s="629">
        <f t="shared" si="6"/>
        <v>34.198999999999998</v>
      </c>
      <c r="H19" s="630"/>
      <c r="I19" s="631">
        <f t="shared" si="7"/>
        <v>14.387317073170733</v>
      </c>
      <c r="J19" s="632">
        <f t="shared" si="8"/>
        <v>11.233313503866746</v>
      </c>
      <c r="K19" s="632">
        <f t="shared" si="9"/>
        <v>4.9206482784637489</v>
      </c>
      <c r="L19" s="632">
        <f t="shared" si="10"/>
        <v>1.2873558662604518</v>
      </c>
      <c r="M19" s="633">
        <f t="shared" si="11"/>
        <v>0.82198448747685104</v>
      </c>
      <c r="N19" s="629">
        <f t="shared" si="12"/>
        <v>32.650619209238535</v>
      </c>
      <c r="O19" s="630"/>
      <c r="P19" s="631">
        <f t="shared" si="13"/>
        <v>14.566048361791497</v>
      </c>
      <c r="Q19" s="632">
        <f t="shared" si="2"/>
        <v>11.372863121618005</v>
      </c>
      <c r="R19" s="632">
        <f t="shared" si="3"/>
        <v>4.9817766878250325</v>
      </c>
      <c r="S19" s="632">
        <f t="shared" si="4"/>
        <v>1.3033484777890669</v>
      </c>
      <c r="T19" s="633">
        <f t="shared" si="5"/>
        <v>0.83219586642442289</v>
      </c>
      <c r="U19" s="885">
        <f t="shared" si="14"/>
        <v>33.056232515448023</v>
      </c>
    </row>
    <row r="20" spans="1:21" x14ac:dyDescent="0.2">
      <c r="A20" s="625" t="s">
        <v>1041</v>
      </c>
      <c r="B20" s="631">
        <f>'For RFM &amp; PTRM'!AI20</f>
        <v>0.80400000000000005</v>
      </c>
      <c r="C20" s="632">
        <f>'For RFM &amp; PTRM'!AJ20</f>
        <v>1.6259999999999999</v>
      </c>
      <c r="D20" s="632">
        <f>'For RFM &amp; PTRM'!AK20</f>
        <v>0.97199999999999998</v>
      </c>
      <c r="E20" s="632">
        <f>'For RFM &amp; PTRM'!AL20</f>
        <v>3.9E-2</v>
      </c>
      <c r="F20" s="633">
        <f>'For RFM &amp; PTRM'!AM20</f>
        <v>3.2000000000000001E-2</v>
      </c>
      <c r="G20" s="629">
        <f t="shared" si="6"/>
        <v>3.4729999999999999</v>
      </c>
      <c r="H20" s="630"/>
      <c r="I20" s="631">
        <f t="shared" si="7"/>
        <v>0.78439024390243917</v>
      </c>
      <c r="J20" s="632">
        <f t="shared" si="8"/>
        <v>1.5476502082093992</v>
      </c>
      <c r="K20" s="632">
        <f t="shared" si="9"/>
        <v>0.90259862741399577</v>
      </c>
      <c r="L20" s="632">
        <f t="shared" si="10"/>
        <v>3.5332075147190445E-2</v>
      </c>
      <c r="M20" s="633">
        <f t="shared" si="11"/>
        <v>2.8283337203504549E-2</v>
      </c>
      <c r="N20" s="629">
        <f t="shared" si="12"/>
        <v>3.2982544918765293</v>
      </c>
      <c r="O20" s="630"/>
      <c r="P20" s="631">
        <f t="shared" si="13"/>
        <v>0.7941345957062701</v>
      </c>
      <c r="Q20" s="632">
        <f t="shared" si="2"/>
        <v>1.5668764138070561</v>
      </c>
      <c r="R20" s="632">
        <f t="shared" si="3"/>
        <v>0.91381146264690161</v>
      </c>
      <c r="S20" s="632">
        <f t="shared" si="4"/>
        <v>3.5770999742275586E-2</v>
      </c>
      <c r="T20" s="633">
        <f t="shared" si="5"/>
        <v>2.8634696479119922E-2</v>
      </c>
      <c r="U20" s="885">
        <f t="shared" si="14"/>
        <v>3.3392281683816232</v>
      </c>
    </row>
    <row r="21" spans="1:21" x14ac:dyDescent="0.2">
      <c r="A21" s="625" t="s">
        <v>1042</v>
      </c>
      <c r="B21" s="631">
        <f>'For RFM &amp; PTRM'!AI21</f>
        <v>0</v>
      </c>
      <c r="C21" s="632">
        <f>'For RFM &amp; PTRM'!AJ21</f>
        <v>0</v>
      </c>
      <c r="D21" s="632">
        <f>'For RFM &amp; PTRM'!AK21</f>
        <v>0</v>
      </c>
      <c r="E21" s="632">
        <f>'For RFM &amp; PTRM'!AL21</f>
        <v>0</v>
      </c>
      <c r="F21" s="633">
        <f>'For RFM &amp; PTRM'!AM21</f>
        <v>0</v>
      </c>
      <c r="G21" s="629">
        <f t="shared" si="6"/>
        <v>0</v>
      </c>
      <c r="H21" s="630"/>
      <c r="I21" s="631">
        <f t="shared" si="7"/>
        <v>0</v>
      </c>
      <c r="J21" s="632">
        <f t="shared" si="8"/>
        <v>0</v>
      </c>
      <c r="K21" s="632">
        <f t="shared" si="9"/>
        <v>0</v>
      </c>
      <c r="L21" s="632">
        <f t="shared" si="10"/>
        <v>0</v>
      </c>
      <c r="M21" s="633">
        <f t="shared" si="11"/>
        <v>0</v>
      </c>
      <c r="N21" s="629">
        <f t="shared" si="12"/>
        <v>0</v>
      </c>
      <c r="O21" s="630"/>
      <c r="P21" s="631">
        <f t="shared" si="13"/>
        <v>0</v>
      </c>
      <c r="Q21" s="632">
        <f t="shared" si="2"/>
        <v>0</v>
      </c>
      <c r="R21" s="632">
        <f t="shared" si="3"/>
        <v>0</v>
      </c>
      <c r="S21" s="632">
        <f t="shared" si="4"/>
        <v>0</v>
      </c>
      <c r="T21" s="633">
        <f t="shared" si="5"/>
        <v>0</v>
      </c>
      <c r="U21" s="885">
        <f t="shared" si="14"/>
        <v>0</v>
      </c>
    </row>
    <row r="22" spans="1:21" x14ac:dyDescent="0.2">
      <c r="A22" s="625" t="s">
        <v>1043</v>
      </c>
      <c r="B22" s="631">
        <f>'For RFM &amp; PTRM'!AI22</f>
        <v>15.315</v>
      </c>
      <c r="C22" s="632">
        <f>'For RFM &amp; PTRM'!AJ22</f>
        <v>16.512</v>
      </c>
      <c r="D22" s="632">
        <f>'For RFM &amp; PTRM'!AK22</f>
        <v>13.859</v>
      </c>
      <c r="E22" s="632">
        <f>'For RFM &amp; PTRM'!AL22</f>
        <v>13.728999999999999</v>
      </c>
      <c r="F22" s="633">
        <f>'For RFM &amp; PTRM'!AM22</f>
        <v>7.6989999999999998</v>
      </c>
      <c r="G22" s="629">
        <f t="shared" si="6"/>
        <v>67.114000000000004</v>
      </c>
      <c r="H22" s="630"/>
      <c r="I22" s="631">
        <f t="shared" si="7"/>
        <v>14.941463414634146</v>
      </c>
      <c r="J22" s="632">
        <f t="shared" si="8"/>
        <v>15.716359309934564</v>
      </c>
      <c r="K22" s="632">
        <f t="shared" si="9"/>
        <v>12.869459235936798</v>
      </c>
      <c r="L22" s="632">
        <f t="shared" si="10"/>
        <v>12.437796402455836</v>
      </c>
      <c r="M22" s="633">
        <f t="shared" si="11"/>
        <v>6.804794160305673</v>
      </c>
      <c r="N22" s="629">
        <f t="shared" si="12"/>
        <v>62.769872523267018</v>
      </c>
      <c r="O22" s="630"/>
      <c r="P22" s="631">
        <f t="shared" si="13"/>
        <v>15.127078772688463</v>
      </c>
      <c r="Q22" s="632">
        <f t="shared" si="2"/>
        <v>15.911601073051729</v>
      </c>
      <c r="R22" s="632">
        <f t="shared" si="3"/>
        <v>13.029334424715442</v>
      </c>
      <c r="S22" s="632">
        <f t="shared" si="4"/>
        <v>12.592309114402603</v>
      </c>
      <c r="T22" s="633">
        <f t="shared" si="5"/>
        <v>6.8893290060232593</v>
      </c>
      <c r="U22" s="885">
        <f t="shared" si="14"/>
        <v>63.549652390881498</v>
      </c>
    </row>
    <row r="23" spans="1:21" x14ac:dyDescent="0.2">
      <c r="A23" s="625" t="s">
        <v>1044</v>
      </c>
      <c r="B23" s="631">
        <f>'For RFM &amp; PTRM'!AI23</f>
        <v>1.081</v>
      </c>
      <c r="C23" s="632">
        <f>'For RFM &amp; PTRM'!AJ23</f>
        <v>0.82899999999999996</v>
      </c>
      <c r="D23" s="632">
        <f>'For RFM &amp; PTRM'!AK23</f>
        <v>1.0269999999999999</v>
      </c>
      <c r="E23" s="632">
        <f>'For RFM &amp; PTRM'!AL23</f>
        <v>9.9770000000000003</v>
      </c>
      <c r="F23" s="633">
        <f>'For RFM &amp; PTRM'!AM23</f>
        <v>0.113</v>
      </c>
      <c r="G23" s="629">
        <f t="shared" si="6"/>
        <v>13.026999999999999</v>
      </c>
      <c r="H23" s="630"/>
      <c r="I23" s="631">
        <f t="shared" si="7"/>
        <v>1.0546341463414635</v>
      </c>
      <c r="J23" s="632">
        <f t="shared" si="8"/>
        <v>0.78905413444378347</v>
      </c>
      <c r="K23" s="632">
        <f t="shared" si="9"/>
        <v>0.95367159501458199</v>
      </c>
      <c r="L23" s="632">
        <f t="shared" si="10"/>
        <v>9.038669583167156</v>
      </c>
      <c r="M23" s="633">
        <f t="shared" si="11"/>
        <v>9.9875534499875449E-2</v>
      </c>
      <c r="N23" s="629">
        <f t="shared" si="12"/>
        <v>11.935904993466862</v>
      </c>
      <c r="O23" s="630"/>
      <c r="P23" s="631">
        <f t="shared" si="13"/>
        <v>1.0677356939782063</v>
      </c>
      <c r="Q23" s="632">
        <f t="shared" si="2"/>
        <v>0.79885642499757037</v>
      </c>
      <c r="R23" s="632">
        <f t="shared" si="3"/>
        <v>0.96551890137692176</v>
      </c>
      <c r="S23" s="632">
        <f t="shared" si="4"/>
        <v>9.1509554981713723</v>
      </c>
      <c r="T23" s="633">
        <f t="shared" si="5"/>
        <v>0.10111627194189224</v>
      </c>
      <c r="U23" s="885">
        <f t="shared" si="14"/>
        <v>12.084182790465963</v>
      </c>
    </row>
    <row r="24" spans="1:21" x14ac:dyDescent="0.2">
      <c r="A24" s="625" t="s">
        <v>1045</v>
      </c>
      <c r="B24" s="631">
        <f>'For RFM &amp; PTRM'!AI24</f>
        <v>0.34699999999999998</v>
      </c>
      <c r="C24" s="632">
        <f>'For RFM &amp; PTRM'!AJ24</f>
        <v>1.2999999999999999E-2</v>
      </c>
      <c r="D24" s="632">
        <f>'For RFM &amp; PTRM'!AK24</f>
        <v>3.2000000000000001E-2</v>
      </c>
      <c r="E24" s="632">
        <f>'For RFM &amp; PTRM'!AL24</f>
        <v>4.9000000000000002E-2</v>
      </c>
      <c r="F24" s="633">
        <f>'For RFM &amp; PTRM'!AM24</f>
        <v>7.6999999999999999E-2</v>
      </c>
      <c r="G24" s="629">
        <f t="shared" si="6"/>
        <v>0.51800000000000002</v>
      </c>
      <c r="H24" s="630"/>
      <c r="I24" s="631">
        <f t="shared" si="7"/>
        <v>0.33853658536585368</v>
      </c>
      <c r="J24" s="632">
        <f t="shared" si="8"/>
        <v>1.2373587150505651E-2</v>
      </c>
      <c r="K24" s="632">
        <f t="shared" si="9"/>
        <v>2.9715181149431964E-2</v>
      </c>
      <c r="L24" s="632">
        <f t="shared" si="10"/>
        <v>4.4391581595187996E-2</v>
      </c>
      <c r="M24" s="633">
        <f t="shared" si="11"/>
        <v>6.8056780145932819E-2</v>
      </c>
      <c r="N24" s="629">
        <f t="shared" si="12"/>
        <v>0.49307371540691208</v>
      </c>
      <c r="O24" s="630"/>
      <c r="P24" s="631">
        <f t="shared" si="13"/>
        <v>0.34274217003740759</v>
      </c>
      <c r="Q24" s="632">
        <f t="shared" si="2"/>
        <v>1.2527302201409428E-2</v>
      </c>
      <c r="R24" s="632">
        <f t="shared" si="3"/>
        <v>3.0084327988375365E-2</v>
      </c>
      <c r="S24" s="632">
        <f t="shared" si="4"/>
        <v>4.4943050958243691E-2</v>
      </c>
      <c r="T24" s="633">
        <f t="shared" si="5"/>
        <v>6.8902238402882315E-2</v>
      </c>
      <c r="U24" s="885">
        <f t="shared" si="14"/>
        <v>0.49919908958831838</v>
      </c>
    </row>
    <row r="25" spans="1:21" x14ac:dyDescent="0.2">
      <c r="A25" s="625" t="s">
        <v>2271</v>
      </c>
      <c r="B25" s="631">
        <f>'For RFM &amp; PTRM'!AI25</f>
        <v>0</v>
      </c>
      <c r="C25" s="632">
        <f>'For RFM &amp; PTRM'!AJ25</f>
        <v>0</v>
      </c>
      <c r="D25" s="632">
        <f>'For RFM &amp; PTRM'!AK25</f>
        <v>0</v>
      </c>
      <c r="E25" s="632">
        <f>'For RFM &amp; PTRM'!AL25</f>
        <v>0</v>
      </c>
      <c r="F25" s="633">
        <f>'For RFM &amp; PTRM'!AM25</f>
        <v>0</v>
      </c>
      <c r="G25" s="629">
        <f t="shared" si="6"/>
        <v>0</v>
      </c>
      <c r="H25" s="630"/>
      <c r="I25" s="631">
        <f t="shared" si="7"/>
        <v>0</v>
      </c>
      <c r="J25" s="632">
        <f t="shared" si="8"/>
        <v>0</v>
      </c>
      <c r="K25" s="632">
        <f t="shared" si="9"/>
        <v>0</v>
      </c>
      <c r="L25" s="632">
        <f t="shared" si="10"/>
        <v>0</v>
      </c>
      <c r="M25" s="633">
        <f t="shared" si="11"/>
        <v>0</v>
      </c>
      <c r="N25" s="629">
        <f t="shared" si="12"/>
        <v>0</v>
      </c>
      <c r="O25" s="630"/>
      <c r="P25" s="631">
        <f t="shared" si="13"/>
        <v>0</v>
      </c>
      <c r="Q25" s="632">
        <f t="shared" si="2"/>
        <v>0</v>
      </c>
      <c r="R25" s="632">
        <f t="shared" si="3"/>
        <v>0</v>
      </c>
      <c r="S25" s="632">
        <f t="shared" si="4"/>
        <v>0</v>
      </c>
      <c r="T25" s="633">
        <f t="shared" si="5"/>
        <v>0</v>
      </c>
      <c r="U25" s="885">
        <f t="shared" si="14"/>
        <v>0</v>
      </c>
    </row>
    <row r="26" spans="1:21" x14ac:dyDescent="0.2">
      <c r="A26" s="625" t="s">
        <v>2272</v>
      </c>
      <c r="B26" s="631">
        <f>'For RFM &amp; PTRM'!AI26</f>
        <v>0</v>
      </c>
      <c r="C26" s="632">
        <f>'For RFM &amp; PTRM'!AJ26</f>
        <v>0</v>
      </c>
      <c r="D26" s="632">
        <f>'For RFM &amp; PTRM'!AK26</f>
        <v>0</v>
      </c>
      <c r="E26" s="632">
        <f>'For RFM &amp; PTRM'!AL26</f>
        <v>0</v>
      </c>
      <c r="F26" s="633">
        <f>'For RFM &amp; PTRM'!AM26</f>
        <v>0</v>
      </c>
      <c r="G26" s="629">
        <f t="shared" si="6"/>
        <v>0</v>
      </c>
      <c r="H26" s="630"/>
      <c r="I26" s="631">
        <f t="shared" si="7"/>
        <v>0</v>
      </c>
      <c r="J26" s="632">
        <f t="shared" si="8"/>
        <v>0</v>
      </c>
      <c r="K26" s="632">
        <f t="shared" si="9"/>
        <v>0</v>
      </c>
      <c r="L26" s="632">
        <f t="shared" si="10"/>
        <v>0</v>
      </c>
      <c r="M26" s="633">
        <f t="shared" si="11"/>
        <v>0</v>
      </c>
      <c r="N26" s="629">
        <f t="shared" si="12"/>
        <v>0</v>
      </c>
      <c r="O26" s="630"/>
      <c r="P26" s="631">
        <f t="shared" si="13"/>
        <v>0</v>
      </c>
      <c r="Q26" s="632">
        <f t="shared" si="2"/>
        <v>0</v>
      </c>
      <c r="R26" s="632">
        <f t="shared" si="3"/>
        <v>0</v>
      </c>
      <c r="S26" s="632">
        <f t="shared" si="4"/>
        <v>0</v>
      </c>
      <c r="T26" s="633">
        <f t="shared" si="5"/>
        <v>0</v>
      </c>
      <c r="U26" s="885">
        <f t="shared" si="14"/>
        <v>0</v>
      </c>
    </row>
    <row r="27" spans="1:21" x14ac:dyDescent="0.2">
      <c r="A27" s="625" t="s">
        <v>2273</v>
      </c>
      <c r="B27" s="631">
        <f>'For RFM &amp; PTRM'!AI27</f>
        <v>0</v>
      </c>
      <c r="C27" s="632">
        <f>'For RFM &amp; PTRM'!AJ27</f>
        <v>0</v>
      </c>
      <c r="D27" s="632">
        <f>'For RFM &amp; PTRM'!AK27</f>
        <v>0</v>
      </c>
      <c r="E27" s="632">
        <f>'For RFM &amp; PTRM'!AL27</f>
        <v>0</v>
      </c>
      <c r="F27" s="633">
        <f>'For RFM &amp; PTRM'!AM27</f>
        <v>0</v>
      </c>
      <c r="G27" s="629">
        <f t="shared" si="6"/>
        <v>0</v>
      </c>
      <c r="H27" s="630"/>
      <c r="I27" s="631">
        <f t="shared" si="7"/>
        <v>0</v>
      </c>
      <c r="J27" s="632">
        <f t="shared" si="8"/>
        <v>0</v>
      </c>
      <c r="K27" s="632">
        <f t="shared" si="9"/>
        <v>0</v>
      </c>
      <c r="L27" s="632">
        <f t="shared" si="10"/>
        <v>0</v>
      </c>
      <c r="M27" s="633">
        <f t="shared" si="11"/>
        <v>0</v>
      </c>
      <c r="N27" s="629">
        <f t="shared" si="12"/>
        <v>0</v>
      </c>
      <c r="O27" s="630"/>
      <c r="P27" s="631">
        <f t="shared" si="13"/>
        <v>0</v>
      </c>
      <c r="Q27" s="632">
        <f t="shared" si="2"/>
        <v>0</v>
      </c>
      <c r="R27" s="632">
        <f t="shared" si="3"/>
        <v>0</v>
      </c>
      <c r="S27" s="632">
        <f t="shared" si="4"/>
        <v>0</v>
      </c>
      <c r="T27" s="633">
        <f t="shared" si="5"/>
        <v>0</v>
      </c>
      <c r="U27" s="885">
        <f t="shared" si="14"/>
        <v>0</v>
      </c>
    </row>
    <row r="28" spans="1:21" x14ac:dyDescent="0.2">
      <c r="A28" s="625" t="s">
        <v>1059</v>
      </c>
      <c r="B28" s="631">
        <f>'For RFM &amp; PTRM'!AI28</f>
        <v>0</v>
      </c>
      <c r="C28" s="632">
        <f>'For RFM &amp; PTRM'!AJ28</f>
        <v>0</v>
      </c>
      <c r="D28" s="632">
        <f>'For RFM &amp; PTRM'!AK28</f>
        <v>0</v>
      </c>
      <c r="E28" s="632">
        <f>'For RFM &amp; PTRM'!AL28</f>
        <v>0</v>
      </c>
      <c r="F28" s="633">
        <f>'For RFM &amp; PTRM'!AM28</f>
        <v>0</v>
      </c>
      <c r="G28" s="629">
        <f t="shared" si="6"/>
        <v>0</v>
      </c>
      <c r="H28" s="630"/>
      <c r="I28" s="631">
        <f t="shared" si="7"/>
        <v>0</v>
      </c>
      <c r="J28" s="632">
        <f t="shared" si="8"/>
        <v>0</v>
      </c>
      <c r="K28" s="632">
        <f t="shared" si="9"/>
        <v>0</v>
      </c>
      <c r="L28" s="632">
        <f t="shared" si="10"/>
        <v>0</v>
      </c>
      <c r="M28" s="633">
        <f t="shared" si="11"/>
        <v>0</v>
      </c>
      <c r="N28" s="629">
        <f t="shared" si="12"/>
        <v>0</v>
      </c>
      <c r="O28" s="630"/>
      <c r="P28" s="631">
        <f t="shared" si="13"/>
        <v>0</v>
      </c>
      <c r="Q28" s="632">
        <f t="shared" si="2"/>
        <v>0</v>
      </c>
      <c r="R28" s="632">
        <f t="shared" si="3"/>
        <v>0</v>
      </c>
      <c r="S28" s="632">
        <f t="shared" si="4"/>
        <v>0</v>
      </c>
      <c r="T28" s="633">
        <f t="shared" si="5"/>
        <v>0</v>
      </c>
      <c r="U28" s="885">
        <f t="shared" si="14"/>
        <v>0</v>
      </c>
    </row>
    <row r="29" spans="1:21" x14ac:dyDescent="0.2">
      <c r="A29" s="625" t="s">
        <v>1060</v>
      </c>
      <c r="B29" s="631">
        <f>'For RFM &amp; PTRM'!AI29</f>
        <v>0</v>
      </c>
      <c r="C29" s="632">
        <f>'For RFM &amp; PTRM'!AJ29</f>
        <v>0</v>
      </c>
      <c r="D29" s="632">
        <f>'For RFM &amp; PTRM'!AK29</f>
        <v>0</v>
      </c>
      <c r="E29" s="632">
        <f>'For RFM &amp; PTRM'!AL29</f>
        <v>0</v>
      </c>
      <c r="F29" s="633">
        <f>'For RFM &amp; PTRM'!AM29</f>
        <v>0</v>
      </c>
      <c r="G29" s="629">
        <f t="shared" si="6"/>
        <v>0</v>
      </c>
      <c r="H29" s="630"/>
      <c r="I29" s="631">
        <f t="shared" si="7"/>
        <v>0</v>
      </c>
      <c r="J29" s="632">
        <f t="shared" si="8"/>
        <v>0</v>
      </c>
      <c r="K29" s="632">
        <f t="shared" si="9"/>
        <v>0</v>
      </c>
      <c r="L29" s="632">
        <f t="shared" si="10"/>
        <v>0</v>
      </c>
      <c r="M29" s="633">
        <f t="shared" si="11"/>
        <v>0</v>
      </c>
      <c r="N29" s="629">
        <f t="shared" si="12"/>
        <v>0</v>
      </c>
      <c r="O29" s="630"/>
      <c r="P29" s="631">
        <f t="shared" si="13"/>
        <v>0</v>
      </c>
      <c r="Q29" s="632">
        <f t="shared" si="2"/>
        <v>0</v>
      </c>
      <c r="R29" s="632">
        <f t="shared" si="3"/>
        <v>0</v>
      </c>
      <c r="S29" s="632">
        <f t="shared" si="4"/>
        <v>0</v>
      </c>
      <c r="T29" s="633">
        <f t="shared" si="5"/>
        <v>0</v>
      </c>
      <c r="U29" s="885">
        <f t="shared" si="14"/>
        <v>0</v>
      </c>
    </row>
    <row r="30" spans="1:21" x14ac:dyDescent="0.2">
      <c r="A30" s="625" t="s">
        <v>1047</v>
      </c>
      <c r="B30" s="631">
        <f>'For RFM &amp; PTRM'!AI30</f>
        <v>2.4E-2</v>
      </c>
      <c r="C30" s="632">
        <f>'For RFM &amp; PTRM'!AJ30</f>
        <v>0</v>
      </c>
      <c r="D30" s="632">
        <f>'For RFM &amp; PTRM'!AK30</f>
        <v>0</v>
      </c>
      <c r="E30" s="632">
        <f>'For RFM &amp; PTRM'!AL30</f>
        <v>0</v>
      </c>
      <c r="F30" s="633">
        <f>'For RFM &amp; PTRM'!AM30</f>
        <v>0</v>
      </c>
      <c r="G30" s="629">
        <f t="shared" si="6"/>
        <v>2.4E-2</v>
      </c>
      <c r="H30" s="630"/>
      <c r="I30" s="631">
        <f t="shared" si="7"/>
        <v>2.3414634146341467E-2</v>
      </c>
      <c r="J30" s="632">
        <f t="shared" si="8"/>
        <v>0</v>
      </c>
      <c r="K30" s="632">
        <f t="shared" si="9"/>
        <v>0</v>
      </c>
      <c r="L30" s="632">
        <f t="shared" si="10"/>
        <v>0</v>
      </c>
      <c r="M30" s="633">
        <f t="shared" si="11"/>
        <v>0</v>
      </c>
      <c r="N30" s="629">
        <f t="shared" si="12"/>
        <v>2.3414634146341467E-2</v>
      </c>
      <c r="O30" s="630"/>
      <c r="P30" s="631">
        <f t="shared" si="13"/>
        <v>2.3705510319590152E-2</v>
      </c>
      <c r="Q30" s="632">
        <f t="shared" si="2"/>
        <v>0</v>
      </c>
      <c r="R30" s="632">
        <f t="shared" si="3"/>
        <v>0</v>
      </c>
      <c r="S30" s="632">
        <f t="shared" si="4"/>
        <v>0</v>
      </c>
      <c r="T30" s="633">
        <f t="shared" si="5"/>
        <v>0</v>
      </c>
      <c r="U30" s="885">
        <f t="shared" si="14"/>
        <v>2.3705510319590152E-2</v>
      </c>
    </row>
    <row r="31" spans="1:21" x14ac:dyDescent="0.2">
      <c r="A31" s="625" t="s">
        <v>2985</v>
      </c>
      <c r="B31" s="631">
        <f>'For RFM &amp; PTRM'!AI31</f>
        <v>13.801</v>
      </c>
      <c r="C31" s="632">
        <f>'For RFM &amp; PTRM'!AJ31</f>
        <v>4.1859999999999999</v>
      </c>
      <c r="D31" s="632">
        <f>'For RFM &amp; PTRM'!AK31</f>
        <v>4.1239999999999997</v>
      </c>
      <c r="E31" s="632">
        <f>'For RFM &amp; PTRM'!AL31</f>
        <v>3.6549999999999998</v>
      </c>
      <c r="F31" s="633">
        <f>'For RFM &amp; PTRM'!AM31</f>
        <v>2.1829999999999998</v>
      </c>
      <c r="G31" s="629">
        <f t="shared" si="6"/>
        <v>27.949000000000002</v>
      </c>
      <c r="H31" s="630"/>
      <c r="I31" s="631">
        <f t="shared" si="7"/>
        <v>13.464390243902441</v>
      </c>
      <c r="J31" s="632">
        <f t="shared" si="8"/>
        <v>3.9842950624628202</v>
      </c>
      <c r="K31" s="632">
        <f t="shared" si="9"/>
        <v>3.8295439706330439</v>
      </c>
      <c r="L31" s="632">
        <f t="shared" si="10"/>
        <v>3.3112496067431043</v>
      </c>
      <c r="M31" s="633">
        <f t="shared" si="11"/>
        <v>1.9294539098515759</v>
      </c>
      <c r="N31" s="629">
        <f t="shared" si="12"/>
        <v>26.518932793592988</v>
      </c>
      <c r="O31" s="630"/>
      <c r="P31" s="631">
        <f t="shared" si="13"/>
        <v>13.631656163360987</v>
      </c>
      <c r="Q31" s="632">
        <f t="shared" si="2"/>
        <v>4.0337913088538357</v>
      </c>
      <c r="R31" s="632">
        <f t="shared" si="3"/>
        <v>3.8771177695018748</v>
      </c>
      <c r="S31" s="632">
        <f t="shared" si="4"/>
        <v>3.3523847194363401</v>
      </c>
      <c r="T31" s="633">
        <f t="shared" si="5"/>
        <v>1.9534232004349623</v>
      </c>
      <c r="U31" s="885">
        <f t="shared" si="14"/>
        <v>26.848373161588</v>
      </c>
    </row>
    <row r="32" spans="1:21" x14ac:dyDescent="0.2">
      <c r="A32" s="625" t="s">
        <v>3051</v>
      </c>
      <c r="B32" s="631">
        <f>'For RFM &amp; PTRM'!AI32</f>
        <v>10.162000000000001</v>
      </c>
      <c r="C32" s="632">
        <f>'For RFM &amp; PTRM'!AJ32</f>
        <v>40.125</v>
      </c>
      <c r="D32" s="632">
        <f>'For RFM &amp; PTRM'!AK32</f>
        <v>52.667999999999999</v>
      </c>
      <c r="E32" s="632">
        <f>'For RFM &amp; PTRM'!AL32</f>
        <v>47.207999999999998</v>
      </c>
      <c r="F32" s="633">
        <f>'For RFM &amp; PTRM'!AM32</f>
        <v>24.559000000000001</v>
      </c>
      <c r="G32" s="629">
        <f t="shared" si="6"/>
        <v>174.72200000000001</v>
      </c>
      <c r="H32" s="630"/>
      <c r="I32" s="631">
        <f t="shared" si="7"/>
        <v>9.9141463414634163</v>
      </c>
      <c r="J32" s="632">
        <f t="shared" si="8"/>
        <v>38.191552647233792</v>
      </c>
      <c r="K32" s="632">
        <f t="shared" si="9"/>
        <v>48.907473774321332</v>
      </c>
      <c r="L32" s="632">
        <f t="shared" si="10"/>
        <v>42.768118039706835</v>
      </c>
      <c r="M32" s="633">
        <f t="shared" si="11"/>
        <v>21.706577449402133</v>
      </c>
      <c r="N32" s="629">
        <f t="shared" si="12"/>
        <v>161.4878682521275</v>
      </c>
      <c r="O32" s="630"/>
      <c r="P32" s="631">
        <f t="shared" si="13"/>
        <v>10.037308161153129</v>
      </c>
      <c r="Q32" s="632">
        <f t="shared" si="2"/>
        <v>38.66600006396564</v>
      </c>
      <c r="R32" s="632">
        <f t="shared" si="3"/>
        <v>49.515043327867303</v>
      </c>
      <c r="S32" s="632">
        <f t="shared" si="4"/>
        <v>43.299419380342208</v>
      </c>
      <c r="T32" s="633">
        <f t="shared" si="5"/>
        <v>21.976234713459569</v>
      </c>
      <c r="U32" s="885">
        <f t="shared" si="14"/>
        <v>163.49400564678785</v>
      </c>
    </row>
    <row r="33" spans="1:21" ht="13.5" thickBot="1" x14ac:dyDescent="0.25">
      <c r="A33" s="634" t="s">
        <v>639</v>
      </c>
      <c r="B33" s="635">
        <f t="shared" ref="B33:E33" si="15">SUM(B8:B32)</f>
        <v>98.851000000000013</v>
      </c>
      <c r="C33" s="636">
        <f t="shared" si="15"/>
        <v>104.81399999999999</v>
      </c>
      <c r="D33" s="636">
        <f t="shared" si="15"/>
        <v>116.76599999999999</v>
      </c>
      <c r="E33" s="636">
        <f t="shared" si="15"/>
        <v>110.572</v>
      </c>
      <c r="F33" s="637">
        <f>SUM(F8:F32)</f>
        <v>60.096000000000004</v>
      </c>
      <c r="G33" s="638">
        <f>SUM(G8:G32)</f>
        <v>491.09900000000005</v>
      </c>
      <c r="H33" s="630"/>
      <c r="I33" s="635">
        <f t="shared" ref="I33:L33" si="16">SUM(I8:I32)</f>
        <v>96.44</v>
      </c>
      <c r="J33" s="636">
        <f t="shared" si="16"/>
        <v>99.763474122546114</v>
      </c>
      <c r="K33" s="636">
        <f t="shared" si="16"/>
        <v>108.42883881545539</v>
      </c>
      <c r="L33" s="636">
        <f t="shared" si="16"/>
        <v>100.17277469679851</v>
      </c>
      <c r="M33" s="637">
        <f>SUM(M8:M32)</f>
        <v>53.116107268181544</v>
      </c>
      <c r="N33" s="638">
        <f>SUM(N8:N32)</f>
        <v>457.92119490298148</v>
      </c>
      <c r="O33" s="630"/>
      <c r="P33" s="635">
        <f t="shared" ref="P33:S33" si="17">SUM(P8:P32)</f>
        <v>97.638058358408571</v>
      </c>
      <c r="Q33" s="636">
        <f t="shared" si="17"/>
        <v>101.00281945680985</v>
      </c>
      <c r="R33" s="636">
        <f t="shared" si="17"/>
        <v>109.77583255908243</v>
      </c>
      <c r="S33" s="636">
        <f t="shared" si="17"/>
        <v>101.41720470520247</v>
      </c>
      <c r="T33" s="637">
        <f>SUM(T8:T32)</f>
        <v>53.775959987787218</v>
      </c>
      <c r="U33" s="886">
        <f>SUM(U8:U32)</f>
        <v>463.60987506729055</v>
      </c>
    </row>
    <row r="34" spans="1:21" x14ac:dyDescent="0.2">
      <c r="E34" s="614"/>
      <c r="F34" s="614"/>
      <c r="G34" s="614"/>
      <c r="H34" s="614"/>
      <c r="I34" s="614"/>
      <c r="J34" s="614"/>
      <c r="K34" s="614"/>
      <c r="L34" s="614"/>
      <c r="M34" s="614"/>
      <c r="N34" s="614"/>
    </row>
    <row r="35" spans="1:21" x14ac:dyDescent="0.2">
      <c r="B35" s="614"/>
      <c r="C35" s="614"/>
      <c r="D35" s="614"/>
      <c r="E35" s="614"/>
      <c r="F35" s="614"/>
      <c r="G35" s="614"/>
      <c r="H35" s="614"/>
      <c r="I35" s="614"/>
      <c r="J35" s="614"/>
      <c r="K35" s="614"/>
      <c r="L35" s="614"/>
      <c r="M35" s="614"/>
      <c r="N35" s="614"/>
    </row>
    <row r="36" spans="1:21" x14ac:dyDescent="0.2">
      <c r="B36" s="614"/>
      <c r="C36" s="614"/>
      <c r="D36" s="614"/>
      <c r="E36" s="614"/>
      <c r="F36" s="614"/>
      <c r="G36" s="614"/>
      <c r="H36" s="614"/>
      <c r="I36" s="614"/>
      <c r="J36" s="614"/>
      <c r="K36" s="614"/>
      <c r="L36" s="614"/>
      <c r="M36" s="614"/>
      <c r="N36" s="614"/>
      <c r="P36" s="608" t="s">
        <v>3007</v>
      </c>
      <c r="Q36" s="601"/>
      <c r="R36" s="601"/>
      <c r="S36" s="601"/>
      <c r="T36" s="601"/>
      <c r="U36" s="601"/>
    </row>
    <row r="37" spans="1:21" ht="13.5" thickBot="1" x14ac:dyDescent="0.25">
      <c r="B37" s="614" t="s">
        <v>2297</v>
      </c>
      <c r="C37" s="615"/>
      <c r="D37" s="615"/>
      <c r="E37" s="615"/>
      <c r="F37" s="615"/>
      <c r="G37" s="614"/>
      <c r="H37" s="614"/>
      <c r="I37" s="616" t="s">
        <v>2298</v>
      </c>
      <c r="J37" s="614"/>
      <c r="K37" s="614"/>
      <c r="L37" s="614"/>
      <c r="M37" s="614"/>
      <c r="N37" s="614"/>
      <c r="P37" s="617" t="s">
        <v>2984</v>
      </c>
      <c r="Q37" s="639"/>
      <c r="R37" s="639"/>
      <c r="S37" s="639"/>
      <c r="T37" s="639"/>
      <c r="U37" s="639"/>
    </row>
    <row r="38" spans="1:21" x14ac:dyDescent="0.2">
      <c r="A38" s="618" t="s">
        <v>2275</v>
      </c>
      <c r="B38" s="619" t="s">
        <v>2279</v>
      </c>
      <c r="C38" s="620" t="s">
        <v>2280</v>
      </c>
      <c r="D38" s="620" t="s">
        <v>2281</v>
      </c>
      <c r="E38" s="620" t="s">
        <v>2282</v>
      </c>
      <c r="F38" s="620" t="s">
        <v>2283</v>
      </c>
      <c r="G38" s="621" t="s">
        <v>639</v>
      </c>
      <c r="H38" s="614"/>
      <c r="I38" s="619" t="s">
        <v>2279</v>
      </c>
      <c r="J38" s="620" t="s">
        <v>2280</v>
      </c>
      <c r="K38" s="620" t="s">
        <v>2281</v>
      </c>
      <c r="L38" s="620" t="s">
        <v>2282</v>
      </c>
      <c r="M38" s="620" t="s">
        <v>2283</v>
      </c>
      <c r="N38" s="621" t="s">
        <v>639</v>
      </c>
      <c r="P38" s="640" t="s">
        <v>2279</v>
      </c>
      <c r="Q38" s="641" t="s">
        <v>2280</v>
      </c>
      <c r="R38" s="641" t="s">
        <v>2281</v>
      </c>
      <c r="S38" s="641" t="s">
        <v>2282</v>
      </c>
      <c r="T38" s="641" t="s">
        <v>2283</v>
      </c>
      <c r="U38" s="642" t="s">
        <v>639</v>
      </c>
    </row>
    <row r="39" spans="1:21" x14ac:dyDescent="0.2">
      <c r="A39" s="625" t="s">
        <v>1031</v>
      </c>
      <c r="B39" s="626">
        <f>'For RFM &amp; PTRM'!AI39</f>
        <v>3.3039999999999998</v>
      </c>
      <c r="C39" s="627">
        <f>'For RFM &amp; PTRM'!AJ39</f>
        <v>0.64100000000000001</v>
      </c>
      <c r="D39" s="627">
        <f>'For RFM &amp; PTRM'!AK39</f>
        <v>1.1279999999999999</v>
      </c>
      <c r="E39" s="627">
        <f>'For RFM &amp; PTRM'!AL39</f>
        <v>1.1060000000000001</v>
      </c>
      <c r="F39" s="628">
        <f>'For RFM &amp; PTRM'!AM39</f>
        <v>0.13400000000000001</v>
      </c>
      <c r="G39" s="629">
        <f>SUM(B39:F39)</f>
        <v>6.3129999999999997</v>
      </c>
      <c r="H39" s="630"/>
      <c r="I39" s="626">
        <f>B39/I$3</f>
        <v>3.2234146341463417</v>
      </c>
      <c r="J39" s="627">
        <f t="shared" ref="J39:J63" si="18">C39/J$3</f>
        <v>0.61011302795954792</v>
      </c>
      <c r="K39" s="627">
        <f t="shared" ref="K39:K63" si="19">D39/K$3</f>
        <v>1.0474601355174766</v>
      </c>
      <c r="L39" s="627">
        <f t="shared" ref="L39:L63" si="20">E39/L$3</f>
        <v>1.0019814131485292</v>
      </c>
      <c r="M39" s="628">
        <f t="shared" ref="M39:M63" si="21">F39/M$3</f>
        <v>0.1184364745396753</v>
      </c>
      <c r="N39" s="629">
        <f>SUM(I39:M39)</f>
        <v>6.0014056853115703</v>
      </c>
      <c r="O39" s="630"/>
      <c r="P39" s="626">
        <f>I39*$P$3</f>
        <v>3.263458587330244</v>
      </c>
      <c r="Q39" s="627">
        <f>J39*$P$3</f>
        <v>0.61769236239257252</v>
      </c>
      <c r="R39" s="627">
        <f t="shared" ref="R39:R63" si="22">K39*$P$3</f>
        <v>1.0604725615902315</v>
      </c>
      <c r="S39" s="627">
        <f t="shared" ref="S39:S63" si="23">L39*$P$3</f>
        <v>1.0144288644860719</v>
      </c>
      <c r="T39" s="628">
        <f t="shared" ref="T39:T63" si="24">M39*$P$3</f>
        <v>0.11990779150631468</v>
      </c>
      <c r="U39" s="629">
        <f>SUM(P39:T39)</f>
        <v>6.0759601673054346</v>
      </c>
    </row>
    <row r="40" spans="1:21" x14ac:dyDescent="0.2">
      <c r="A40" s="625" t="s">
        <v>1032</v>
      </c>
      <c r="B40" s="631">
        <f>'For RFM &amp; PTRM'!AI40</f>
        <v>9.9529999999999994</v>
      </c>
      <c r="C40" s="632">
        <f>'For RFM &amp; PTRM'!AJ40</f>
        <v>1.9119999999999999</v>
      </c>
      <c r="D40" s="632">
        <f>'For RFM &amp; PTRM'!AK40</f>
        <v>1.238</v>
      </c>
      <c r="E40" s="632">
        <f>'For RFM &amp; PTRM'!AL40</f>
        <v>0.81699999999999995</v>
      </c>
      <c r="F40" s="633">
        <f>'For RFM &amp; PTRM'!AM40</f>
        <v>5.7000000000000002E-2</v>
      </c>
      <c r="G40" s="629">
        <f t="shared" ref="G40:G63" si="25">SUM(B40:F40)</f>
        <v>13.976999999999999</v>
      </c>
      <c r="H40" s="630"/>
      <c r="I40" s="631">
        <f t="shared" ref="I40:I63" si="26">B40/I$3</f>
        <v>9.710243902439025</v>
      </c>
      <c r="J40" s="632">
        <f t="shared" si="18"/>
        <v>1.8198691255205235</v>
      </c>
      <c r="K40" s="632">
        <f t="shared" si="19"/>
        <v>1.1496060707186491</v>
      </c>
      <c r="L40" s="632">
        <f t="shared" si="20"/>
        <v>0.74016167680139977</v>
      </c>
      <c r="M40" s="633">
        <f t="shared" si="21"/>
        <v>5.0379694393742479E-2</v>
      </c>
      <c r="N40" s="629">
        <f t="shared" ref="N40:N63" si="27">SUM(I40:M40)</f>
        <v>13.470260469873338</v>
      </c>
      <c r="O40" s="630"/>
      <c r="P40" s="631">
        <f t="shared" ref="P40:P63" si="28">I40*$P$3</f>
        <v>9.8308726754533655</v>
      </c>
      <c r="Q40" s="632">
        <f t="shared" ref="Q40:Q63" si="29">J40*$P$3</f>
        <v>1.8424770622380635</v>
      </c>
      <c r="R40" s="632">
        <f t="shared" si="22"/>
        <v>1.163887439050272</v>
      </c>
      <c r="S40" s="632">
        <f t="shared" si="23"/>
        <v>0.74935658434459362</v>
      </c>
      <c r="T40" s="633">
        <f t="shared" si="24"/>
        <v>5.1005553103432362E-2</v>
      </c>
      <c r="U40" s="629">
        <f t="shared" ref="U40:U63" si="30">SUM(P40:T40)</f>
        <v>13.637599314189728</v>
      </c>
    </row>
    <row r="41" spans="1:21" x14ac:dyDescent="0.2">
      <c r="A41" s="625" t="s">
        <v>1033</v>
      </c>
      <c r="B41" s="631">
        <f>'For RFM &amp; PTRM'!AI41</f>
        <v>0</v>
      </c>
      <c r="C41" s="632">
        <f>'For RFM &amp; PTRM'!AJ41</f>
        <v>0</v>
      </c>
      <c r="D41" s="632">
        <f>'For RFM &amp; PTRM'!AK41</f>
        <v>0</v>
      </c>
      <c r="E41" s="632">
        <f>'For RFM &amp; PTRM'!AL41</f>
        <v>0</v>
      </c>
      <c r="F41" s="633">
        <f>'For RFM &amp; PTRM'!AM41</f>
        <v>0</v>
      </c>
      <c r="G41" s="629">
        <f t="shared" si="25"/>
        <v>0</v>
      </c>
      <c r="H41" s="630"/>
      <c r="I41" s="631">
        <f t="shared" si="26"/>
        <v>0</v>
      </c>
      <c r="J41" s="632">
        <f t="shared" si="18"/>
        <v>0</v>
      </c>
      <c r="K41" s="632">
        <f t="shared" si="19"/>
        <v>0</v>
      </c>
      <c r="L41" s="632">
        <f t="shared" si="20"/>
        <v>0</v>
      </c>
      <c r="M41" s="633">
        <f t="shared" si="21"/>
        <v>0</v>
      </c>
      <c r="N41" s="629">
        <f t="shared" si="27"/>
        <v>0</v>
      </c>
      <c r="O41" s="630"/>
      <c r="P41" s="631">
        <f t="shared" si="28"/>
        <v>0</v>
      </c>
      <c r="Q41" s="632">
        <f t="shared" si="29"/>
        <v>0</v>
      </c>
      <c r="R41" s="632">
        <f t="shared" si="22"/>
        <v>0</v>
      </c>
      <c r="S41" s="632">
        <f t="shared" si="23"/>
        <v>0</v>
      </c>
      <c r="T41" s="633">
        <f t="shared" si="24"/>
        <v>0</v>
      </c>
      <c r="U41" s="629">
        <f t="shared" si="30"/>
        <v>0</v>
      </c>
    </row>
    <row r="42" spans="1:21" x14ac:dyDescent="0.2">
      <c r="A42" s="625" t="s">
        <v>1034</v>
      </c>
      <c r="B42" s="631">
        <f>'For RFM &amp; PTRM'!AI42</f>
        <v>23.74</v>
      </c>
      <c r="C42" s="632">
        <f>'For RFM &amp; PTRM'!AJ42</f>
        <v>10.435</v>
      </c>
      <c r="D42" s="632">
        <f>'For RFM &amp; PTRM'!AK42</f>
        <v>14.228999999999999</v>
      </c>
      <c r="E42" s="632">
        <f>'For RFM &amp; PTRM'!AL42</f>
        <v>10.19</v>
      </c>
      <c r="F42" s="633">
        <f>'For RFM &amp; PTRM'!AM42</f>
        <v>14.359</v>
      </c>
      <c r="G42" s="629">
        <f t="shared" si="25"/>
        <v>72.952999999999989</v>
      </c>
      <c r="H42" s="630"/>
      <c r="I42" s="631">
        <f t="shared" si="26"/>
        <v>23.160975609756097</v>
      </c>
      <c r="J42" s="632">
        <f t="shared" si="18"/>
        <v>9.9321832242712684</v>
      </c>
      <c r="K42" s="632">
        <f t="shared" si="19"/>
        <v>13.213041017977105</v>
      </c>
      <c r="L42" s="632">
        <f t="shared" si="20"/>
        <v>9.2316370705095032</v>
      </c>
      <c r="M42" s="633">
        <f t="shared" si="21"/>
        <v>12.691263715785057</v>
      </c>
      <c r="N42" s="629">
        <f t="shared" si="27"/>
        <v>68.22910063829903</v>
      </c>
      <c r="O42" s="630"/>
      <c r="P42" s="631">
        <f t="shared" si="28"/>
        <v>23.448700624461253</v>
      </c>
      <c r="Q42" s="632">
        <f t="shared" si="29"/>
        <v>10.055569113208261</v>
      </c>
      <c r="R42" s="632">
        <f t="shared" si="22"/>
        <v>13.377184467081031</v>
      </c>
      <c r="S42" s="632">
        <f t="shared" si="23"/>
        <v>9.3463201890714931</v>
      </c>
      <c r="T42" s="633">
        <f t="shared" si="24"/>
        <v>12.848925210740093</v>
      </c>
      <c r="U42" s="629">
        <f t="shared" si="30"/>
        <v>69.076699604562137</v>
      </c>
    </row>
    <row r="43" spans="1:21" x14ac:dyDescent="0.2">
      <c r="A43" s="625" t="s">
        <v>1035</v>
      </c>
      <c r="B43" s="631">
        <f>'For RFM &amp; PTRM'!AI43</f>
        <v>0.01</v>
      </c>
      <c r="C43" s="632">
        <f>'For RFM &amp; PTRM'!AJ43</f>
        <v>0</v>
      </c>
      <c r="D43" s="632">
        <f>'For RFM &amp; PTRM'!AK43</f>
        <v>0</v>
      </c>
      <c r="E43" s="632">
        <f>'For RFM &amp; PTRM'!AL43</f>
        <v>0</v>
      </c>
      <c r="F43" s="633">
        <f>'For RFM &amp; PTRM'!AM43</f>
        <v>0</v>
      </c>
      <c r="G43" s="629">
        <f t="shared" si="25"/>
        <v>0.01</v>
      </c>
      <c r="H43" s="630"/>
      <c r="I43" s="631">
        <f t="shared" si="26"/>
        <v>9.7560975609756115E-3</v>
      </c>
      <c r="J43" s="632">
        <f t="shared" si="18"/>
        <v>0</v>
      </c>
      <c r="K43" s="632">
        <f t="shared" si="19"/>
        <v>0</v>
      </c>
      <c r="L43" s="632">
        <f t="shared" si="20"/>
        <v>0</v>
      </c>
      <c r="M43" s="633">
        <f t="shared" si="21"/>
        <v>0</v>
      </c>
      <c r="N43" s="629">
        <f t="shared" si="27"/>
        <v>9.7560975609756115E-3</v>
      </c>
      <c r="O43" s="630"/>
      <c r="P43" s="631">
        <f t="shared" si="28"/>
        <v>9.8772959664958967E-3</v>
      </c>
      <c r="Q43" s="632">
        <f t="shared" si="29"/>
        <v>0</v>
      </c>
      <c r="R43" s="632">
        <f t="shared" si="22"/>
        <v>0</v>
      </c>
      <c r="S43" s="632">
        <f t="shared" si="23"/>
        <v>0</v>
      </c>
      <c r="T43" s="633">
        <f t="shared" si="24"/>
        <v>0</v>
      </c>
      <c r="U43" s="629">
        <f t="shared" si="30"/>
        <v>9.8772959664958967E-3</v>
      </c>
    </row>
    <row r="44" spans="1:21" x14ac:dyDescent="0.2">
      <c r="A44" s="625" t="s">
        <v>854</v>
      </c>
      <c r="B44" s="631">
        <f>'For RFM &amp; PTRM'!AI44</f>
        <v>1.2999999999999999E-2</v>
      </c>
      <c r="C44" s="632">
        <f>'For RFM &amp; PTRM'!AJ44</f>
        <v>0.111</v>
      </c>
      <c r="D44" s="632">
        <f>'For RFM &amp; PTRM'!AK44</f>
        <v>4.2999999999999997E-2</v>
      </c>
      <c r="E44" s="632">
        <f>'For RFM &amp; PTRM'!AL44</f>
        <v>0</v>
      </c>
      <c r="F44" s="633">
        <f>'For RFM &amp; PTRM'!AM44</f>
        <v>0</v>
      </c>
      <c r="G44" s="629">
        <f t="shared" si="25"/>
        <v>0.16699999999999998</v>
      </c>
      <c r="H44" s="630"/>
      <c r="I44" s="631">
        <f t="shared" si="26"/>
        <v>1.2682926829268294E-2</v>
      </c>
      <c r="J44" s="632">
        <f t="shared" si="18"/>
        <v>0.10565139797739442</v>
      </c>
      <c r="K44" s="632">
        <f t="shared" si="19"/>
        <v>3.9929774669549195E-2</v>
      </c>
      <c r="L44" s="632">
        <f t="shared" si="20"/>
        <v>0</v>
      </c>
      <c r="M44" s="633">
        <f t="shared" si="21"/>
        <v>0</v>
      </c>
      <c r="N44" s="629">
        <f t="shared" si="27"/>
        <v>0.15826409947621189</v>
      </c>
      <c r="O44" s="630"/>
      <c r="P44" s="631">
        <f t="shared" si="28"/>
        <v>1.2840484756444665E-2</v>
      </c>
      <c r="Q44" s="632">
        <f t="shared" si="29"/>
        <v>0.10696388802741898</v>
      </c>
      <c r="R44" s="632">
        <f t="shared" si="22"/>
        <v>4.0425815734379394E-2</v>
      </c>
      <c r="S44" s="632">
        <f t="shared" si="23"/>
        <v>0</v>
      </c>
      <c r="T44" s="633">
        <f t="shared" si="24"/>
        <v>0</v>
      </c>
      <c r="U44" s="629">
        <f t="shared" si="30"/>
        <v>0.16023018851824306</v>
      </c>
    </row>
    <row r="45" spans="1:21" x14ac:dyDescent="0.2">
      <c r="A45" s="625" t="s">
        <v>1036</v>
      </c>
      <c r="B45" s="631">
        <f>'For RFM &amp; PTRM'!AI45</f>
        <v>2.863</v>
      </c>
      <c r="C45" s="632">
        <f>'For RFM &amp; PTRM'!AJ45</f>
        <v>0</v>
      </c>
      <c r="D45" s="632">
        <f>'For RFM &amp; PTRM'!AK45</f>
        <v>0</v>
      </c>
      <c r="E45" s="632">
        <f>'For RFM &amp; PTRM'!AL45</f>
        <v>0</v>
      </c>
      <c r="F45" s="633">
        <f>'For RFM &amp; PTRM'!AM45</f>
        <v>1.8480000000000001</v>
      </c>
      <c r="G45" s="629">
        <f t="shared" si="25"/>
        <v>4.7110000000000003</v>
      </c>
      <c r="H45" s="630"/>
      <c r="I45" s="631">
        <f t="shared" si="26"/>
        <v>2.7931707317073173</v>
      </c>
      <c r="J45" s="632">
        <f t="shared" si="18"/>
        <v>0</v>
      </c>
      <c r="K45" s="632">
        <f t="shared" si="19"/>
        <v>0</v>
      </c>
      <c r="L45" s="632">
        <f t="shared" si="20"/>
        <v>0</v>
      </c>
      <c r="M45" s="633">
        <f t="shared" si="21"/>
        <v>1.6333627235023878</v>
      </c>
      <c r="N45" s="629">
        <f t="shared" si="27"/>
        <v>4.4265334552097055</v>
      </c>
      <c r="O45" s="630"/>
      <c r="P45" s="631">
        <f t="shared" si="28"/>
        <v>2.8278698352077751</v>
      </c>
      <c r="Q45" s="632">
        <f t="shared" si="29"/>
        <v>0</v>
      </c>
      <c r="R45" s="632">
        <f t="shared" si="22"/>
        <v>0</v>
      </c>
      <c r="S45" s="632">
        <f t="shared" si="23"/>
        <v>0</v>
      </c>
      <c r="T45" s="633">
        <f t="shared" si="24"/>
        <v>1.6536537216691756</v>
      </c>
      <c r="U45" s="629">
        <f t="shared" si="30"/>
        <v>4.4815235568769509</v>
      </c>
    </row>
    <row r="46" spans="1:21" x14ac:dyDescent="0.2">
      <c r="A46" s="625" t="s">
        <v>1037</v>
      </c>
      <c r="B46" s="631">
        <f>'For RFM &amp; PTRM'!AI46</f>
        <v>0.56100000000000005</v>
      </c>
      <c r="C46" s="632">
        <f>'For RFM &amp; PTRM'!AJ46</f>
        <v>0.48599999999999999</v>
      </c>
      <c r="D46" s="632">
        <f>'For RFM &amp; PTRM'!AK46</f>
        <v>0.54400000000000004</v>
      </c>
      <c r="E46" s="632">
        <f>'For RFM &amp; PTRM'!AL46</f>
        <v>4.0170000000000003</v>
      </c>
      <c r="F46" s="633">
        <f>'For RFM &amp; PTRM'!AM46</f>
        <v>2.9590000000000001</v>
      </c>
      <c r="G46" s="629">
        <f t="shared" si="25"/>
        <v>8.5670000000000002</v>
      </c>
      <c r="H46" s="630"/>
      <c r="I46" s="631">
        <f t="shared" si="26"/>
        <v>0.54731707317073186</v>
      </c>
      <c r="J46" s="632">
        <f t="shared" si="18"/>
        <v>0.46258179654967285</v>
      </c>
      <c r="K46" s="632">
        <f t="shared" si="19"/>
        <v>0.50515807954034342</v>
      </c>
      <c r="L46" s="632">
        <f t="shared" si="20"/>
        <v>3.6392037401606161</v>
      </c>
      <c r="M46" s="633">
        <f t="shared" si="21"/>
        <v>2.6153248370365616</v>
      </c>
      <c r="N46" s="629">
        <f t="shared" si="27"/>
        <v>7.7695855264579254</v>
      </c>
      <c r="O46" s="630"/>
      <c r="P46" s="631">
        <f t="shared" si="28"/>
        <v>0.55411630372041987</v>
      </c>
      <c r="Q46" s="632">
        <f t="shared" si="29"/>
        <v>0.46832837460653709</v>
      </c>
      <c r="R46" s="632">
        <f t="shared" si="22"/>
        <v>0.51143357580238125</v>
      </c>
      <c r="S46" s="632">
        <f t="shared" si="23"/>
        <v>3.684412973454386</v>
      </c>
      <c r="T46" s="633">
        <f t="shared" si="24"/>
        <v>2.6478145900536205</v>
      </c>
      <c r="U46" s="629">
        <f t="shared" si="30"/>
        <v>7.8661058176373446</v>
      </c>
    </row>
    <row r="47" spans="1:21" x14ac:dyDescent="0.2">
      <c r="A47" s="625" t="s">
        <v>41</v>
      </c>
      <c r="B47" s="631">
        <f>'For RFM &amp; PTRM'!AI47</f>
        <v>0</v>
      </c>
      <c r="C47" s="632">
        <f>'For RFM &amp; PTRM'!AJ47</f>
        <v>0</v>
      </c>
      <c r="D47" s="632">
        <f>'For RFM &amp; PTRM'!AK47</f>
        <v>0</v>
      </c>
      <c r="E47" s="632">
        <f>'For RFM &amp; PTRM'!AL47</f>
        <v>0</v>
      </c>
      <c r="F47" s="633">
        <f>'For RFM &amp; PTRM'!AM47</f>
        <v>0</v>
      </c>
      <c r="G47" s="629">
        <f t="shared" si="25"/>
        <v>0</v>
      </c>
      <c r="H47" s="630"/>
      <c r="I47" s="631">
        <f t="shared" si="26"/>
        <v>0</v>
      </c>
      <c r="J47" s="632">
        <f t="shared" si="18"/>
        <v>0</v>
      </c>
      <c r="K47" s="632">
        <f t="shared" si="19"/>
        <v>0</v>
      </c>
      <c r="L47" s="632">
        <f t="shared" si="20"/>
        <v>0</v>
      </c>
      <c r="M47" s="633">
        <f t="shared" si="21"/>
        <v>0</v>
      </c>
      <c r="N47" s="629">
        <f t="shared" si="27"/>
        <v>0</v>
      </c>
      <c r="O47" s="630"/>
      <c r="P47" s="631">
        <f t="shared" si="28"/>
        <v>0</v>
      </c>
      <c r="Q47" s="632">
        <f t="shared" si="29"/>
        <v>0</v>
      </c>
      <c r="R47" s="632">
        <f t="shared" si="22"/>
        <v>0</v>
      </c>
      <c r="S47" s="632">
        <f t="shared" si="23"/>
        <v>0</v>
      </c>
      <c r="T47" s="633">
        <f t="shared" si="24"/>
        <v>0</v>
      </c>
      <c r="U47" s="629">
        <f t="shared" si="30"/>
        <v>0</v>
      </c>
    </row>
    <row r="48" spans="1:21" x14ac:dyDescent="0.2">
      <c r="A48" s="625" t="s">
        <v>1038</v>
      </c>
      <c r="B48" s="631">
        <f>'For RFM &amp; PTRM'!AI48</f>
        <v>23.661000000000001</v>
      </c>
      <c r="C48" s="632">
        <f>'For RFM &amp; PTRM'!AJ48</f>
        <v>7.4660000000000002</v>
      </c>
      <c r="D48" s="632">
        <f>'For RFM &amp; PTRM'!AK48</f>
        <v>23.513999999999999</v>
      </c>
      <c r="E48" s="632">
        <f>'For RFM &amp; PTRM'!AL48</f>
        <v>5.7030000000000003</v>
      </c>
      <c r="F48" s="633">
        <f>'For RFM &amp; PTRM'!AM48</f>
        <v>31.863</v>
      </c>
      <c r="G48" s="629">
        <f t="shared" si="25"/>
        <v>92.207000000000008</v>
      </c>
      <c r="H48" s="630"/>
      <c r="I48" s="631">
        <f t="shared" si="26"/>
        <v>23.083902439024392</v>
      </c>
      <c r="J48" s="632">
        <f t="shared" si="18"/>
        <v>7.1062462819750154</v>
      </c>
      <c r="K48" s="632">
        <f t="shared" si="19"/>
        <v>21.835086548366974</v>
      </c>
      <c r="L48" s="632">
        <f t="shared" si="20"/>
        <v>5.1666365272930035</v>
      </c>
      <c r="M48" s="633">
        <f t="shared" si="21"/>
        <v>28.162249166102047</v>
      </c>
      <c r="N48" s="629">
        <f t="shared" si="27"/>
        <v>85.354120962761428</v>
      </c>
      <c r="O48" s="630"/>
      <c r="P48" s="631">
        <f t="shared" si="28"/>
        <v>23.37066998632594</v>
      </c>
      <c r="Q48" s="632">
        <f t="shared" si="29"/>
        <v>7.1945260181325228</v>
      </c>
      <c r="R48" s="632">
        <f t="shared" si="22"/>
        <v>22.106340259958074</v>
      </c>
      <c r="S48" s="632">
        <f t="shared" si="23"/>
        <v>5.2308208084666079</v>
      </c>
      <c r="T48" s="633">
        <f t="shared" si="24"/>
        <v>28.512104184818693</v>
      </c>
      <c r="U48" s="629">
        <f t="shared" si="30"/>
        <v>86.414461257701845</v>
      </c>
    </row>
    <row r="49" spans="1:21" x14ac:dyDescent="0.2">
      <c r="A49" s="625" t="s">
        <v>1039</v>
      </c>
      <c r="B49" s="631">
        <f>'For RFM &amp; PTRM'!AI49</f>
        <v>3.49</v>
      </c>
      <c r="C49" s="632">
        <f>'For RFM &amp; PTRM'!AJ49</f>
        <v>0.159</v>
      </c>
      <c r="D49" s="632">
        <f>'For RFM &amp; PTRM'!AK49</f>
        <v>0.22</v>
      </c>
      <c r="E49" s="632">
        <f>'For RFM &amp; PTRM'!AL49</f>
        <v>2.2589999999999999</v>
      </c>
      <c r="F49" s="633">
        <f>'For RFM &amp; PTRM'!AM49</f>
        <v>0</v>
      </c>
      <c r="G49" s="629">
        <f t="shared" si="25"/>
        <v>6.1280000000000001</v>
      </c>
      <c r="H49" s="630"/>
      <c r="I49" s="631">
        <f t="shared" si="26"/>
        <v>3.4048780487804882</v>
      </c>
      <c r="J49" s="632">
        <f t="shared" si="18"/>
        <v>0.15133848899464605</v>
      </c>
      <c r="K49" s="632">
        <f t="shared" si="19"/>
        <v>0.20429187040234473</v>
      </c>
      <c r="L49" s="632">
        <f t="shared" si="20"/>
        <v>2.0465425066026466</v>
      </c>
      <c r="M49" s="633">
        <f t="shared" si="21"/>
        <v>0</v>
      </c>
      <c r="N49" s="629">
        <f t="shared" si="27"/>
        <v>5.8070509147801257</v>
      </c>
      <c r="O49" s="630"/>
      <c r="P49" s="631">
        <f t="shared" si="28"/>
        <v>3.4471762923070677</v>
      </c>
      <c r="Q49" s="632">
        <f t="shared" si="29"/>
        <v>0.1532185423095461</v>
      </c>
      <c r="R49" s="632">
        <f t="shared" si="22"/>
        <v>0.20682975492008063</v>
      </c>
      <c r="S49" s="632">
        <f t="shared" si="23"/>
        <v>2.0719663696871935</v>
      </c>
      <c r="T49" s="633">
        <f t="shared" si="24"/>
        <v>0</v>
      </c>
      <c r="U49" s="629">
        <f t="shared" si="30"/>
        <v>5.8791909592238873</v>
      </c>
    </row>
    <row r="50" spans="1:21" x14ac:dyDescent="0.2">
      <c r="A50" s="625" t="s">
        <v>1040</v>
      </c>
      <c r="B50" s="631">
        <f>'For RFM &amp; PTRM'!AI50</f>
        <v>19.256</v>
      </c>
      <c r="C50" s="632">
        <f>'For RFM &amp; PTRM'!AJ50</f>
        <v>14.76</v>
      </c>
      <c r="D50" s="632">
        <f>'For RFM &amp; PTRM'!AK50</f>
        <v>10.342000000000001</v>
      </c>
      <c r="E50" s="632">
        <f>'For RFM &amp; PTRM'!AL50</f>
        <v>0.38600000000000001</v>
      </c>
      <c r="F50" s="633">
        <f>'For RFM &amp; PTRM'!AM50</f>
        <v>2.218</v>
      </c>
      <c r="G50" s="629">
        <f t="shared" si="25"/>
        <v>46.962000000000003</v>
      </c>
      <c r="H50" s="630"/>
      <c r="I50" s="631">
        <f t="shared" si="26"/>
        <v>18.786341463414637</v>
      </c>
      <c r="J50" s="632">
        <f t="shared" si="18"/>
        <v>14.048780487804878</v>
      </c>
      <c r="K50" s="632">
        <f t="shared" si="19"/>
        <v>9.603575107732043</v>
      </c>
      <c r="L50" s="632">
        <f t="shared" si="20"/>
        <v>0.34969694889270547</v>
      </c>
      <c r="M50" s="633">
        <f t="shared" si="21"/>
        <v>1.960388809917909</v>
      </c>
      <c r="N50" s="629">
        <f t="shared" si="27"/>
        <v>44.748782817762169</v>
      </c>
      <c r="O50" s="630"/>
      <c r="P50" s="631">
        <f t="shared" si="28"/>
        <v>19.019721113084497</v>
      </c>
      <c r="Q50" s="632">
        <f t="shared" si="29"/>
        <v>14.223306191754089</v>
      </c>
      <c r="R50" s="632">
        <f t="shared" si="22"/>
        <v>9.7228787517430639</v>
      </c>
      <c r="S50" s="632">
        <f t="shared" si="23"/>
        <v>0.35404117693636866</v>
      </c>
      <c r="T50" s="633">
        <f t="shared" si="24"/>
        <v>1.9847423997089997</v>
      </c>
      <c r="U50" s="629">
        <f t="shared" si="30"/>
        <v>45.304689633227014</v>
      </c>
    </row>
    <row r="51" spans="1:21" x14ac:dyDescent="0.2">
      <c r="A51" s="625" t="s">
        <v>1041</v>
      </c>
      <c r="B51" s="631">
        <f>'For RFM &amp; PTRM'!AI51</f>
        <v>0.17799999999999999</v>
      </c>
      <c r="C51" s="632">
        <f>'For RFM &amp; PTRM'!AJ51</f>
        <v>0.23100000000000001</v>
      </c>
      <c r="D51" s="632">
        <f>'For RFM &amp; PTRM'!AK51</f>
        <v>3.173</v>
      </c>
      <c r="E51" s="632">
        <f>'For RFM &amp; PTRM'!AL51</f>
        <v>5.8000000000000003E-2</v>
      </c>
      <c r="F51" s="633">
        <f>'For RFM &amp; PTRM'!AM51</f>
        <v>4.9000000000000002E-2</v>
      </c>
      <c r="G51" s="629">
        <f t="shared" si="25"/>
        <v>3.6889999999999996</v>
      </c>
      <c r="H51" s="630"/>
      <c r="I51" s="631">
        <f t="shared" si="26"/>
        <v>0.17365853658536587</v>
      </c>
      <c r="J51" s="632">
        <f t="shared" si="18"/>
        <v>0.21986912552052351</v>
      </c>
      <c r="K51" s="632">
        <f t="shared" si="19"/>
        <v>2.946445930848363</v>
      </c>
      <c r="L51" s="632">
        <f t="shared" si="20"/>
        <v>5.2545137398385795E-2</v>
      </c>
      <c r="M51" s="633">
        <f t="shared" si="21"/>
        <v>4.3308860092866344E-2</v>
      </c>
      <c r="N51" s="629">
        <f t="shared" si="27"/>
        <v>3.4358275904455047</v>
      </c>
      <c r="O51" s="630"/>
      <c r="P51" s="631">
        <f t="shared" si="28"/>
        <v>0.17581586820362693</v>
      </c>
      <c r="Q51" s="632">
        <f t="shared" si="29"/>
        <v>0.22260052373273675</v>
      </c>
      <c r="R51" s="632">
        <f t="shared" si="22"/>
        <v>2.9830491470973448</v>
      </c>
      <c r="S51" s="632">
        <f t="shared" si="23"/>
        <v>5.3197897052614983E-2</v>
      </c>
      <c r="T51" s="633">
        <f t="shared" si="24"/>
        <v>4.3846878983652388E-2</v>
      </c>
      <c r="U51" s="629">
        <f t="shared" si="30"/>
        <v>3.4785103150699759</v>
      </c>
    </row>
    <row r="52" spans="1:21" x14ac:dyDescent="0.2">
      <c r="A52" s="625" t="s">
        <v>1042</v>
      </c>
      <c r="B52" s="631">
        <f>'For RFM &amp; PTRM'!AI52</f>
        <v>0</v>
      </c>
      <c r="C52" s="632">
        <f>'For RFM &amp; PTRM'!AJ52</f>
        <v>0</v>
      </c>
      <c r="D52" s="632">
        <f>'For RFM &amp; PTRM'!AK52</f>
        <v>0</v>
      </c>
      <c r="E52" s="632">
        <f>'For RFM &amp; PTRM'!AL52</f>
        <v>0</v>
      </c>
      <c r="F52" s="633">
        <f>'For RFM &amp; PTRM'!AM52</f>
        <v>0</v>
      </c>
      <c r="G52" s="629">
        <f t="shared" si="25"/>
        <v>0</v>
      </c>
      <c r="H52" s="630"/>
      <c r="I52" s="631">
        <f t="shared" si="26"/>
        <v>0</v>
      </c>
      <c r="J52" s="632">
        <f t="shared" si="18"/>
        <v>0</v>
      </c>
      <c r="K52" s="632">
        <f t="shared" si="19"/>
        <v>0</v>
      </c>
      <c r="L52" s="632">
        <f t="shared" si="20"/>
        <v>0</v>
      </c>
      <c r="M52" s="633">
        <f t="shared" si="21"/>
        <v>0</v>
      </c>
      <c r="N52" s="629">
        <f t="shared" si="27"/>
        <v>0</v>
      </c>
      <c r="O52" s="630"/>
      <c r="P52" s="631">
        <f t="shared" si="28"/>
        <v>0</v>
      </c>
      <c r="Q52" s="632">
        <f t="shared" si="29"/>
        <v>0</v>
      </c>
      <c r="R52" s="632">
        <f t="shared" si="22"/>
        <v>0</v>
      </c>
      <c r="S52" s="632">
        <f t="shared" si="23"/>
        <v>0</v>
      </c>
      <c r="T52" s="633">
        <f t="shared" si="24"/>
        <v>0</v>
      </c>
      <c r="U52" s="629">
        <f t="shared" si="30"/>
        <v>0</v>
      </c>
    </row>
    <row r="53" spans="1:21" x14ac:dyDescent="0.2">
      <c r="A53" s="625" t="s">
        <v>1043</v>
      </c>
      <c r="B53" s="631">
        <f>'For RFM &amp; PTRM'!AI53</f>
        <v>11.090999999999999</v>
      </c>
      <c r="C53" s="632">
        <f>'For RFM &amp; PTRM'!AJ53</f>
        <v>11.096</v>
      </c>
      <c r="D53" s="632">
        <f>'For RFM &amp; PTRM'!AK53</f>
        <v>13.093999999999999</v>
      </c>
      <c r="E53" s="632">
        <f>'For RFM &amp; PTRM'!AL53</f>
        <v>6.37</v>
      </c>
      <c r="F53" s="633">
        <f>'For RFM &amp; PTRM'!AM53</f>
        <v>38.262</v>
      </c>
      <c r="G53" s="629">
        <f t="shared" si="25"/>
        <v>79.912999999999997</v>
      </c>
      <c r="H53" s="630"/>
      <c r="I53" s="631">
        <f t="shared" si="26"/>
        <v>10.820487804878049</v>
      </c>
      <c r="J53" s="632">
        <f t="shared" si="18"/>
        <v>10.561332540154671</v>
      </c>
      <c r="K53" s="632">
        <f t="shared" si="19"/>
        <v>12.15908068658319</v>
      </c>
      <c r="L53" s="632">
        <f t="shared" si="20"/>
        <v>5.7709056073744396</v>
      </c>
      <c r="M53" s="633">
        <f t="shared" si="21"/>
        <v>33.818032752515343</v>
      </c>
      <c r="N53" s="629">
        <f t="shared" si="27"/>
        <v>73.129839391505698</v>
      </c>
      <c r="O53" s="630"/>
      <c r="P53" s="631">
        <f t="shared" si="28"/>
        <v>10.954908956440597</v>
      </c>
      <c r="Q53" s="632">
        <f t="shared" si="29"/>
        <v>10.692534248218386</v>
      </c>
      <c r="R53" s="632">
        <f t="shared" si="22"/>
        <v>12.310130958743343</v>
      </c>
      <c r="S53" s="632">
        <f t="shared" si="23"/>
        <v>5.8425966245716792</v>
      </c>
      <c r="T53" s="633">
        <f t="shared" si="24"/>
        <v>34.238148646377702</v>
      </c>
      <c r="U53" s="629">
        <f t="shared" si="30"/>
        <v>74.038319434351706</v>
      </c>
    </row>
    <row r="54" spans="1:21" x14ac:dyDescent="0.2">
      <c r="A54" s="625" t="s">
        <v>1044</v>
      </c>
      <c r="B54" s="631">
        <f>'For RFM &amp; PTRM'!AI54</f>
        <v>0.71699999999999997</v>
      </c>
      <c r="C54" s="632">
        <f>'For RFM &amp; PTRM'!AJ54</f>
        <v>0.23599999999999999</v>
      </c>
      <c r="D54" s="632">
        <f>'For RFM &amp; PTRM'!AK54</f>
        <v>0.70799999999999996</v>
      </c>
      <c r="E54" s="632">
        <f>'For RFM &amp; PTRM'!AL54</f>
        <v>10.941000000000001</v>
      </c>
      <c r="F54" s="633">
        <f>'For RFM &amp; PTRM'!AM54</f>
        <v>0.16200000000000001</v>
      </c>
      <c r="G54" s="629">
        <f t="shared" si="25"/>
        <v>12.764000000000001</v>
      </c>
      <c r="H54" s="630"/>
      <c r="I54" s="631">
        <f t="shared" si="26"/>
        <v>0.69951219512195129</v>
      </c>
      <c r="J54" s="632">
        <f t="shared" si="18"/>
        <v>0.22462819750148721</v>
      </c>
      <c r="K54" s="632">
        <f t="shared" si="19"/>
        <v>0.65744838293118213</v>
      </c>
      <c r="L54" s="632">
        <f t="shared" si="20"/>
        <v>9.9120060047541205</v>
      </c>
      <c r="M54" s="633">
        <f t="shared" si="21"/>
        <v>0.14318439459274179</v>
      </c>
      <c r="N54" s="629">
        <f t="shared" si="27"/>
        <v>11.636779174901482</v>
      </c>
      <c r="O54" s="630"/>
      <c r="P54" s="631">
        <f t="shared" si="28"/>
        <v>0.70820212079775569</v>
      </c>
      <c r="Q54" s="632">
        <f t="shared" si="29"/>
        <v>0.22741871688712501</v>
      </c>
      <c r="R54" s="632">
        <f t="shared" si="22"/>
        <v>0.66561575674280493</v>
      </c>
      <c r="S54" s="632">
        <f t="shared" si="23"/>
        <v>10.035141235390698</v>
      </c>
      <c r="T54" s="633">
        <f t="shared" si="24"/>
        <v>0.14496315092554463</v>
      </c>
      <c r="U54" s="629">
        <f t="shared" si="30"/>
        <v>11.781340980743929</v>
      </c>
    </row>
    <row r="55" spans="1:21" x14ac:dyDescent="0.2">
      <c r="A55" s="625" t="s">
        <v>1045</v>
      </c>
      <c r="B55" s="631">
        <f>'For RFM &amp; PTRM'!AI55</f>
        <v>0.54100000000000004</v>
      </c>
      <c r="C55" s="632">
        <f>'For RFM &amp; PTRM'!AJ55</f>
        <v>0</v>
      </c>
      <c r="D55" s="632">
        <f>'For RFM &amp; PTRM'!AK55</f>
        <v>2.5000000000000001E-2</v>
      </c>
      <c r="E55" s="632">
        <f>'For RFM &amp; PTRM'!AL55</f>
        <v>1.4E-2</v>
      </c>
      <c r="F55" s="633">
        <f>'For RFM &amp; PTRM'!AM55</f>
        <v>0.129</v>
      </c>
      <c r="G55" s="629">
        <f t="shared" si="25"/>
        <v>0.70900000000000007</v>
      </c>
      <c r="H55" s="630"/>
      <c r="I55" s="631">
        <f t="shared" si="26"/>
        <v>0.52780487804878062</v>
      </c>
      <c r="J55" s="632">
        <f t="shared" si="18"/>
        <v>0</v>
      </c>
      <c r="K55" s="632">
        <f t="shared" si="19"/>
        <v>2.3214985272993722E-2</v>
      </c>
      <c r="L55" s="632">
        <f t="shared" si="20"/>
        <v>1.268330902719657E-2</v>
      </c>
      <c r="M55" s="633">
        <f t="shared" si="21"/>
        <v>0.11401720310162772</v>
      </c>
      <c r="N55" s="629">
        <f t="shared" si="27"/>
        <v>0.67772037545059871</v>
      </c>
      <c r="O55" s="630"/>
      <c r="P55" s="631">
        <f t="shared" si="28"/>
        <v>0.53436171178742808</v>
      </c>
      <c r="Q55" s="632">
        <f t="shared" si="29"/>
        <v>0</v>
      </c>
      <c r="R55" s="632">
        <f t="shared" si="22"/>
        <v>2.3503381240918254E-2</v>
      </c>
      <c r="S55" s="632">
        <f t="shared" si="23"/>
        <v>1.2840871702355339E-2</v>
      </c>
      <c r="T55" s="633">
        <f t="shared" si="24"/>
        <v>0.11543362018145219</v>
      </c>
      <c r="U55" s="629">
        <f t="shared" si="30"/>
        <v>0.68613958491215388</v>
      </c>
    </row>
    <row r="56" spans="1:21" x14ac:dyDescent="0.2">
      <c r="A56" s="625" t="s">
        <v>2271</v>
      </c>
      <c r="B56" s="631">
        <f>'For RFM &amp; PTRM'!AI56</f>
        <v>0</v>
      </c>
      <c r="C56" s="632">
        <f>'For RFM &amp; PTRM'!AJ56</f>
        <v>0</v>
      </c>
      <c r="D56" s="632">
        <f>'For RFM &amp; PTRM'!AK56</f>
        <v>0</v>
      </c>
      <c r="E56" s="632">
        <f>'For RFM &amp; PTRM'!AL56</f>
        <v>0</v>
      </c>
      <c r="F56" s="633">
        <f>'For RFM &amp; PTRM'!AM56</f>
        <v>0</v>
      </c>
      <c r="G56" s="629">
        <f t="shared" si="25"/>
        <v>0</v>
      </c>
      <c r="H56" s="630"/>
      <c r="I56" s="631">
        <f t="shared" si="26"/>
        <v>0</v>
      </c>
      <c r="J56" s="632">
        <f t="shared" si="18"/>
        <v>0</v>
      </c>
      <c r="K56" s="632">
        <f t="shared" si="19"/>
        <v>0</v>
      </c>
      <c r="L56" s="632">
        <f t="shared" si="20"/>
        <v>0</v>
      </c>
      <c r="M56" s="633">
        <f t="shared" si="21"/>
        <v>0</v>
      </c>
      <c r="N56" s="629">
        <f t="shared" si="27"/>
        <v>0</v>
      </c>
      <c r="O56" s="630"/>
      <c r="P56" s="631">
        <f t="shared" si="28"/>
        <v>0</v>
      </c>
      <c r="Q56" s="632">
        <f t="shared" si="29"/>
        <v>0</v>
      </c>
      <c r="R56" s="632">
        <f t="shared" si="22"/>
        <v>0</v>
      </c>
      <c r="S56" s="632">
        <f t="shared" si="23"/>
        <v>0</v>
      </c>
      <c r="T56" s="633">
        <f t="shared" si="24"/>
        <v>0</v>
      </c>
      <c r="U56" s="629">
        <f t="shared" si="30"/>
        <v>0</v>
      </c>
    </row>
    <row r="57" spans="1:21" x14ac:dyDescent="0.2">
      <c r="A57" s="625" t="s">
        <v>2272</v>
      </c>
      <c r="B57" s="631">
        <f>'For RFM &amp; PTRM'!AI57</f>
        <v>0</v>
      </c>
      <c r="C57" s="632">
        <f>'For RFM &amp; PTRM'!AJ57</f>
        <v>0</v>
      </c>
      <c r="D57" s="632">
        <f>'For RFM &amp; PTRM'!AK57</f>
        <v>0</v>
      </c>
      <c r="E57" s="632">
        <f>'For RFM &amp; PTRM'!AL57</f>
        <v>0</v>
      </c>
      <c r="F57" s="633">
        <f>'For RFM &amp; PTRM'!AM57</f>
        <v>0</v>
      </c>
      <c r="G57" s="629">
        <f t="shared" si="25"/>
        <v>0</v>
      </c>
      <c r="H57" s="630"/>
      <c r="I57" s="631">
        <f t="shared" si="26"/>
        <v>0</v>
      </c>
      <c r="J57" s="632">
        <f t="shared" si="18"/>
        <v>0</v>
      </c>
      <c r="K57" s="632">
        <f t="shared" si="19"/>
        <v>0</v>
      </c>
      <c r="L57" s="632">
        <f t="shared" si="20"/>
        <v>0</v>
      </c>
      <c r="M57" s="633">
        <f t="shared" si="21"/>
        <v>0</v>
      </c>
      <c r="N57" s="629">
        <f t="shared" si="27"/>
        <v>0</v>
      </c>
      <c r="O57" s="630"/>
      <c r="P57" s="631">
        <f t="shared" si="28"/>
        <v>0</v>
      </c>
      <c r="Q57" s="632">
        <f t="shared" si="29"/>
        <v>0</v>
      </c>
      <c r="R57" s="632">
        <f t="shared" si="22"/>
        <v>0</v>
      </c>
      <c r="S57" s="632">
        <f t="shared" si="23"/>
        <v>0</v>
      </c>
      <c r="T57" s="633">
        <f t="shared" si="24"/>
        <v>0</v>
      </c>
      <c r="U57" s="629">
        <f t="shared" si="30"/>
        <v>0</v>
      </c>
    </row>
    <row r="58" spans="1:21" x14ac:dyDescent="0.2">
      <c r="A58" s="625" t="s">
        <v>2273</v>
      </c>
      <c r="B58" s="631">
        <f>'For RFM &amp; PTRM'!AI58</f>
        <v>0</v>
      </c>
      <c r="C58" s="632">
        <f>'For RFM &amp; PTRM'!AJ58</f>
        <v>0</v>
      </c>
      <c r="D58" s="632">
        <f>'For RFM &amp; PTRM'!AK58</f>
        <v>0</v>
      </c>
      <c r="E58" s="632">
        <f>'For RFM &amp; PTRM'!AL58</f>
        <v>0</v>
      </c>
      <c r="F58" s="633">
        <f>'For RFM &amp; PTRM'!AM58</f>
        <v>0</v>
      </c>
      <c r="G58" s="629">
        <f t="shared" si="25"/>
        <v>0</v>
      </c>
      <c r="H58" s="630"/>
      <c r="I58" s="631">
        <f t="shared" si="26"/>
        <v>0</v>
      </c>
      <c r="J58" s="632">
        <f t="shared" si="18"/>
        <v>0</v>
      </c>
      <c r="K58" s="632">
        <f t="shared" si="19"/>
        <v>0</v>
      </c>
      <c r="L58" s="632">
        <f t="shared" si="20"/>
        <v>0</v>
      </c>
      <c r="M58" s="633">
        <f t="shared" si="21"/>
        <v>0</v>
      </c>
      <c r="N58" s="629">
        <f t="shared" si="27"/>
        <v>0</v>
      </c>
      <c r="O58" s="630"/>
      <c r="P58" s="631">
        <f t="shared" si="28"/>
        <v>0</v>
      </c>
      <c r="Q58" s="632">
        <f t="shared" si="29"/>
        <v>0</v>
      </c>
      <c r="R58" s="632">
        <f t="shared" si="22"/>
        <v>0</v>
      </c>
      <c r="S58" s="632">
        <f t="shared" si="23"/>
        <v>0</v>
      </c>
      <c r="T58" s="633">
        <f t="shared" si="24"/>
        <v>0</v>
      </c>
      <c r="U58" s="629">
        <f t="shared" si="30"/>
        <v>0</v>
      </c>
    </row>
    <row r="59" spans="1:21" x14ac:dyDescent="0.2">
      <c r="A59" s="625" t="s">
        <v>1059</v>
      </c>
      <c r="B59" s="631">
        <f>'For RFM &amp; PTRM'!AI59</f>
        <v>0</v>
      </c>
      <c r="C59" s="632">
        <f>'For RFM &amp; PTRM'!AJ59</f>
        <v>0</v>
      </c>
      <c r="D59" s="632">
        <f>'For RFM &amp; PTRM'!AK59</f>
        <v>0</v>
      </c>
      <c r="E59" s="632">
        <f>'For RFM &amp; PTRM'!AL59</f>
        <v>0</v>
      </c>
      <c r="F59" s="633">
        <f>'For RFM &amp; PTRM'!AM59</f>
        <v>0</v>
      </c>
      <c r="G59" s="629">
        <f t="shared" si="25"/>
        <v>0</v>
      </c>
      <c r="H59" s="630"/>
      <c r="I59" s="631">
        <f t="shared" si="26"/>
        <v>0</v>
      </c>
      <c r="J59" s="632">
        <f t="shared" si="18"/>
        <v>0</v>
      </c>
      <c r="K59" s="632">
        <f t="shared" si="19"/>
        <v>0</v>
      </c>
      <c r="L59" s="632">
        <f t="shared" si="20"/>
        <v>0</v>
      </c>
      <c r="M59" s="633">
        <f t="shared" si="21"/>
        <v>0</v>
      </c>
      <c r="N59" s="629">
        <f t="shared" si="27"/>
        <v>0</v>
      </c>
      <c r="O59" s="630"/>
      <c r="P59" s="631">
        <f t="shared" si="28"/>
        <v>0</v>
      </c>
      <c r="Q59" s="632">
        <f t="shared" si="29"/>
        <v>0</v>
      </c>
      <c r="R59" s="632">
        <f t="shared" si="22"/>
        <v>0</v>
      </c>
      <c r="S59" s="632">
        <f t="shared" si="23"/>
        <v>0</v>
      </c>
      <c r="T59" s="633">
        <f t="shared" si="24"/>
        <v>0</v>
      </c>
      <c r="U59" s="629">
        <f t="shared" si="30"/>
        <v>0</v>
      </c>
    </row>
    <row r="60" spans="1:21" x14ac:dyDescent="0.2">
      <c r="A60" s="625" t="s">
        <v>1060</v>
      </c>
      <c r="B60" s="631">
        <f>'For RFM &amp; PTRM'!AI60</f>
        <v>0</v>
      </c>
      <c r="C60" s="632">
        <f>'For RFM &amp; PTRM'!AJ60</f>
        <v>0</v>
      </c>
      <c r="D60" s="632">
        <f>'For RFM &amp; PTRM'!AK60</f>
        <v>0</v>
      </c>
      <c r="E60" s="632">
        <f>'For RFM &amp; PTRM'!AL60</f>
        <v>0</v>
      </c>
      <c r="F60" s="633">
        <f>'For RFM &amp; PTRM'!AM60</f>
        <v>0</v>
      </c>
      <c r="G60" s="629">
        <f t="shared" si="25"/>
        <v>0</v>
      </c>
      <c r="H60" s="630"/>
      <c r="I60" s="631">
        <f t="shared" si="26"/>
        <v>0</v>
      </c>
      <c r="J60" s="632">
        <f t="shared" si="18"/>
        <v>0</v>
      </c>
      <c r="K60" s="632">
        <f t="shared" si="19"/>
        <v>0</v>
      </c>
      <c r="L60" s="632">
        <f t="shared" si="20"/>
        <v>0</v>
      </c>
      <c r="M60" s="633">
        <f t="shared" si="21"/>
        <v>0</v>
      </c>
      <c r="N60" s="629">
        <f t="shared" si="27"/>
        <v>0</v>
      </c>
      <c r="O60" s="630"/>
      <c r="P60" s="631">
        <f t="shared" si="28"/>
        <v>0</v>
      </c>
      <c r="Q60" s="632">
        <f t="shared" si="29"/>
        <v>0</v>
      </c>
      <c r="R60" s="632">
        <f t="shared" si="22"/>
        <v>0</v>
      </c>
      <c r="S60" s="632">
        <f t="shared" si="23"/>
        <v>0</v>
      </c>
      <c r="T60" s="633">
        <f t="shared" si="24"/>
        <v>0</v>
      </c>
      <c r="U60" s="629">
        <f t="shared" si="30"/>
        <v>0</v>
      </c>
    </row>
    <row r="61" spans="1:21" x14ac:dyDescent="0.2">
      <c r="A61" s="625" t="s">
        <v>1047</v>
      </c>
      <c r="B61" s="631">
        <f>'For RFM &amp; PTRM'!AI61</f>
        <v>0</v>
      </c>
      <c r="C61" s="632">
        <f>'For RFM &amp; PTRM'!AJ61</f>
        <v>0</v>
      </c>
      <c r="D61" s="632">
        <f>'For RFM &amp; PTRM'!AK61</f>
        <v>0</v>
      </c>
      <c r="E61" s="632">
        <f>'For RFM &amp; PTRM'!AL61</f>
        <v>0</v>
      </c>
      <c r="F61" s="633">
        <f>'For RFM &amp; PTRM'!AM61</f>
        <v>0</v>
      </c>
      <c r="G61" s="629">
        <f t="shared" si="25"/>
        <v>0</v>
      </c>
      <c r="H61" s="630"/>
      <c r="I61" s="631">
        <f t="shared" si="26"/>
        <v>0</v>
      </c>
      <c r="J61" s="632">
        <f t="shared" si="18"/>
        <v>0</v>
      </c>
      <c r="K61" s="632">
        <f t="shared" si="19"/>
        <v>0</v>
      </c>
      <c r="L61" s="632">
        <f t="shared" si="20"/>
        <v>0</v>
      </c>
      <c r="M61" s="633">
        <f t="shared" si="21"/>
        <v>0</v>
      </c>
      <c r="N61" s="629">
        <f t="shared" si="27"/>
        <v>0</v>
      </c>
      <c r="O61" s="630"/>
      <c r="P61" s="631">
        <f t="shared" si="28"/>
        <v>0</v>
      </c>
      <c r="Q61" s="632">
        <f t="shared" si="29"/>
        <v>0</v>
      </c>
      <c r="R61" s="632">
        <f t="shared" si="22"/>
        <v>0</v>
      </c>
      <c r="S61" s="632">
        <f t="shared" si="23"/>
        <v>0</v>
      </c>
      <c r="T61" s="633">
        <f t="shared" si="24"/>
        <v>0</v>
      </c>
      <c r="U61" s="629">
        <f t="shared" si="30"/>
        <v>0</v>
      </c>
    </row>
    <row r="62" spans="1:21" x14ac:dyDescent="0.2">
      <c r="A62" s="625" t="s">
        <v>2985</v>
      </c>
      <c r="B62" s="631">
        <f>'For RFM &amp; PTRM'!AI62</f>
        <v>19.706</v>
      </c>
      <c r="C62" s="632">
        <f>'For RFM &amp; PTRM'!AJ62</f>
        <v>14.433</v>
      </c>
      <c r="D62" s="632">
        <f>'For RFM &amp; PTRM'!AK62</f>
        <v>4.1429999999999998</v>
      </c>
      <c r="E62" s="632">
        <f>'For RFM &amp; PTRM'!AL62</f>
        <v>0.30199999999999999</v>
      </c>
      <c r="F62" s="633">
        <f>'For RFM &amp; PTRM'!AM62</f>
        <v>10.779</v>
      </c>
      <c r="G62" s="629">
        <f t="shared" si="25"/>
        <v>49.363</v>
      </c>
      <c r="H62" s="630"/>
      <c r="I62" s="631">
        <f t="shared" si="26"/>
        <v>19.225365853658538</v>
      </c>
      <c r="J62" s="632">
        <f t="shared" si="18"/>
        <v>13.737537180249852</v>
      </c>
      <c r="K62" s="632">
        <f t="shared" si="19"/>
        <v>3.847187359440519</v>
      </c>
      <c r="L62" s="632">
        <f t="shared" si="20"/>
        <v>0.27359709472952598</v>
      </c>
      <c r="M62" s="633">
        <f t="shared" si="21"/>
        <v>9.5270653661429847</v>
      </c>
      <c r="N62" s="629">
        <f t="shared" si="27"/>
        <v>46.610752854221417</v>
      </c>
      <c r="O62" s="630"/>
      <c r="P62" s="631">
        <f t="shared" si="28"/>
        <v>19.464199431576812</v>
      </c>
      <c r="Q62" s="632">
        <f t="shared" si="29"/>
        <v>13.908196359457099</v>
      </c>
      <c r="R62" s="632">
        <f t="shared" si="22"/>
        <v>3.8949803392449724</v>
      </c>
      <c r="S62" s="632">
        <f t="shared" si="23"/>
        <v>0.2769959467222366</v>
      </c>
      <c r="T62" s="633">
        <f t="shared" si="24"/>
        <v>9.6454185421385503</v>
      </c>
      <c r="U62" s="629">
        <f t="shared" si="30"/>
        <v>47.189790619139671</v>
      </c>
    </row>
    <row r="63" spans="1:21" x14ac:dyDescent="0.2">
      <c r="A63" s="625" t="s">
        <v>3051</v>
      </c>
      <c r="B63" s="631">
        <f>'For RFM &amp; PTRM'!AI63</f>
        <v>11.157999999999999</v>
      </c>
      <c r="C63" s="632">
        <f>'For RFM &amp; PTRM'!AJ63</f>
        <v>10.483000000000001</v>
      </c>
      <c r="D63" s="632">
        <f>'For RFM &amp; PTRM'!AK63</f>
        <v>23.611999999999998</v>
      </c>
      <c r="E63" s="632">
        <f>'For RFM &amp; PTRM'!AL63</f>
        <v>66.878</v>
      </c>
      <c r="F63" s="633">
        <f>'For RFM &amp; PTRM'!AM63</f>
        <v>74.935000000000002</v>
      </c>
      <c r="G63" s="629">
        <f t="shared" si="25"/>
        <v>187.066</v>
      </c>
      <c r="H63" s="630"/>
      <c r="I63" s="631">
        <f t="shared" si="26"/>
        <v>10.885853658536586</v>
      </c>
      <c r="J63" s="632">
        <f t="shared" si="18"/>
        <v>9.97787031528852</v>
      </c>
      <c r="K63" s="632">
        <f t="shared" si="19"/>
        <v>21.926089290637108</v>
      </c>
      <c r="L63" s="632">
        <f t="shared" si="20"/>
        <v>60.588167222918017</v>
      </c>
      <c r="M63" s="633">
        <f t="shared" si="21"/>
        <v>66.231621042019171</v>
      </c>
      <c r="N63" s="629">
        <f t="shared" si="27"/>
        <v>169.60960152939941</v>
      </c>
      <c r="O63" s="630"/>
      <c r="P63" s="631">
        <f t="shared" si="28"/>
        <v>11.021086839416121</v>
      </c>
      <c r="Q63" s="632">
        <f t="shared" si="29"/>
        <v>10.101823767490387</v>
      </c>
      <c r="R63" s="632">
        <f t="shared" si="22"/>
        <v>22.198473514422471</v>
      </c>
      <c r="S63" s="632">
        <f t="shared" si="23"/>
        <v>61.340844122151459</v>
      </c>
      <c r="T63" s="633">
        <f t="shared" si="24"/>
        <v>67.054405645714112</v>
      </c>
      <c r="U63" s="629">
        <f t="shared" si="30"/>
        <v>171.71663388919455</v>
      </c>
    </row>
    <row r="64" spans="1:21" ht="13.5" thickBot="1" x14ac:dyDescent="0.25">
      <c r="A64" s="634" t="s">
        <v>639</v>
      </c>
      <c r="B64" s="635">
        <f>'For RFM &amp; PTRM'!AI64</f>
        <v>130.24199999999996</v>
      </c>
      <c r="C64" s="636">
        <f>'For RFM &amp; PTRM'!AJ64</f>
        <v>72.448999999999998</v>
      </c>
      <c r="D64" s="636">
        <f>'For RFM &amp; PTRM'!AK64</f>
        <v>96.012999999999991</v>
      </c>
      <c r="E64" s="636">
        <f>'For RFM &amp; PTRM'!AL64</f>
        <v>109.041</v>
      </c>
      <c r="F64" s="637">
        <f>'For RFM &amp; PTRM'!AM64</f>
        <v>177.75400000000002</v>
      </c>
      <c r="G64" s="638">
        <f>SUM(G39:G63)</f>
        <v>585.49900000000002</v>
      </c>
      <c r="H64" s="630"/>
      <c r="I64" s="635">
        <f t="shared" ref="I64" si="31">SUM(I39:I63)</f>
        <v>127.06536585365858</v>
      </c>
      <c r="J64" s="636">
        <f t="shared" ref="J64" si="32">SUM(J39:J63)</f>
        <v>68.958001189767998</v>
      </c>
      <c r="K64" s="636">
        <f t="shared" ref="K64" si="33">SUM(K39:K63)</f>
        <v>89.157615240637838</v>
      </c>
      <c r="L64" s="636">
        <f t="shared" ref="L64" si="34">SUM(L39:L63)</f>
        <v>98.78576425961009</v>
      </c>
      <c r="M64" s="637">
        <f>SUM(M39:M63)</f>
        <v>157.10863503974213</v>
      </c>
      <c r="N64" s="638">
        <f>SUM(N39:N63)</f>
        <v>541.07538158341663</v>
      </c>
      <c r="O64" s="630"/>
      <c r="P64" s="635">
        <f t="shared" ref="P64:S64" si="35">SUM(P39:P63)</f>
        <v>128.64387812683583</v>
      </c>
      <c r="Q64" s="636">
        <f t="shared" si="35"/>
        <v>69.814655168454749</v>
      </c>
      <c r="R64" s="636">
        <f t="shared" si="35"/>
        <v>90.265205723371366</v>
      </c>
      <c r="S64" s="636">
        <f t="shared" si="35"/>
        <v>100.01296366403776</v>
      </c>
      <c r="T64" s="637">
        <f>SUM(T39:T63)</f>
        <v>159.06036993592136</v>
      </c>
      <c r="U64" s="638">
        <f>SUM(U39:U63)</f>
        <v>547.79707261862109</v>
      </c>
    </row>
  </sheetData>
  <pageMargins left="0.28000000000000003" right="0.18" top="0.24" bottom="0.27" header="0.17" footer="0.17"/>
  <pageSetup paperSize="9" scale="64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E62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9.140625" defaultRowHeight="12.75" x14ac:dyDescent="0.2"/>
  <cols>
    <col min="1" max="1" width="57.85546875" style="547" customWidth="1"/>
    <col min="2" max="2" width="10.85546875" style="547" customWidth="1"/>
    <col min="3" max="3" width="9" style="547" bestFit="1" customWidth="1"/>
    <col min="4" max="4" width="9.28515625" style="547" customWidth="1"/>
    <col min="5" max="7" width="9.140625" style="547"/>
    <col min="8" max="8" width="11.42578125" style="547" bestFit="1" customWidth="1"/>
    <col min="9" max="9" width="9.140625" style="547"/>
    <col min="10" max="10" width="13.140625" style="547" customWidth="1"/>
    <col min="11" max="12" width="9.140625" style="547"/>
    <col min="13" max="13" width="9" style="547" bestFit="1" customWidth="1"/>
    <col min="14" max="14" width="27.140625" style="547" bestFit="1" customWidth="1"/>
    <col min="15" max="15" width="10.28515625" style="547" bestFit="1" customWidth="1"/>
    <col min="16" max="16" width="11.28515625" style="547" bestFit="1" customWidth="1"/>
    <col min="17" max="19" width="11.42578125" style="547" bestFit="1" customWidth="1"/>
    <col min="20" max="20" width="10.28515625" style="547" bestFit="1" customWidth="1"/>
    <col min="21" max="21" width="9.140625" style="547"/>
    <col min="22" max="22" width="12.42578125" style="547" bestFit="1" customWidth="1"/>
    <col min="23" max="16384" width="9.140625" style="547"/>
  </cols>
  <sheetData>
    <row r="1" spans="1:4" ht="15" x14ac:dyDescent="0.25">
      <c r="B1" s="673" t="str">
        <f>IF(Incurred!$B$15&lt;&gt;"$Nominal","ERROR: Incurred spend A18 must be set to 0 for $Nominal","OK. Incurred spend set to $Nominal")</f>
        <v>OK. Incurred spend set to $Nominal</v>
      </c>
    </row>
    <row r="3" spans="1:4" x14ac:dyDescent="0.2">
      <c r="A3" s="608" t="s">
        <v>3006</v>
      </c>
    </row>
    <row r="4" spans="1:4" x14ac:dyDescent="0.2">
      <c r="A4" s="547" t="str">
        <f>'For RFM &amp; PTRM'!AE6</f>
        <v>$m Nominal</v>
      </c>
      <c r="B4" s="578" t="str">
        <f>'For RFM &amp; PTRM'!AF6</f>
        <v>RFM</v>
      </c>
      <c r="C4" s="578" t="str">
        <f>'For RFM &amp; PTRM'!AG6</f>
        <v>RFM</v>
      </c>
      <c r="D4" s="578" t="str">
        <f>'For RFM &amp; PTRM'!AH6</f>
        <v>RFM</v>
      </c>
    </row>
    <row r="5" spans="1:4" x14ac:dyDescent="0.2">
      <c r="A5" s="579" t="str">
        <f>'For RFM &amp; PTRM'!AE7</f>
        <v>INCURRED</v>
      </c>
      <c r="B5" s="580" t="str">
        <f>'For RFM &amp; PTRM'!AF7</f>
        <v>F16</v>
      </c>
      <c r="C5" s="580" t="str">
        <f>'For RFM &amp; PTRM'!AG7</f>
        <v>F17</v>
      </c>
      <c r="D5" s="580" t="str">
        <f>'For RFM &amp; PTRM'!AH7</f>
        <v>F18</v>
      </c>
    </row>
    <row r="6" spans="1:4" x14ac:dyDescent="0.2">
      <c r="A6" s="39" t="str">
        <f>'For RFM &amp; PTRM'!AE8</f>
        <v>Commercial Buildings</v>
      </c>
      <c r="B6" s="630">
        <f>'For RFM &amp; PTRM'!AF8</f>
        <v>1.0740000000000001</v>
      </c>
      <c r="C6" s="630">
        <f>'For RFM &amp; PTRM'!AG8</f>
        <v>0.61099999999999999</v>
      </c>
      <c r="D6" s="630">
        <f>'For RFM &amp; PTRM'!AH8</f>
        <v>8.2260000000000009</v>
      </c>
    </row>
    <row r="7" spans="1:4" x14ac:dyDescent="0.2">
      <c r="A7" s="39" t="str">
        <f>'For RFM &amp; PTRM'!AE9</f>
        <v>Communications - Civil</v>
      </c>
      <c r="B7" s="630">
        <f>'For RFM &amp; PTRM'!AF9</f>
        <v>4.0510000000000002</v>
      </c>
      <c r="C7" s="630">
        <f>'For RFM &amp; PTRM'!AG9</f>
        <v>1.3260000000000001</v>
      </c>
      <c r="D7" s="630">
        <f>'For RFM &amp; PTRM'!AH9</f>
        <v>8.2609999999999992</v>
      </c>
    </row>
    <row r="8" spans="1:4" x14ac:dyDescent="0.2">
      <c r="A8" s="39" t="str">
        <f>'For RFM &amp; PTRM'!AE10</f>
        <v>Communications - Other</v>
      </c>
      <c r="B8" s="630">
        <f>'For RFM &amp; PTRM'!AF10</f>
        <v>16.776</v>
      </c>
      <c r="C8" s="630">
        <f>'For RFM &amp; PTRM'!AG10</f>
        <v>6.21</v>
      </c>
      <c r="D8" s="630">
        <f>'For RFM &amp; PTRM'!AH10</f>
        <v>11.797000000000001</v>
      </c>
    </row>
    <row r="9" spans="1:4" x14ac:dyDescent="0.2">
      <c r="A9" s="582" t="str">
        <f>'For RFM &amp; PTRM'!AE11</f>
        <v>Computers, software, and office machines</v>
      </c>
      <c r="B9" s="630">
        <f>'For RFM &amp; PTRM'!AF11</f>
        <v>11.000999999999999</v>
      </c>
      <c r="C9" s="630">
        <f>'For RFM &amp; PTRM'!AG11</f>
        <v>16.579000000000001</v>
      </c>
      <c r="D9" s="630">
        <f>'For RFM &amp; PTRM'!AH11</f>
        <v>26.62</v>
      </c>
    </row>
    <row r="10" spans="1:4" x14ac:dyDescent="0.2">
      <c r="A10" s="39" t="str">
        <f>'For RFM &amp; PTRM'!AE12</f>
        <v>Easement</v>
      </c>
      <c r="B10" s="630">
        <f>'For RFM &amp; PTRM'!AF12</f>
        <v>3.379</v>
      </c>
      <c r="C10" s="630">
        <f>'For RFM &amp; PTRM'!AG12</f>
        <v>1.1739999999999999</v>
      </c>
      <c r="D10" s="630">
        <f>'For RFM &amp; PTRM'!AH12</f>
        <v>0.94399999999999995</v>
      </c>
    </row>
    <row r="11" spans="1:4" x14ac:dyDescent="0.2">
      <c r="A11" s="582" t="str">
        <f>'For RFM &amp; PTRM'!AE13</f>
        <v>Land</v>
      </c>
      <c r="B11" s="630">
        <f>'For RFM &amp; PTRM'!AF13</f>
        <v>2.3980000000000001</v>
      </c>
      <c r="C11" s="630">
        <f>'For RFM &amp; PTRM'!AG13</f>
        <v>5.91</v>
      </c>
      <c r="D11" s="630">
        <f>'For RFM &amp; PTRM'!AH13</f>
        <v>0.81</v>
      </c>
    </row>
    <row r="12" spans="1:4" x14ac:dyDescent="0.2">
      <c r="A12" s="582" t="str">
        <f>'For RFM &amp; PTRM'!AE14</f>
        <v>Network Switching Centres</v>
      </c>
      <c r="B12" s="630">
        <f>'For RFM &amp; PTRM'!AF14</f>
        <v>0.64400000000000002</v>
      </c>
      <c r="C12" s="630">
        <f>'For RFM &amp; PTRM'!AG14</f>
        <v>9.6000000000000002E-2</v>
      </c>
      <c r="D12" s="630">
        <f>'For RFM &amp; PTRM'!AH14</f>
        <v>2.2200000000000002</v>
      </c>
    </row>
    <row r="13" spans="1:4" x14ac:dyDescent="0.2">
      <c r="A13" s="582" t="str">
        <f>'For RFM &amp; PTRM'!AE15</f>
        <v>Office furniture, movable plant, and misc</v>
      </c>
      <c r="B13" s="630">
        <f>'For RFM &amp; PTRM'!AF15</f>
        <v>1.236</v>
      </c>
      <c r="C13" s="630">
        <f>'For RFM &amp; PTRM'!AG15</f>
        <v>6.2480000000000002</v>
      </c>
      <c r="D13" s="630">
        <f>'For RFM &amp; PTRM'!AH15</f>
        <v>7.5970000000000004</v>
      </c>
    </row>
    <row r="14" spans="1:4" x14ac:dyDescent="0.2">
      <c r="A14" s="582" t="str">
        <f>'For RFM &amp; PTRM'!AE16</f>
        <v>Refurbishment</v>
      </c>
      <c r="B14" s="630">
        <f>'For RFM &amp; PTRM'!AF16</f>
        <v>0</v>
      </c>
      <c r="C14" s="630">
        <f>'For RFM &amp; PTRM'!AG16</f>
        <v>0</v>
      </c>
      <c r="D14" s="630">
        <f>'For RFM &amp; PTRM'!AH16</f>
        <v>0</v>
      </c>
    </row>
    <row r="15" spans="1:4" x14ac:dyDescent="0.2">
      <c r="A15" s="582" t="str">
        <f>'For RFM &amp; PTRM'!AE17</f>
        <v>Substation Primary Plant</v>
      </c>
      <c r="B15" s="630">
        <f>'For RFM &amp; PTRM'!AF17</f>
        <v>39.893999999999998</v>
      </c>
      <c r="C15" s="630">
        <f>'For RFM &amp; PTRM'!AG17</f>
        <v>37.945999999999998</v>
      </c>
      <c r="D15" s="630">
        <f>'For RFM &amp; PTRM'!AH17</f>
        <v>32.697000000000003</v>
      </c>
    </row>
    <row r="16" spans="1:4" x14ac:dyDescent="0.2">
      <c r="A16" s="582" t="str">
        <f>'For RFM &amp; PTRM'!AE18</f>
        <v>Substation Demountable Buildings</v>
      </c>
      <c r="B16" s="630">
        <f>'For RFM &amp; PTRM'!AF18</f>
        <v>2.3849999999999998</v>
      </c>
      <c r="C16" s="630">
        <f>'For RFM &amp; PTRM'!AG18</f>
        <v>0.34699999999999998</v>
      </c>
      <c r="D16" s="630">
        <f>'For RFM &amp; PTRM'!AH18</f>
        <v>4.181</v>
      </c>
    </row>
    <row r="17" spans="1:5" x14ac:dyDescent="0.2">
      <c r="A17" s="582" t="str">
        <f>'For RFM &amp; PTRM'!AE19</f>
        <v>Substation Establishment</v>
      </c>
      <c r="B17" s="630">
        <f>'For RFM &amp; PTRM'!AF19</f>
        <v>17.943000000000001</v>
      </c>
      <c r="C17" s="630">
        <f>'For RFM &amp; PTRM'!AG19</f>
        <v>20.521000000000001</v>
      </c>
      <c r="D17" s="630">
        <f>'For RFM &amp; PTRM'!AH19</f>
        <v>17.605</v>
      </c>
    </row>
    <row r="18" spans="1:5" x14ac:dyDescent="0.2">
      <c r="A18" s="582" t="str">
        <f>'For RFM &amp; PTRM'!AE20</f>
        <v>Substation Fences</v>
      </c>
      <c r="B18" s="630">
        <f>'For RFM &amp; PTRM'!AF20</f>
        <v>1.4890000000000001</v>
      </c>
      <c r="C18" s="630">
        <f>'For RFM &amp; PTRM'!AG20</f>
        <v>0.26500000000000001</v>
      </c>
      <c r="D18" s="630">
        <f>'For RFM &amp; PTRM'!AH20</f>
        <v>0.39200000000000002</v>
      </c>
    </row>
    <row r="19" spans="1:5" x14ac:dyDescent="0.2">
      <c r="A19" s="582" t="str">
        <f>'For RFM &amp; PTRM'!AE21</f>
        <v>Substation Secondary Systems - Electro-mechanical</v>
      </c>
      <c r="B19" s="630">
        <f>'For RFM &amp; PTRM'!AF21</f>
        <v>-4.1360000000000001</v>
      </c>
      <c r="C19" s="630">
        <f>'For RFM &amp; PTRM'!AG21</f>
        <v>0</v>
      </c>
      <c r="D19" s="630">
        <f>'For RFM &amp; PTRM'!AH21</f>
        <v>0</v>
      </c>
    </row>
    <row r="20" spans="1:5" x14ac:dyDescent="0.2">
      <c r="A20" s="582" t="str">
        <f>'For RFM &amp; PTRM'!AE22</f>
        <v>Substation Secondary Systems - Electronic</v>
      </c>
      <c r="B20" s="630">
        <f>'For RFM &amp; PTRM'!AF22</f>
        <v>29.45</v>
      </c>
      <c r="C20" s="630">
        <f>'For RFM &amp; PTRM'!AG22</f>
        <v>17.338000000000001</v>
      </c>
      <c r="D20" s="630">
        <f>'For RFM &amp; PTRM'!AH22</f>
        <v>27.818999999999999</v>
      </c>
    </row>
    <row r="21" spans="1:5" x14ac:dyDescent="0.2">
      <c r="A21" s="582" t="str">
        <f>'For RFM &amp; PTRM'!AE23</f>
        <v>Transmission lines - Overhead</v>
      </c>
      <c r="B21" s="630">
        <f>'For RFM &amp; PTRM'!AF23</f>
        <v>9.8079999999999998</v>
      </c>
      <c r="C21" s="630">
        <f>'For RFM &amp; PTRM'!AG23</f>
        <v>11.914</v>
      </c>
      <c r="D21" s="630">
        <f>'For RFM &amp; PTRM'!AH23</f>
        <v>6.31</v>
      </c>
    </row>
    <row r="22" spans="1:5" x14ac:dyDescent="0.2">
      <c r="A22" s="582" t="str">
        <f>'For RFM &amp; PTRM'!AE24</f>
        <v>Transmission lines - Underground</v>
      </c>
      <c r="B22" s="630">
        <f>'For RFM &amp; PTRM'!AF24</f>
        <v>1.748</v>
      </c>
      <c r="C22" s="630">
        <f>'For RFM &amp; PTRM'!AG24</f>
        <v>0.52</v>
      </c>
      <c r="D22" s="630">
        <f>'For RFM &amp; PTRM'!AH24</f>
        <v>1.639</v>
      </c>
    </row>
    <row r="23" spans="1:5" x14ac:dyDescent="0.2">
      <c r="A23" s="582" t="str">
        <f>'For RFM &amp; PTRM'!AE25</f>
        <v>Working Capital</v>
      </c>
      <c r="B23" s="630">
        <f>'For RFM &amp; PTRM'!AF25</f>
        <v>0</v>
      </c>
      <c r="C23" s="630">
        <f>'For RFM &amp; PTRM'!AG25</f>
        <v>0</v>
      </c>
      <c r="D23" s="630">
        <f>'For RFM &amp; PTRM'!AH25</f>
        <v>0</v>
      </c>
    </row>
    <row r="24" spans="1:5" x14ac:dyDescent="0.2">
      <c r="A24" s="582" t="str">
        <f>'For RFM &amp; PTRM'!AE26</f>
        <v>Accelerated Depreciation</v>
      </c>
      <c r="B24" s="630">
        <f>'For RFM &amp; PTRM'!AF26</f>
        <v>0</v>
      </c>
      <c r="C24" s="630">
        <f>'For RFM &amp; PTRM'!AG26</f>
        <v>0</v>
      </c>
      <c r="D24" s="630">
        <f>'For RFM &amp; PTRM'!AH26</f>
        <v>0</v>
      </c>
    </row>
    <row r="25" spans="1:5" x14ac:dyDescent="0.2">
      <c r="A25" s="582" t="str">
        <f>'For RFM &amp; PTRM'!AE27</f>
        <v>Refurbishment Projects 2008-2013</v>
      </c>
      <c r="B25" s="630">
        <f>'For RFM &amp; PTRM'!AF27</f>
        <v>0</v>
      </c>
      <c r="C25" s="630">
        <f>'For RFM &amp; PTRM'!AG27</f>
        <v>0</v>
      </c>
      <c r="D25" s="630">
        <f>'For RFM &amp; PTRM'!AH27</f>
        <v>0</v>
      </c>
    </row>
    <row r="26" spans="1:5" x14ac:dyDescent="0.2">
      <c r="A26" s="582" t="str">
        <f>'For RFM &amp; PTRM'!AE28</f>
        <v>Equity Raising Cost - 2003 Opening RAB and 2003-08 capex</v>
      </c>
      <c r="B26" s="630">
        <f>'For RFM &amp; PTRM'!AF28</f>
        <v>0</v>
      </c>
      <c r="C26" s="630">
        <f>'For RFM &amp; PTRM'!AG28</f>
        <v>0</v>
      </c>
      <c r="D26" s="630">
        <f>'For RFM &amp; PTRM'!AH28</f>
        <v>0</v>
      </c>
    </row>
    <row r="27" spans="1:5" x14ac:dyDescent="0.2">
      <c r="A27" s="582" t="str">
        <f>'For RFM &amp; PTRM'!AE29</f>
        <v>Equity Raising Cost 2013-2018</v>
      </c>
      <c r="B27" s="630">
        <f>'For RFM &amp; PTRM'!AF29</f>
        <v>0</v>
      </c>
      <c r="C27" s="630">
        <f>'For RFM &amp; PTRM'!AG29</f>
        <v>0</v>
      </c>
      <c r="D27" s="630">
        <f>'For RFM &amp; PTRM'!AH29</f>
        <v>0</v>
      </c>
    </row>
    <row r="28" spans="1:5" x14ac:dyDescent="0.2">
      <c r="A28" s="582" t="str">
        <f>'For RFM &amp; PTRM'!AE30</f>
        <v>Transmission Line Refit - insulators replacement 2013-18</v>
      </c>
      <c r="B28" s="630">
        <f>'For RFM &amp; PTRM'!AF30</f>
        <v>27.207999999999998</v>
      </c>
      <c r="C28" s="630">
        <f>'For RFM &amp; PTRM'!AG30</f>
        <v>23.286999999999999</v>
      </c>
      <c r="D28" s="630">
        <f>'For RFM &amp; PTRM'!AH30</f>
        <v>9.6389999999999993</v>
      </c>
    </row>
    <row r="29" spans="1:5" x14ac:dyDescent="0.2">
      <c r="A29" s="582" t="s">
        <v>2985</v>
      </c>
      <c r="B29" s="630">
        <f>'For RFM &amp; PTRM'!AF31</f>
        <v>0</v>
      </c>
      <c r="C29" s="630">
        <f>'For RFM &amp; PTRM'!AG31</f>
        <v>0</v>
      </c>
      <c r="D29" s="630">
        <f>'For RFM &amp; PTRM'!AH31</f>
        <v>0</v>
      </c>
    </row>
    <row r="30" spans="1:5" x14ac:dyDescent="0.2">
      <c r="A30" s="584" t="s">
        <v>3051</v>
      </c>
      <c r="B30" s="630">
        <f>'For RFM &amp; PTRM'!AF32</f>
        <v>0</v>
      </c>
      <c r="C30" s="630">
        <f>'For RFM &amp; PTRM'!AG32</f>
        <v>0</v>
      </c>
      <c r="D30" s="630">
        <f>'For RFM &amp; PTRM'!AH32</f>
        <v>7.9640000000000004</v>
      </c>
    </row>
    <row r="31" spans="1:5" ht="13.5" thickBot="1" x14ac:dyDescent="0.25">
      <c r="A31" s="585" t="str">
        <f>'For RFM &amp; PTRM'!AE33</f>
        <v>Total</v>
      </c>
      <c r="B31" s="884">
        <f>'For RFM &amp; PTRM'!AF33</f>
        <v>166.34800000000001</v>
      </c>
      <c r="C31" s="884">
        <f>'For RFM &amp; PTRM'!AG33</f>
        <v>150.292</v>
      </c>
      <c r="D31" s="884">
        <f>'For RFM &amp; PTRM'!AH33</f>
        <v>174.72100000000003</v>
      </c>
      <c r="E31" s="611"/>
    </row>
    <row r="34" spans="1:4" x14ac:dyDescent="0.2">
      <c r="A34" s="608" t="s">
        <v>3006</v>
      </c>
    </row>
    <row r="35" spans="1:4" x14ac:dyDescent="0.2">
      <c r="A35" s="547" t="str">
        <f>'For RFM &amp; PTRM'!AE37</f>
        <v>$m</v>
      </c>
      <c r="B35" s="578" t="str">
        <f>'For RFM &amp; PTRM'!AF37</f>
        <v>RFM</v>
      </c>
      <c r="C35" s="578" t="str">
        <f>'For RFM &amp; PTRM'!AG37</f>
        <v>RFM</v>
      </c>
      <c r="D35" s="578" t="str">
        <f>'For RFM &amp; PTRM'!AH37</f>
        <v>RFM</v>
      </c>
    </row>
    <row r="36" spans="1:4" x14ac:dyDescent="0.2">
      <c r="A36" s="602" t="str">
        <f>'For RFM &amp; PTRM'!AE38</f>
        <v>COMMISSIONED</v>
      </c>
      <c r="B36" s="580" t="str">
        <f>'For RFM &amp; PTRM'!AF38</f>
        <v>F16</v>
      </c>
      <c r="C36" s="580" t="str">
        <f>'For RFM &amp; PTRM'!AG38</f>
        <v>F17</v>
      </c>
      <c r="D36" s="580" t="str">
        <f>'For RFM &amp; PTRM'!AH38</f>
        <v>F18</v>
      </c>
    </row>
    <row r="37" spans="1:4" x14ac:dyDescent="0.2">
      <c r="A37" s="39" t="str">
        <f>'For RFM &amp; PTRM'!AE39</f>
        <v>Commercial Buildings</v>
      </c>
      <c r="B37" s="630">
        <f>'For RFM &amp; PTRM'!AF39</f>
        <v>0.73399999999999999</v>
      </c>
      <c r="C37" s="630">
        <f>'For RFM &amp; PTRM'!AG39</f>
        <v>0.81699999999999995</v>
      </c>
      <c r="D37" s="630">
        <f>'For RFM &amp; PTRM'!AH39</f>
        <v>6.4649999999999999</v>
      </c>
    </row>
    <row r="38" spans="1:4" x14ac:dyDescent="0.2">
      <c r="A38" s="39" t="str">
        <f>'For RFM &amp; PTRM'!AE40</f>
        <v>Communications - Civil</v>
      </c>
      <c r="B38" s="630">
        <f>'For RFM &amp; PTRM'!AF40</f>
        <v>5.8970000000000002</v>
      </c>
      <c r="C38" s="630">
        <f>'For RFM &amp; PTRM'!AG40</f>
        <v>2.9489999999999998</v>
      </c>
      <c r="D38" s="630">
        <f>'For RFM &amp; PTRM'!AH40</f>
        <v>1.861</v>
      </c>
    </row>
    <row r="39" spans="1:4" x14ac:dyDescent="0.2">
      <c r="A39" s="39" t="str">
        <f>'For RFM &amp; PTRM'!AE41</f>
        <v>Communications - Other</v>
      </c>
      <c r="B39" s="630">
        <f>'For RFM &amp; PTRM'!AF41</f>
        <v>9.4779999999999998</v>
      </c>
      <c r="C39" s="630">
        <f>'For RFM &amp; PTRM'!AG41</f>
        <v>11.18</v>
      </c>
      <c r="D39" s="630">
        <f>'For RFM &amp; PTRM'!AH41</f>
        <v>10.638</v>
      </c>
    </row>
    <row r="40" spans="1:4" x14ac:dyDescent="0.2">
      <c r="A40" s="582" t="str">
        <f>'For RFM &amp; PTRM'!AE42</f>
        <v>Computers, software, and office machines</v>
      </c>
      <c r="B40" s="630">
        <f>'For RFM &amp; PTRM'!AF42</f>
        <v>11.063000000000001</v>
      </c>
      <c r="C40" s="630">
        <f>'For RFM &amp; PTRM'!AG42</f>
        <v>13.28</v>
      </c>
      <c r="D40" s="630">
        <f>'For RFM &amp; PTRM'!AH42</f>
        <v>32.725999999999999</v>
      </c>
    </row>
    <row r="41" spans="1:4" x14ac:dyDescent="0.2">
      <c r="A41" s="39" t="str">
        <f>'For RFM &amp; PTRM'!AE43</f>
        <v>Easement</v>
      </c>
      <c r="B41" s="630">
        <f>'For RFM &amp; PTRM'!AF43</f>
        <v>3.4830000000000001</v>
      </c>
      <c r="C41" s="630">
        <f>'For RFM &amp; PTRM'!AG43</f>
        <v>6.1050000000000004</v>
      </c>
      <c r="D41" s="630">
        <f>'For RFM &amp; PTRM'!AH43</f>
        <v>1.9570000000000001</v>
      </c>
    </row>
    <row r="42" spans="1:4" x14ac:dyDescent="0.2">
      <c r="A42" s="582" t="str">
        <f>'For RFM &amp; PTRM'!AE44</f>
        <v>Land</v>
      </c>
      <c r="B42" s="630">
        <f>'For RFM &amp; PTRM'!AF44</f>
        <v>0.95599999999999996</v>
      </c>
      <c r="C42" s="630">
        <f>'For RFM &amp; PTRM'!AG44</f>
        <v>0.88700000000000001</v>
      </c>
      <c r="D42" s="630">
        <f>'For RFM &amp; PTRM'!AH44</f>
        <v>12.794</v>
      </c>
    </row>
    <row r="43" spans="1:4" x14ac:dyDescent="0.2">
      <c r="A43" s="582" t="str">
        <f>'For RFM &amp; PTRM'!AE45</f>
        <v>Network Switching Centres</v>
      </c>
      <c r="B43" s="630">
        <f>'For RFM &amp; PTRM'!AF45</f>
        <v>0</v>
      </c>
      <c r="C43" s="630">
        <f>'For RFM &amp; PTRM'!AG45</f>
        <v>1.64</v>
      </c>
      <c r="D43" s="630">
        <f>'For RFM &amp; PTRM'!AH45</f>
        <v>1E-3</v>
      </c>
    </row>
    <row r="44" spans="1:4" x14ac:dyDescent="0.2">
      <c r="A44" s="582" t="str">
        <f>'For RFM &amp; PTRM'!AE46</f>
        <v>Office furniture, movable plant, and misc</v>
      </c>
      <c r="B44" s="630">
        <f>'For RFM &amp; PTRM'!AF46</f>
        <v>3.355</v>
      </c>
      <c r="C44" s="630">
        <f>'For RFM &amp; PTRM'!AG46</f>
        <v>3.5230000000000001</v>
      </c>
      <c r="D44" s="630">
        <f>'For RFM &amp; PTRM'!AH46</f>
        <v>11.781000000000001</v>
      </c>
    </row>
    <row r="45" spans="1:4" x14ac:dyDescent="0.2">
      <c r="A45" s="582" t="str">
        <f>'For RFM &amp; PTRM'!AE47</f>
        <v>Refurbishment</v>
      </c>
      <c r="B45" s="630">
        <f>'For RFM &amp; PTRM'!AF47</f>
        <v>0</v>
      </c>
      <c r="C45" s="630">
        <f>'For RFM &amp; PTRM'!AG47</f>
        <v>0</v>
      </c>
      <c r="D45" s="630">
        <f>'For RFM &amp; PTRM'!AH47</f>
        <v>0</v>
      </c>
    </row>
    <row r="46" spans="1:4" x14ac:dyDescent="0.2">
      <c r="A46" s="582" t="str">
        <f>'For RFM &amp; PTRM'!AE48</f>
        <v>Substation Primary Plant</v>
      </c>
      <c r="B46" s="630">
        <f>'For RFM &amp; PTRM'!AF48</f>
        <v>18.350000000000001</v>
      </c>
      <c r="C46" s="630">
        <f>'For RFM &amp; PTRM'!AG48</f>
        <v>53.036999999999999</v>
      </c>
      <c r="D46" s="630">
        <f>'For RFM &amp; PTRM'!AH48</f>
        <v>89.225999999999999</v>
      </c>
    </row>
    <row r="47" spans="1:4" x14ac:dyDescent="0.2">
      <c r="A47" s="582" t="str">
        <f>'For RFM &amp; PTRM'!AE49</f>
        <v>Substation Demountable Buildings</v>
      </c>
      <c r="B47" s="630">
        <f>'For RFM &amp; PTRM'!AF49</f>
        <v>7.11</v>
      </c>
      <c r="C47" s="630">
        <f>'For RFM &amp; PTRM'!AG49</f>
        <v>0</v>
      </c>
      <c r="D47" s="630">
        <f>'For RFM &amp; PTRM'!AH49</f>
        <v>4.6959999999999997</v>
      </c>
    </row>
    <row r="48" spans="1:4" x14ac:dyDescent="0.2">
      <c r="A48" s="582" t="str">
        <f>'For RFM &amp; PTRM'!AE50</f>
        <v>Substation Establishment</v>
      </c>
      <c r="B48" s="630">
        <f>'For RFM &amp; PTRM'!AF50</f>
        <v>33.043999999999997</v>
      </c>
      <c r="C48" s="630">
        <f>'For RFM &amp; PTRM'!AG50</f>
        <v>37.640999999999998</v>
      </c>
      <c r="D48" s="630">
        <f>'For RFM &amp; PTRM'!AH50</f>
        <v>16.989000000000001</v>
      </c>
    </row>
    <row r="49" spans="1:5" x14ac:dyDescent="0.2">
      <c r="A49" s="582" t="str">
        <f>'For RFM &amp; PTRM'!AE51</f>
        <v>Substation Fences</v>
      </c>
      <c r="B49" s="630">
        <f>'For RFM &amp; PTRM'!AF51</f>
        <v>0.27600000000000002</v>
      </c>
      <c r="C49" s="630">
        <f>'For RFM &amp; PTRM'!AG51</f>
        <v>0.438</v>
      </c>
      <c r="D49" s="630">
        <f>'For RFM &amp; PTRM'!AH51</f>
        <v>0.71199999999999997</v>
      </c>
    </row>
    <row r="50" spans="1:5" x14ac:dyDescent="0.2">
      <c r="A50" s="582" t="str">
        <f>'For RFM &amp; PTRM'!AE52</f>
        <v>Substation Secondary Systems - Electro-mechanical</v>
      </c>
      <c r="B50" s="630">
        <f>'For RFM &amp; PTRM'!AF52</f>
        <v>-4.1360000000000001</v>
      </c>
      <c r="C50" s="630">
        <f>'For RFM &amp; PTRM'!AG52</f>
        <v>0</v>
      </c>
      <c r="D50" s="630">
        <f>'For RFM &amp; PTRM'!AH52</f>
        <v>0</v>
      </c>
    </row>
    <row r="51" spans="1:5" x14ac:dyDescent="0.2">
      <c r="A51" s="582" t="str">
        <f>'For RFM &amp; PTRM'!AE53</f>
        <v>Substation Secondary Systems - Electronic</v>
      </c>
      <c r="B51" s="630">
        <f>'For RFM &amp; PTRM'!AF53</f>
        <v>31.216999999999999</v>
      </c>
      <c r="C51" s="630">
        <f>'For RFM &amp; PTRM'!AG53</f>
        <v>27.428999999999998</v>
      </c>
      <c r="D51" s="630">
        <f>'For RFM &amp; PTRM'!AH53</f>
        <v>34.042999999999999</v>
      </c>
    </row>
    <row r="52" spans="1:5" x14ac:dyDescent="0.2">
      <c r="A52" s="582" t="str">
        <f>'For RFM &amp; PTRM'!AE54</f>
        <v>Transmission lines - Overhead</v>
      </c>
      <c r="B52" s="630">
        <f>'For RFM &amp; PTRM'!AF54</f>
        <v>13.17</v>
      </c>
      <c r="C52" s="630">
        <f>'For RFM &amp; PTRM'!AG54</f>
        <v>8.7370000000000001</v>
      </c>
      <c r="D52" s="630">
        <f>'For RFM &amp; PTRM'!AH54</f>
        <v>14.955</v>
      </c>
    </row>
    <row r="53" spans="1:5" x14ac:dyDescent="0.2">
      <c r="A53" s="582" t="str">
        <f>'For RFM &amp; PTRM'!AE55</f>
        <v>Transmission lines - Underground</v>
      </c>
      <c r="B53" s="630">
        <f>'For RFM &amp; PTRM'!AF55</f>
        <v>0</v>
      </c>
      <c r="C53" s="630">
        <f>'For RFM &amp; PTRM'!AG55</f>
        <v>0</v>
      </c>
      <c r="D53" s="630">
        <f>'For RFM &amp; PTRM'!AH55</f>
        <v>4.08</v>
      </c>
    </row>
    <row r="54" spans="1:5" x14ac:dyDescent="0.2">
      <c r="A54" s="582" t="str">
        <f>'For RFM &amp; PTRM'!AE56</f>
        <v>Working Capital</v>
      </c>
      <c r="B54" s="630">
        <f>'For RFM &amp; PTRM'!AF56</f>
        <v>0</v>
      </c>
      <c r="C54" s="630">
        <f>'For RFM &amp; PTRM'!AG56</f>
        <v>0</v>
      </c>
      <c r="D54" s="630">
        <f>'For RFM &amp; PTRM'!AH56</f>
        <v>0</v>
      </c>
    </row>
    <row r="55" spans="1:5" x14ac:dyDescent="0.2">
      <c r="A55" s="582" t="str">
        <f>'For RFM &amp; PTRM'!AE57</f>
        <v>Accelerated Depreciation</v>
      </c>
      <c r="B55" s="630">
        <f>'For RFM &amp; PTRM'!AF57</f>
        <v>0</v>
      </c>
      <c r="C55" s="630">
        <f>'For RFM &amp; PTRM'!AG57</f>
        <v>0</v>
      </c>
      <c r="D55" s="630">
        <f>'For RFM &amp; PTRM'!AH57</f>
        <v>0</v>
      </c>
    </row>
    <row r="56" spans="1:5" x14ac:dyDescent="0.2">
      <c r="A56" s="582" t="str">
        <f>'For RFM &amp; PTRM'!AE58</f>
        <v>Refurbishment Projects 2008-2013</v>
      </c>
      <c r="B56" s="630">
        <f>'For RFM &amp; PTRM'!AF58</f>
        <v>0</v>
      </c>
      <c r="C56" s="630">
        <f>'For RFM &amp; PTRM'!AG58</f>
        <v>0</v>
      </c>
      <c r="D56" s="630">
        <f>'For RFM &amp; PTRM'!AH58</f>
        <v>0</v>
      </c>
    </row>
    <row r="57" spans="1:5" x14ac:dyDescent="0.2">
      <c r="A57" s="582" t="str">
        <f>'For RFM &amp; PTRM'!AE59</f>
        <v>Equity Raising Cost - 2003 Opening RAB and 2003-08 capex</v>
      </c>
      <c r="B57" s="630">
        <f>'For RFM &amp; PTRM'!AF59</f>
        <v>0</v>
      </c>
      <c r="C57" s="630">
        <f>'For RFM &amp; PTRM'!AG59</f>
        <v>0</v>
      </c>
      <c r="D57" s="630">
        <f>'For RFM &amp; PTRM'!AH59</f>
        <v>0</v>
      </c>
    </row>
    <row r="58" spans="1:5" x14ac:dyDescent="0.2">
      <c r="A58" s="582" t="str">
        <f>'For RFM &amp; PTRM'!AE60</f>
        <v>Equity Raising Cost 2013-2018</v>
      </c>
      <c r="B58" s="630">
        <f>'For RFM &amp; PTRM'!AF60</f>
        <v>0</v>
      </c>
      <c r="C58" s="630">
        <f>'For RFM &amp; PTRM'!AG60</f>
        <v>0</v>
      </c>
      <c r="D58" s="630">
        <f>'For RFM &amp; PTRM'!AH60</f>
        <v>0</v>
      </c>
    </row>
    <row r="59" spans="1:5" x14ac:dyDescent="0.2">
      <c r="A59" s="582" t="str">
        <f>'For RFM &amp; PTRM'!AE61</f>
        <v>Transmission Line Refit - insulators replacement 2013-18</v>
      </c>
      <c r="B59" s="630">
        <f>'For RFM &amp; PTRM'!AF61</f>
        <v>2.5110000000000001</v>
      </c>
      <c r="C59" s="630">
        <f>'For RFM &amp; PTRM'!AG61</f>
        <v>11.369</v>
      </c>
      <c r="D59" s="630">
        <f>'For RFM &amp; PTRM'!AH61</f>
        <v>61.673999999999999</v>
      </c>
    </row>
    <row r="60" spans="1:5" x14ac:dyDescent="0.2">
      <c r="A60" s="582" t="s">
        <v>2985</v>
      </c>
      <c r="B60" s="630">
        <f>'For RFM &amp; PTRM'!AF62</f>
        <v>0</v>
      </c>
      <c r="C60" s="630">
        <f>'For RFM &amp; PTRM'!AG62</f>
        <v>0</v>
      </c>
      <c r="D60" s="630">
        <f>'For RFM &amp; PTRM'!AH62</f>
        <v>0</v>
      </c>
    </row>
    <row r="61" spans="1:5" x14ac:dyDescent="0.2">
      <c r="A61" s="584" t="s">
        <v>3051</v>
      </c>
      <c r="B61" s="630">
        <f>'For RFM &amp; PTRM'!AF63</f>
        <v>0</v>
      </c>
      <c r="C61" s="630">
        <f>'For RFM &amp; PTRM'!AG63</f>
        <v>0</v>
      </c>
      <c r="D61" s="630">
        <f>'For RFM &amp; PTRM'!AH63</f>
        <v>0</v>
      </c>
    </row>
    <row r="62" spans="1:5" ht="13.5" thickBot="1" x14ac:dyDescent="0.25">
      <c r="A62" s="585" t="str">
        <f>'For RFM &amp; PTRM'!AE64</f>
        <v>Total</v>
      </c>
      <c r="B62" s="884">
        <f>'For RFM &amp; PTRM'!AF64</f>
        <v>136.50799999999998</v>
      </c>
      <c r="C62" s="884">
        <f>'For RFM &amp; PTRM'!AG64</f>
        <v>179.03199999999998</v>
      </c>
      <c r="D62" s="884">
        <f>'For RFM &amp; PTRM'!AH64</f>
        <v>304.59800000000001</v>
      </c>
      <c r="E62" s="611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AM129"/>
  <sheetViews>
    <sheetView showGridLines="0"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39" sqref="C39:C63"/>
    </sheetView>
  </sheetViews>
  <sheetFormatPr defaultColWidth="9.140625" defaultRowHeight="12.75" x14ac:dyDescent="0.2"/>
  <cols>
    <col min="1" max="1" width="60.140625" style="547" bestFit="1" customWidth="1"/>
    <col min="2" max="4" width="14.28515625" style="547" bestFit="1" customWidth="1"/>
    <col min="5" max="5" width="12.7109375" style="547" customWidth="1"/>
    <col min="6" max="6" width="14.28515625" style="547" bestFit="1" customWidth="1"/>
    <col min="7" max="8" width="12.140625" style="547" customWidth="1"/>
    <col min="9" max="9" width="14.28515625" style="547" bestFit="1" customWidth="1"/>
    <col min="10" max="10" width="14.85546875" style="547" customWidth="1"/>
    <col min="11" max="11" width="16.85546875" style="547" customWidth="1"/>
    <col min="12" max="18" width="11.85546875" style="547" customWidth="1"/>
    <col min="19" max="19" width="5.7109375" style="547" customWidth="1"/>
    <col min="20" max="20" width="61.85546875" style="547" customWidth="1"/>
    <col min="21" max="27" width="12.85546875" style="547" customWidth="1"/>
    <col min="28" max="29" width="14" style="547" customWidth="1"/>
    <col min="30" max="30" width="9.140625" style="547"/>
    <col min="31" max="31" width="60.140625" style="547" bestFit="1" customWidth="1"/>
    <col min="32" max="32" width="10.5703125" style="547" customWidth="1"/>
    <col min="33" max="38" width="9.85546875" style="547" bestFit="1" customWidth="1"/>
    <col min="39" max="39" width="11.5703125" style="547" bestFit="1" customWidth="1"/>
    <col min="40" max="16384" width="9.140625" style="547"/>
  </cols>
  <sheetData>
    <row r="1" spans="1:39" x14ac:dyDescent="0.2">
      <c r="K1" s="573" t="s">
        <v>2598</v>
      </c>
      <c r="U1" s="547" t="s">
        <v>2597</v>
      </c>
      <c r="AF1" s="574" t="s">
        <v>2285</v>
      </c>
    </row>
    <row r="2" spans="1:39" ht="15.75" thickBot="1" x14ac:dyDescent="0.3">
      <c r="B2" s="673" t="str">
        <f>IF(Incurred!$B$15&lt;&gt;"$Nominal","ERROR: Incurred spend A18 must be set to 0 for $Nominal","OK. Incurred spend set to $Nominal")</f>
        <v>OK. Incurred spend set to $Nominal</v>
      </c>
      <c r="AF2" s="575">
        <v>3</v>
      </c>
    </row>
    <row r="3" spans="1:39" x14ac:dyDescent="0.2">
      <c r="K3" s="547" t="s">
        <v>2596</v>
      </c>
      <c r="L3" s="576"/>
      <c r="M3" s="576">
        <v>-676500</v>
      </c>
      <c r="N3" s="576">
        <v>-689827.05</v>
      </c>
      <c r="O3" s="576">
        <v>-459289.87498864561</v>
      </c>
      <c r="P3" s="576">
        <v>-523502.21895807359</v>
      </c>
      <c r="Q3" s="576">
        <v>-444290.52693687635</v>
      </c>
      <c r="R3" s="576">
        <v>-325415.08088473778</v>
      </c>
    </row>
    <row r="4" spans="1:39" x14ac:dyDescent="0.2">
      <c r="K4" s="547" t="s">
        <v>2595</v>
      </c>
      <c r="L4" s="576"/>
      <c r="M4" s="576">
        <v>-676500</v>
      </c>
      <c r="N4" s="576">
        <v>-689827.05</v>
      </c>
      <c r="O4" s="576">
        <v>-753607.8923783839</v>
      </c>
      <c r="P4" s="576">
        <v>-760829.15860028123</v>
      </c>
      <c r="Q4" s="576">
        <v>-789841.61103288655</v>
      </c>
      <c r="R4" s="576">
        <v>-820991.64298176451</v>
      </c>
    </row>
    <row r="5" spans="1:39" x14ac:dyDescent="0.2">
      <c r="A5" s="547" t="s">
        <v>2336</v>
      </c>
      <c r="B5" s="577">
        <f>Incurred!P21</f>
        <v>1.0131086142322099</v>
      </c>
      <c r="C5" s="577">
        <f>Incurred!Q21</f>
        <v>1.0212569316081299</v>
      </c>
      <c r="D5" s="577">
        <f>Incurred!R21</f>
        <v>1.0249999999999999</v>
      </c>
      <c r="E5" s="577">
        <f>Incurred!S21</f>
        <v>1.0249999999999999</v>
      </c>
      <c r="F5" s="577">
        <f>Incurred!T21</f>
        <v>1.0249999999999999</v>
      </c>
      <c r="G5" s="577">
        <f>Incurred!U21</f>
        <v>1.0249999999999999</v>
      </c>
      <c r="H5" s="577">
        <f>Incurred!V21</f>
        <v>1.0249999999999999</v>
      </c>
      <c r="I5" s="577">
        <f>Incurred!W21</f>
        <v>1.0249999999999999</v>
      </c>
      <c r="L5" s="576"/>
      <c r="M5" s="576"/>
      <c r="N5" s="576"/>
      <c r="O5" s="576"/>
      <c r="P5" s="576"/>
      <c r="Q5" s="576"/>
      <c r="R5" s="576"/>
    </row>
    <row r="6" spans="1:39" x14ac:dyDescent="0.2">
      <c r="U6" s="578" t="s">
        <v>2289</v>
      </c>
      <c r="V6" s="578" t="s">
        <v>2289</v>
      </c>
      <c r="W6" s="578" t="s">
        <v>2289</v>
      </c>
      <c r="X6" s="578" t="s">
        <v>2290</v>
      </c>
      <c r="Y6" s="578" t="s">
        <v>2290</v>
      </c>
      <c r="Z6" s="578" t="s">
        <v>2290</v>
      </c>
      <c r="AA6" s="578" t="s">
        <v>2290</v>
      </c>
      <c r="AB6" s="578" t="s">
        <v>2290</v>
      </c>
      <c r="AC6" s="578"/>
      <c r="AE6" s="547" t="s">
        <v>2297</v>
      </c>
      <c r="AF6" s="578" t="s">
        <v>2289</v>
      </c>
      <c r="AG6" s="578" t="s">
        <v>2289</v>
      </c>
      <c r="AH6" s="578" t="s">
        <v>2289</v>
      </c>
      <c r="AI6" s="578" t="s">
        <v>2290</v>
      </c>
      <c r="AJ6" s="578" t="s">
        <v>2290</v>
      </c>
      <c r="AK6" s="578" t="s">
        <v>2290</v>
      </c>
      <c r="AL6" s="578" t="s">
        <v>2290</v>
      </c>
      <c r="AM6" s="578" t="s">
        <v>2290</v>
      </c>
    </row>
    <row r="7" spans="1:39" x14ac:dyDescent="0.2">
      <c r="A7" s="579" t="s">
        <v>2980</v>
      </c>
      <c r="B7" s="580" t="s">
        <v>2276</v>
      </c>
      <c r="C7" s="580" t="s">
        <v>2277</v>
      </c>
      <c r="D7" s="580" t="s">
        <v>2278</v>
      </c>
      <c r="E7" s="580" t="s">
        <v>2279</v>
      </c>
      <c r="F7" s="580" t="s">
        <v>2280</v>
      </c>
      <c r="G7" s="580" t="s">
        <v>2281</v>
      </c>
      <c r="H7" s="580" t="s">
        <v>2282</v>
      </c>
      <c r="I7" s="580" t="s">
        <v>2283</v>
      </c>
      <c r="K7" s="580" t="s">
        <v>2276</v>
      </c>
      <c r="L7" s="580" t="s">
        <v>2277</v>
      </c>
      <c r="M7" s="580" t="s">
        <v>2278</v>
      </c>
      <c r="N7" s="580" t="s">
        <v>2279</v>
      </c>
      <c r="O7" s="580" t="s">
        <v>2280</v>
      </c>
      <c r="P7" s="580" t="s">
        <v>2281</v>
      </c>
      <c r="Q7" s="580" t="s">
        <v>2282</v>
      </c>
      <c r="R7" s="580" t="s">
        <v>2283</v>
      </c>
      <c r="T7" s="579" t="s">
        <v>2980</v>
      </c>
      <c r="U7" s="580" t="s">
        <v>2276</v>
      </c>
      <c r="V7" s="580" t="s">
        <v>2277</v>
      </c>
      <c r="W7" s="580" t="s">
        <v>2278</v>
      </c>
      <c r="X7" s="580" t="s">
        <v>2279</v>
      </c>
      <c r="Y7" s="580" t="s">
        <v>2280</v>
      </c>
      <c r="Z7" s="580" t="s">
        <v>2281</v>
      </c>
      <c r="AA7" s="580" t="s">
        <v>2282</v>
      </c>
      <c r="AB7" s="580" t="s">
        <v>2283</v>
      </c>
      <c r="AC7" s="580"/>
      <c r="AD7" s="578"/>
      <c r="AE7" s="579" t="s">
        <v>2274</v>
      </c>
      <c r="AF7" s="580" t="s">
        <v>2276</v>
      </c>
      <c r="AG7" s="580" t="s">
        <v>2277</v>
      </c>
      <c r="AH7" s="580" t="s">
        <v>2278</v>
      </c>
      <c r="AI7" s="580" t="s">
        <v>2279</v>
      </c>
      <c r="AJ7" s="580" t="s">
        <v>2280</v>
      </c>
      <c r="AK7" s="580" t="s">
        <v>2281</v>
      </c>
      <c r="AL7" s="580" t="s">
        <v>2282</v>
      </c>
      <c r="AM7" s="580" t="s">
        <v>2283</v>
      </c>
    </row>
    <row r="8" spans="1:39" x14ac:dyDescent="0.2">
      <c r="A8" s="39" t="s">
        <v>1031</v>
      </c>
      <c r="B8" s="679">
        <v>1089138.4995669676</v>
      </c>
      <c r="C8" s="581">
        <v>615975.68865565397</v>
      </c>
      <c r="D8" s="581">
        <f>HLOOKUP($T8,IncurredByClass,MATCH(D$7,Incurred!$AK$5:$AK$14,0),FALSE)</f>
        <v>8257895.3132698983</v>
      </c>
      <c r="E8" s="581">
        <f>HLOOKUP($T8,IncurredByClass,MATCH(E$7,Incurred!$AK$5:$AK$14,0),FALSE)</f>
        <v>1599275.5166384412</v>
      </c>
      <c r="F8" s="581">
        <f>HLOOKUP($T8,IncurredByClass,MATCH(F$7,Incurred!$AK$5:$AK$14,0),FALSE)</f>
        <v>702783.27902565291</v>
      </c>
      <c r="G8" s="581">
        <f>HLOOKUP($T8,IncurredByClass,MATCH(G$7,Incurred!$AK$5:$AK$14,0),FALSE)</f>
        <v>1093567.2851927241</v>
      </c>
      <c r="H8" s="581">
        <f>HLOOKUP($T8,IncurredByClass,MATCH(H$7,Incurred!$AK$5:$AK$14,0),FALSE)</f>
        <v>823252.67149066948</v>
      </c>
      <c r="I8" s="581">
        <f>HLOOKUP($T8,IncurredByClass,MATCH(I$7,Incurred!$AK$5:$AK$14,0),FALSE)</f>
        <v>348158.68705335027</v>
      </c>
      <c r="K8" s="576">
        <f>U8-B8</f>
        <v>-14753.758374911733</v>
      </c>
      <c r="L8" s="576">
        <f t="shared" ref="L8:L30" si="0">V8-C8</f>
        <v>-4597.4369467669167</v>
      </c>
      <c r="M8" s="576">
        <f t="shared" ref="M8:R8" si="1">M$3/D$33*D8</f>
        <v>-31850.110846560096</v>
      </c>
      <c r="N8" s="576">
        <f t="shared" si="1"/>
        <v>-11082.937736477934</v>
      </c>
      <c r="O8" s="576">
        <f t="shared" si="1"/>
        <v>-3066.1692512323843</v>
      </c>
      <c r="P8" s="576">
        <f t="shared" si="1"/>
        <v>-4881.0065051571873</v>
      </c>
      <c r="Q8" s="576">
        <f t="shared" si="1"/>
        <v>-3294.7496969544263</v>
      </c>
      <c r="R8" s="576">
        <f t="shared" si="1"/>
        <v>-1875.0781114600161</v>
      </c>
      <c r="T8" s="39" t="s">
        <v>1031</v>
      </c>
      <c r="U8" s="581">
        <v>1074384.7411920559</v>
      </c>
      <c r="V8" s="581">
        <v>611378.25170888705</v>
      </c>
      <c r="W8" s="581">
        <f t="shared" ref="W8:AB23" si="2">D8+M8</f>
        <v>8226045.2024233378</v>
      </c>
      <c r="X8" s="581">
        <f t="shared" si="2"/>
        <v>1588192.5789019633</v>
      </c>
      <c r="Y8" s="581">
        <f t="shared" si="2"/>
        <v>699717.1097744205</v>
      </c>
      <c r="Z8" s="581">
        <f t="shared" si="2"/>
        <v>1088686.278687567</v>
      </c>
      <c r="AA8" s="581">
        <f t="shared" si="2"/>
        <v>819957.9217937151</v>
      </c>
      <c r="AB8" s="581">
        <f t="shared" si="2"/>
        <v>346283.60894189024</v>
      </c>
      <c r="AC8" s="581"/>
      <c r="AE8" s="39" t="s">
        <v>1031</v>
      </c>
      <c r="AF8" s="547">
        <f t="shared" ref="AF8:AM8" si="3">ROUND(U8/1000000,$AF$2)</f>
        <v>1.0740000000000001</v>
      </c>
      <c r="AG8" s="547">
        <f t="shared" si="3"/>
        <v>0.61099999999999999</v>
      </c>
      <c r="AH8" s="547">
        <f t="shared" si="3"/>
        <v>8.2260000000000009</v>
      </c>
      <c r="AI8" s="547">
        <f t="shared" si="3"/>
        <v>1.5880000000000001</v>
      </c>
      <c r="AJ8" s="547">
        <f t="shared" si="3"/>
        <v>0.7</v>
      </c>
      <c r="AK8" s="547">
        <f t="shared" si="3"/>
        <v>1.089</v>
      </c>
      <c r="AL8" s="547">
        <f t="shared" si="3"/>
        <v>0.82</v>
      </c>
      <c r="AM8" s="547">
        <f t="shared" si="3"/>
        <v>0.34599999999999997</v>
      </c>
    </row>
    <row r="9" spans="1:39" x14ac:dyDescent="0.2">
      <c r="A9" s="39" t="s">
        <v>1032</v>
      </c>
      <c r="B9" s="679">
        <v>4066470.6825406426</v>
      </c>
      <c r="C9" s="581">
        <v>1347381.2753616087</v>
      </c>
      <c r="D9" s="581">
        <f>HLOOKUP($T9,IncurredByClass,MATCH(D$7,Incurred!$AK$5:$AK$14,0),FALSE)</f>
        <v>8292785.9073526859</v>
      </c>
      <c r="E9" s="581">
        <f>HLOOKUP($T9,IncurredByClass,MATCH(E$7,Incurred!$AK$5:$AK$14,0),FALSE)</f>
        <v>2937850.4706278178</v>
      </c>
      <c r="F9" s="581">
        <f>HLOOKUP($T9,IncurredByClass,MATCH(F$7,Incurred!$AK$5:$AK$14,0),FALSE)</f>
        <v>963648.59240423911</v>
      </c>
      <c r="G9" s="581">
        <f>HLOOKUP($T9,IncurredByClass,MATCH(G$7,Incurred!$AK$5:$AK$14,0),FALSE)</f>
        <v>687159.7397702774</v>
      </c>
      <c r="H9" s="581">
        <f>HLOOKUP($T9,IncurredByClass,MATCH(H$7,Incurred!$AK$5:$AK$14,0),FALSE)</f>
        <v>769672.04447096225</v>
      </c>
      <c r="I9" s="581">
        <f>HLOOKUP($T9,IncurredByClass,MATCH(I$7,Incurred!$AK$5:$AK$14,0),FALSE)</f>
        <v>17153.090103600342</v>
      </c>
      <c r="K9" s="576">
        <f t="shared" ref="K9:K30" si="4">U9-B9</f>
        <v>-15922.851724203676</v>
      </c>
      <c r="L9" s="576">
        <f t="shared" si="0"/>
        <v>-21351.041800145525</v>
      </c>
      <c r="M9" s="576">
        <f t="shared" ref="M9:R9" si="5">M$3/D$33*D9</f>
        <v>-31984.68136930012</v>
      </c>
      <c r="N9" s="576">
        <f t="shared" si="5"/>
        <v>-20359.227354076702</v>
      </c>
      <c r="O9" s="576">
        <f t="shared" si="5"/>
        <v>-4204.2970730887218</v>
      </c>
      <c r="P9" s="576">
        <f t="shared" si="5"/>
        <v>-3067.055137178641</v>
      </c>
      <c r="Q9" s="576">
        <f t="shared" si="5"/>
        <v>-3080.3140069782785</v>
      </c>
      <c r="R9" s="576">
        <f t="shared" si="5"/>
        <v>-92.381390995519951</v>
      </c>
      <c r="T9" s="39" t="s">
        <v>1032</v>
      </c>
      <c r="U9" s="581">
        <v>4050547.8308164389</v>
      </c>
      <c r="V9" s="581">
        <v>1326030.2335614632</v>
      </c>
      <c r="W9" s="581">
        <f t="shared" si="2"/>
        <v>8260801.2259833859</v>
      </c>
      <c r="X9" s="581">
        <f t="shared" si="2"/>
        <v>2917491.2432737411</v>
      </c>
      <c r="Y9" s="581">
        <f t="shared" si="2"/>
        <v>959444.29533115041</v>
      </c>
      <c r="Z9" s="581">
        <f t="shared" si="2"/>
        <v>684092.68463309878</v>
      </c>
      <c r="AA9" s="581">
        <f t="shared" si="2"/>
        <v>766591.73046398396</v>
      </c>
      <c r="AB9" s="581">
        <f t="shared" si="2"/>
        <v>17060.708712604821</v>
      </c>
      <c r="AC9" s="581"/>
      <c r="AE9" s="39" t="s">
        <v>1032</v>
      </c>
      <c r="AF9" s="547">
        <f t="shared" ref="AF9:AF30" si="6">ROUND(U9/1000000,$AF$2)</f>
        <v>4.0510000000000002</v>
      </c>
      <c r="AG9" s="547">
        <f t="shared" ref="AG9:AG23" si="7">ROUND(V9/1000000,$AF$2)</f>
        <v>1.3260000000000001</v>
      </c>
      <c r="AH9" s="547">
        <f t="shared" ref="AH9:AH23" si="8">ROUND(W9/1000000,$AF$2)</f>
        <v>8.2609999999999992</v>
      </c>
      <c r="AI9" s="547">
        <f t="shared" ref="AI9:AI23" si="9">ROUND(X9/1000000,$AF$2)</f>
        <v>2.9169999999999998</v>
      </c>
      <c r="AJ9" s="547">
        <f t="shared" ref="AJ9:AJ23" si="10">ROUND(Y9/1000000,$AF$2)</f>
        <v>0.95899999999999996</v>
      </c>
      <c r="AK9" s="547">
        <f t="shared" ref="AK9:AK23" si="11">ROUND(Z9/1000000,$AF$2)</f>
        <v>0.68400000000000005</v>
      </c>
      <c r="AL9" s="547">
        <f t="shared" ref="AL9:AL23" si="12">ROUND(AA9/1000000,$AF$2)</f>
        <v>0.76700000000000002</v>
      </c>
      <c r="AM9" s="547">
        <f t="shared" ref="AM9:AM23" si="13">ROUND(AB9/1000000,$AF$2)</f>
        <v>1.7000000000000001E-2</v>
      </c>
    </row>
    <row r="10" spans="1:39" x14ac:dyDescent="0.2">
      <c r="A10" s="39" t="s">
        <v>1033</v>
      </c>
      <c r="B10" s="679">
        <v>16822625.023976844</v>
      </c>
      <c r="C10" s="581">
        <v>6281162.1739118053</v>
      </c>
      <c r="D10" s="581">
        <f>HLOOKUP($T10,IncurredByClass,MATCH(D$7,Incurred!$AK$5:$AK$14,0),FALSE)</f>
        <v>11842330.927555509</v>
      </c>
      <c r="E10" s="583"/>
      <c r="F10" s="583"/>
      <c r="G10" s="583"/>
      <c r="H10" s="583"/>
      <c r="I10" s="583"/>
      <c r="K10" s="576">
        <f t="shared" si="4"/>
        <v>-46855.789495939389</v>
      </c>
      <c r="L10" s="576">
        <f t="shared" si="0"/>
        <v>-70936.139079944231</v>
      </c>
      <c r="M10" s="576">
        <f t="shared" ref="M10:M30" si="14">M$3/D$33*D10</f>
        <v>-45675.022316907663</v>
      </c>
      <c r="T10" s="39" t="s">
        <v>1033</v>
      </c>
      <c r="U10" s="581">
        <v>16775769.234480904</v>
      </c>
      <c r="V10" s="581">
        <v>6210226.034831861</v>
      </c>
      <c r="W10" s="581">
        <f t="shared" si="2"/>
        <v>11796655.9052386</v>
      </c>
      <c r="AC10" s="581"/>
      <c r="AE10" s="39" t="s">
        <v>1033</v>
      </c>
      <c r="AF10" s="547">
        <f t="shared" si="6"/>
        <v>16.776</v>
      </c>
      <c r="AG10" s="547">
        <f t="shared" si="7"/>
        <v>6.21</v>
      </c>
      <c r="AH10" s="547">
        <f t="shared" si="8"/>
        <v>11.797000000000001</v>
      </c>
    </row>
    <row r="11" spans="1:39" x14ac:dyDescent="0.2">
      <c r="A11" s="582" t="s">
        <v>1034</v>
      </c>
      <c r="B11" s="679">
        <v>11153432.824150266</v>
      </c>
      <c r="C11" s="581">
        <v>16889385.616020549</v>
      </c>
      <c r="D11" s="581">
        <f>HLOOKUP($T11,IncurredByClass,MATCH(D$7,Incurred!$AK$5:$AK$14,0),FALSE)</f>
        <v>26723469.852778595</v>
      </c>
      <c r="E11" s="581">
        <f>HLOOKUP($T11,IncurredByClass,MATCH(E$7,Incurred!$AK$5:$AK$14,0),FALSE)</f>
        <v>17708828.858887304</v>
      </c>
      <c r="F11" s="581">
        <f>HLOOKUP($T11,IncurredByClass,MATCH(F$7,Incurred!$AK$5:$AK$14,0),FALSE)</f>
        <v>12364589.730340017</v>
      </c>
      <c r="G11" s="581">
        <f>HLOOKUP($T11,IncurredByClass,MATCH(G$7,Incurred!$AK$5:$AK$14,0),FALSE)</f>
        <v>13994553.759171089</v>
      </c>
      <c r="H11" s="581">
        <f>HLOOKUP($T11,IncurredByClass,MATCH(H$7,Incurred!$AK$5:$AK$14,0),FALSE)</f>
        <v>12553812.5620174</v>
      </c>
      <c r="I11" s="581">
        <f>HLOOKUP($T11,IncurredByClass,MATCH(I$7,Incurred!$AK$5:$AK$14,0),FALSE)</f>
        <v>10567381.988730725</v>
      </c>
      <c r="K11" s="576">
        <f t="shared" si="4"/>
        <v>-152483.49275928363</v>
      </c>
      <c r="L11" s="576">
        <f t="shared" si="0"/>
        <v>-310082.99399096146</v>
      </c>
      <c r="M11" s="576">
        <f t="shared" si="14"/>
        <v>-103070.50946116622</v>
      </c>
      <c r="N11" s="576">
        <f t="shared" ref="N11:N31" si="15">N$3/E$33*E11</f>
        <v>-122721.72342232055</v>
      </c>
      <c r="O11" s="576">
        <f t="shared" ref="O11:O31" si="16">O$3/F$33*F11</f>
        <v>-53945.399622816614</v>
      </c>
      <c r="P11" s="576">
        <f t="shared" ref="P11:P31" si="17">P$3/G$33*G11</f>
        <v>-62463.013351069596</v>
      </c>
      <c r="Q11" s="576">
        <f t="shared" ref="Q11:Q31" si="18">Q$3/H$33*H11</f>
        <v>-50241.768495491946</v>
      </c>
      <c r="R11" s="576">
        <f t="shared" ref="R11:R31" si="19">R$3/I$33*I11</f>
        <v>-56912.745249034917</v>
      </c>
      <c r="T11" s="582" t="s">
        <v>1034</v>
      </c>
      <c r="U11" s="581">
        <v>11000949.331390982</v>
      </c>
      <c r="V11" s="581">
        <v>16579302.622029588</v>
      </c>
      <c r="W11" s="581">
        <f t="shared" si="2"/>
        <v>26620399.34331743</v>
      </c>
      <c r="X11" s="581">
        <f t="shared" si="2"/>
        <v>17586107.135464985</v>
      </c>
      <c r="Y11" s="581">
        <f t="shared" si="2"/>
        <v>12310644.3307172</v>
      </c>
      <c r="Z11" s="581">
        <f t="shared" si="2"/>
        <v>13932090.745820019</v>
      </c>
      <c r="AA11" s="581">
        <f t="shared" si="2"/>
        <v>12503570.793521907</v>
      </c>
      <c r="AB11" s="581">
        <f t="shared" si="2"/>
        <v>10510469.24348169</v>
      </c>
      <c r="AC11" s="581"/>
      <c r="AE11" s="582" t="s">
        <v>1034</v>
      </c>
      <c r="AF11" s="547">
        <f t="shared" si="6"/>
        <v>11.000999999999999</v>
      </c>
      <c r="AG11" s="547">
        <f t="shared" si="7"/>
        <v>16.579000000000001</v>
      </c>
      <c r="AH11" s="547">
        <f t="shared" si="8"/>
        <v>26.62</v>
      </c>
      <c r="AI11" s="547">
        <f t="shared" si="9"/>
        <v>17.585999999999999</v>
      </c>
      <c r="AJ11" s="547">
        <f t="shared" si="10"/>
        <v>12.311</v>
      </c>
      <c r="AK11" s="547">
        <f t="shared" si="11"/>
        <v>13.932</v>
      </c>
      <c r="AL11" s="547">
        <f t="shared" si="12"/>
        <v>12.504</v>
      </c>
      <c r="AM11" s="547">
        <f t="shared" si="13"/>
        <v>10.51</v>
      </c>
    </row>
    <row r="12" spans="1:39" x14ac:dyDescent="0.2">
      <c r="A12" s="39" t="s">
        <v>1035</v>
      </c>
      <c r="B12" s="679">
        <v>3382799.48398076</v>
      </c>
      <c r="C12" s="581">
        <v>1176281.5487277946</v>
      </c>
      <c r="D12" s="581">
        <f>HLOOKUP($T12,IncurredByClass,MATCH(D$7,Incurred!$AK$5:$AK$14,0),FALSE)</f>
        <v>947956.9857098402</v>
      </c>
      <c r="E12" s="581">
        <f>HLOOKUP($T12,IncurredByClass,MATCH(E$7,Incurred!$AK$5:$AK$14,0),FALSE)</f>
        <v>4968.8915061598245</v>
      </c>
      <c r="F12" s="581">
        <f>HLOOKUP($T12,IncurredByClass,MATCH(F$7,Incurred!$AK$5:$AK$14,0),FALSE)</f>
        <v>166.79193651919999</v>
      </c>
      <c r="G12" s="581">
        <f>HLOOKUP($T12,IncurredByClass,MATCH(G$7,Incurred!$AK$5:$AK$14,0),FALSE)</f>
        <v>0</v>
      </c>
      <c r="H12" s="581">
        <f>HLOOKUP($T12,IncurredByClass,MATCH(H$7,Incurred!$AK$5:$AK$14,0),FALSE)</f>
        <v>0</v>
      </c>
      <c r="I12" s="581">
        <f>HLOOKUP($T12,IncurredByClass,MATCH(I$7,Incurred!$AK$5:$AK$14,0),FALSE)</f>
        <v>0</v>
      </c>
      <c r="K12" s="576">
        <f t="shared" si="4"/>
        <v>-3414.5605178070255</v>
      </c>
      <c r="L12" s="576">
        <f t="shared" si="0"/>
        <v>-2723.906143062748</v>
      </c>
      <c r="M12" s="576">
        <f t="shared" si="14"/>
        <v>-3656.2022073726175</v>
      </c>
      <c r="N12" s="576">
        <f t="shared" si="15"/>
        <v>-34.434288907164841</v>
      </c>
      <c r="O12" s="576">
        <f t="shared" si="16"/>
        <v>-0.72769561025655438</v>
      </c>
      <c r="P12" s="576">
        <f t="shared" si="17"/>
        <v>0</v>
      </c>
      <c r="Q12" s="576">
        <f t="shared" si="18"/>
        <v>0</v>
      </c>
      <c r="R12" s="576">
        <f t="shared" si="19"/>
        <v>0</v>
      </c>
      <c r="T12" s="39" t="s">
        <v>1035</v>
      </c>
      <c r="U12" s="581">
        <v>3379384.923462953</v>
      </c>
      <c r="V12" s="581">
        <v>1173557.6425847318</v>
      </c>
      <c r="W12" s="581">
        <f t="shared" si="2"/>
        <v>944300.78350246756</v>
      </c>
      <c r="X12" s="581">
        <f t="shared" si="2"/>
        <v>4934.4572172526596</v>
      </c>
      <c r="Y12" s="581">
        <f t="shared" si="2"/>
        <v>166.06424090894345</v>
      </c>
      <c r="Z12" s="581">
        <f t="shared" si="2"/>
        <v>0</v>
      </c>
      <c r="AA12" s="581">
        <f t="shared" si="2"/>
        <v>0</v>
      </c>
      <c r="AB12" s="581">
        <f t="shared" si="2"/>
        <v>0</v>
      </c>
      <c r="AC12" s="581"/>
      <c r="AE12" s="39" t="s">
        <v>1035</v>
      </c>
      <c r="AF12" s="547">
        <f t="shared" si="6"/>
        <v>3.379</v>
      </c>
      <c r="AG12" s="547">
        <f t="shared" si="7"/>
        <v>1.1739999999999999</v>
      </c>
      <c r="AH12" s="547">
        <f t="shared" si="8"/>
        <v>0.94399999999999995</v>
      </c>
      <c r="AI12" s="547">
        <f t="shared" si="9"/>
        <v>5.0000000000000001E-3</v>
      </c>
      <c r="AJ12" s="547">
        <f t="shared" si="10"/>
        <v>0</v>
      </c>
      <c r="AK12" s="547">
        <f t="shared" si="11"/>
        <v>0</v>
      </c>
      <c r="AL12" s="547">
        <f t="shared" si="12"/>
        <v>0</v>
      </c>
      <c r="AM12" s="547">
        <f t="shared" si="13"/>
        <v>0</v>
      </c>
    </row>
    <row r="13" spans="1:39" x14ac:dyDescent="0.2">
      <c r="A13" s="582" t="s">
        <v>854</v>
      </c>
      <c r="B13" s="679">
        <v>2406009.5393721517</v>
      </c>
      <c r="C13" s="581">
        <v>5923906.72430503</v>
      </c>
      <c r="D13" s="581">
        <f>HLOOKUP($T13,IncurredByClass,MATCH(D$7,Incurred!$AK$5:$AK$14,0),FALSE)</f>
        <v>812696.24477011815</v>
      </c>
      <c r="E13" s="581">
        <f>HLOOKUP($T13,IncurredByClass,MATCH(E$7,Incurred!$AK$5:$AK$14,0),FALSE)</f>
        <v>54520.958367770916</v>
      </c>
      <c r="F13" s="581">
        <f>HLOOKUP($T13,IncurredByClass,MATCH(F$7,Incurred!$AK$5:$AK$14,0),FALSE)</f>
        <v>83075.004067436617</v>
      </c>
      <c r="G13" s="581">
        <f>HLOOKUP($T13,IncurredByClass,MATCH(G$7,Incurred!$AK$5:$AK$14,0),FALSE)</f>
        <v>12715.369196003618</v>
      </c>
      <c r="H13" s="581">
        <f>HLOOKUP($T13,IncurredByClass,MATCH(H$7,Incurred!$AK$5:$AK$14,0),FALSE)</f>
        <v>0</v>
      </c>
      <c r="I13" s="581">
        <f>HLOOKUP($T13,IncurredByClass,MATCH(I$7,Incurred!$AK$5:$AK$14,0),FALSE)</f>
        <v>0</v>
      </c>
      <c r="K13" s="576">
        <f t="shared" si="4"/>
        <v>-7630.7933879443444</v>
      </c>
      <c r="L13" s="576">
        <f t="shared" si="0"/>
        <v>-13660.484239253215</v>
      </c>
      <c r="M13" s="576">
        <f t="shared" si="14"/>
        <v>-3134.5112160621306</v>
      </c>
      <c r="N13" s="576">
        <f t="shared" si="15"/>
        <v>-377.82882351203904</v>
      </c>
      <c r="O13" s="576">
        <f t="shared" si="16"/>
        <v>-362.44747224312033</v>
      </c>
      <c r="P13" s="576">
        <f t="shared" si="17"/>
        <v>-56.753526373305142</v>
      </c>
      <c r="Q13" s="576">
        <f t="shared" si="18"/>
        <v>0</v>
      </c>
      <c r="R13" s="576">
        <f t="shared" si="19"/>
        <v>0</v>
      </c>
      <c r="T13" s="582" t="s">
        <v>854</v>
      </c>
      <c r="U13" s="581">
        <v>2398378.7459842074</v>
      </c>
      <c r="V13" s="581">
        <v>5910246.2400657767</v>
      </c>
      <c r="W13" s="581">
        <f t="shared" si="2"/>
        <v>809561.73355405603</v>
      </c>
      <c r="X13" s="581">
        <f t="shared" si="2"/>
        <v>54143.129544258874</v>
      </c>
      <c r="Y13" s="581">
        <f t="shared" si="2"/>
        <v>82712.556595193499</v>
      </c>
      <c r="Z13" s="581">
        <f t="shared" si="2"/>
        <v>12658.615669630313</v>
      </c>
      <c r="AA13" s="581">
        <f t="shared" si="2"/>
        <v>0</v>
      </c>
      <c r="AB13" s="581">
        <f t="shared" si="2"/>
        <v>0</v>
      </c>
      <c r="AC13" s="581"/>
      <c r="AE13" s="582" t="s">
        <v>854</v>
      </c>
      <c r="AF13" s="547">
        <f t="shared" si="6"/>
        <v>2.3980000000000001</v>
      </c>
      <c r="AG13" s="547">
        <f t="shared" si="7"/>
        <v>5.91</v>
      </c>
      <c r="AH13" s="547">
        <f t="shared" si="8"/>
        <v>0.81</v>
      </c>
      <c r="AI13" s="547">
        <f t="shared" si="9"/>
        <v>5.3999999999999999E-2</v>
      </c>
      <c r="AJ13" s="547">
        <f t="shared" si="10"/>
        <v>8.3000000000000004E-2</v>
      </c>
      <c r="AK13" s="547">
        <f t="shared" si="11"/>
        <v>1.2999999999999999E-2</v>
      </c>
      <c r="AL13" s="547">
        <f t="shared" si="12"/>
        <v>0</v>
      </c>
      <c r="AM13" s="547">
        <f t="shared" si="13"/>
        <v>0</v>
      </c>
    </row>
    <row r="14" spans="1:39" x14ac:dyDescent="0.2">
      <c r="A14" s="582" t="s">
        <v>1036</v>
      </c>
      <c r="B14" s="679">
        <v>646444.81400000001</v>
      </c>
      <c r="C14" s="581">
        <v>97872.375772981075</v>
      </c>
      <c r="D14" s="581">
        <f>HLOOKUP($T14,IncurredByClass,MATCH(D$7,Incurred!$AK$5:$AK$14,0),FALSE)</f>
        <v>2228421.7324139401</v>
      </c>
      <c r="E14" s="581">
        <f>HLOOKUP($T14,IncurredByClass,MATCH(E$7,Incurred!$AK$5:$AK$14,0),FALSE)</f>
        <v>489212.39543664502</v>
      </c>
      <c r="F14" s="581">
        <f>HLOOKUP($T14,IncurredByClass,MATCH(F$7,Incurred!$AK$5:$AK$14,0),FALSE)</f>
        <v>0</v>
      </c>
      <c r="G14" s="581">
        <f>HLOOKUP($T14,IncurredByClass,MATCH(G$7,Incurred!$AK$5:$AK$14,0),FALSE)</f>
        <v>0</v>
      </c>
      <c r="H14" s="581">
        <f>HLOOKUP($T14,IncurredByClass,MATCH(H$7,Incurred!$AK$5:$AK$14,0),FALSE)</f>
        <v>0</v>
      </c>
      <c r="I14" s="581">
        <f>HLOOKUP($T14,IncurredByClass,MATCH(I$7,Incurred!$AK$5:$AK$14,0),FALSE)</f>
        <v>0</v>
      </c>
      <c r="K14" s="576">
        <f t="shared" si="4"/>
        <v>-2199.4809662608895</v>
      </c>
      <c r="L14" s="576">
        <f t="shared" si="0"/>
        <v>-2320.1036979529599</v>
      </c>
      <c r="M14" s="576">
        <f t="shared" si="14"/>
        <v>-8594.8630368581344</v>
      </c>
      <c r="N14" s="576">
        <f t="shared" si="15"/>
        <v>-3390.229176980095</v>
      </c>
      <c r="O14" s="576">
        <f t="shared" si="16"/>
        <v>0</v>
      </c>
      <c r="P14" s="576">
        <f t="shared" si="17"/>
        <v>0</v>
      </c>
      <c r="Q14" s="576">
        <f t="shared" si="18"/>
        <v>0</v>
      </c>
      <c r="R14" s="576">
        <f t="shared" si="19"/>
        <v>0</v>
      </c>
      <c r="T14" s="582" t="s">
        <v>1036</v>
      </c>
      <c r="U14" s="581">
        <v>644245.33303373912</v>
      </c>
      <c r="V14" s="581">
        <v>95552.272075028115</v>
      </c>
      <c r="W14" s="581">
        <f t="shared" si="2"/>
        <v>2219826.8693770822</v>
      </c>
      <c r="X14" s="581">
        <f t="shared" si="2"/>
        <v>485822.16625966493</v>
      </c>
      <c r="Y14" s="581">
        <f t="shared" si="2"/>
        <v>0</v>
      </c>
      <c r="Z14" s="581">
        <f t="shared" si="2"/>
        <v>0</v>
      </c>
      <c r="AA14" s="581">
        <f t="shared" si="2"/>
        <v>0</v>
      </c>
      <c r="AB14" s="581">
        <f t="shared" si="2"/>
        <v>0</v>
      </c>
      <c r="AC14" s="581"/>
      <c r="AE14" s="582" t="s">
        <v>1036</v>
      </c>
      <c r="AF14" s="547">
        <f t="shared" si="6"/>
        <v>0.64400000000000002</v>
      </c>
      <c r="AG14" s="547">
        <f t="shared" si="7"/>
        <v>9.6000000000000002E-2</v>
      </c>
      <c r="AH14" s="547">
        <f t="shared" si="8"/>
        <v>2.2200000000000002</v>
      </c>
      <c r="AI14" s="547">
        <f t="shared" si="9"/>
        <v>0.48599999999999999</v>
      </c>
      <c r="AJ14" s="547">
        <f t="shared" si="10"/>
        <v>0</v>
      </c>
      <c r="AK14" s="547">
        <f t="shared" si="11"/>
        <v>0</v>
      </c>
      <c r="AL14" s="547">
        <f t="shared" si="12"/>
        <v>0</v>
      </c>
      <c r="AM14" s="547">
        <f t="shared" si="13"/>
        <v>0</v>
      </c>
    </row>
    <row r="15" spans="1:39" x14ac:dyDescent="0.2">
      <c r="A15" s="582" t="s">
        <v>1037</v>
      </c>
      <c r="B15" s="679">
        <v>1248497.6044330327</v>
      </c>
      <c r="C15" s="581">
        <v>6435344.5511164088</v>
      </c>
      <c r="D15" s="581">
        <f>HLOOKUP($T15,IncurredByClass,MATCH(D$7,Incurred!$AK$5:$AK$14,0),FALSE)</f>
        <v>7626895.6331818057</v>
      </c>
      <c r="E15" s="581">
        <f>HLOOKUP($T15,IncurredByClass,MATCH(E$7,Incurred!$AK$5:$AK$14,0),FALSE)</f>
        <v>569276.82539653999</v>
      </c>
      <c r="F15" s="581">
        <f>HLOOKUP($T15,IncurredByClass,MATCH(F$7,Incurred!$AK$5:$AK$14,0),FALSE)</f>
        <v>1897837.7136069702</v>
      </c>
      <c r="G15" s="581">
        <f>HLOOKUP($T15,IncurredByClass,MATCH(G$7,Incurred!$AK$5:$AK$14,0),FALSE)</f>
        <v>2856259.1750313514</v>
      </c>
      <c r="H15" s="581">
        <f>HLOOKUP($T15,IncurredByClass,MATCH(H$7,Incurred!$AK$5:$AK$14,0),FALSE)</f>
        <v>1886671.4034098263</v>
      </c>
      <c r="I15" s="581">
        <f>HLOOKUP($T15,IncurredByClass,MATCH(I$7,Incurred!$AK$5:$AK$14,0),FALSE)</f>
        <v>905695.93137225951</v>
      </c>
      <c r="K15" s="576">
        <f t="shared" si="4"/>
        <v>-12812.28779266146</v>
      </c>
      <c r="L15" s="576">
        <f t="shared" si="0"/>
        <v>-187165.16758065578</v>
      </c>
      <c r="M15" s="576">
        <f t="shared" si="14"/>
        <v>-29416.390268551015</v>
      </c>
      <c r="N15" s="576">
        <f t="shared" si="15"/>
        <v>-3945.0735942930396</v>
      </c>
      <c r="O15" s="576">
        <f t="shared" si="16"/>
        <v>-8280.0655834591307</v>
      </c>
      <c r="P15" s="576">
        <f t="shared" si="17"/>
        <v>-12748.570483512563</v>
      </c>
      <c r="Q15" s="576">
        <f t="shared" si="18"/>
        <v>-7550.6709542546068</v>
      </c>
      <c r="R15" s="576">
        <f t="shared" si="19"/>
        <v>-4877.8062409635768</v>
      </c>
      <c r="T15" s="582" t="s">
        <v>1037</v>
      </c>
      <c r="U15" s="581">
        <v>1235685.3166403712</v>
      </c>
      <c r="V15" s="581">
        <v>6248179.383535753</v>
      </c>
      <c r="W15" s="581">
        <f t="shared" si="2"/>
        <v>7597479.2429132545</v>
      </c>
      <c r="X15" s="581">
        <f t="shared" si="2"/>
        <v>565331.7518022469</v>
      </c>
      <c r="Y15" s="581">
        <f t="shared" si="2"/>
        <v>1889557.6480235111</v>
      </c>
      <c r="Z15" s="581">
        <f t="shared" si="2"/>
        <v>2843510.6045478387</v>
      </c>
      <c r="AA15" s="581">
        <f t="shared" si="2"/>
        <v>1879120.7324555716</v>
      </c>
      <c r="AB15" s="581">
        <f t="shared" si="2"/>
        <v>900818.12513129588</v>
      </c>
      <c r="AC15" s="581"/>
      <c r="AE15" s="582" t="s">
        <v>1037</v>
      </c>
      <c r="AF15" s="547">
        <f t="shared" si="6"/>
        <v>1.236</v>
      </c>
      <c r="AG15" s="547">
        <f t="shared" si="7"/>
        <v>6.2480000000000002</v>
      </c>
      <c r="AH15" s="547">
        <f t="shared" si="8"/>
        <v>7.5970000000000004</v>
      </c>
      <c r="AI15" s="547">
        <f t="shared" si="9"/>
        <v>0.56499999999999995</v>
      </c>
      <c r="AJ15" s="547">
        <f t="shared" si="10"/>
        <v>1.89</v>
      </c>
      <c r="AK15" s="547">
        <f t="shared" si="11"/>
        <v>2.8439999999999999</v>
      </c>
      <c r="AL15" s="547">
        <f t="shared" si="12"/>
        <v>1.879</v>
      </c>
      <c r="AM15" s="547">
        <f t="shared" si="13"/>
        <v>0.90100000000000002</v>
      </c>
    </row>
    <row r="16" spans="1:39" x14ac:dyDescent="0.2">
      <c r="A16" s="582" t="s">
        <v>41</v>
      </c>
      <c r="B16" s="679">
        <v>0</v>
      </c>
      <c r="C16" s="581">
        <v>0</v>
      </c>
      <c r="D16" s="581">
        <f>HLOOKUP($T16,IncurredByClass,MATCH(D$7,Incurred!$AK$5:$AK$14,0),FALSE)</f>
        <v>0</v>
      </c>
      <c r="E16" s="581">
        <f>HLOOKUP($T16,IncurredByClass,MATCH(E$7,Incurred!$AK$5:$AK$14,0),FALSE)</f>
        <v>0</v>
      </c>
      <c r="F16" s="581">
        <f>HLOOKUP($T16,IncurredByClass,MATCH(F$7,Incurred!$AK$5:$AK$14,0),FALSE)</f>
        <v>0</v>
      </c>
      <c r="G16" s="581">
        <f>HLOOKUP($T16,IncurredByClass,MATCH(G$7,Incurred!$AK$5:$AK$14,0),FALSE)</f>
        <v>0</v>
      </c>
      <c r="H16" s="581">
        <f>HLOOKUP($T16,IncurredByClass,MATCH(H$7,Incurred!$AK$5:$AK$14,0),FALSE)</f>
        <v>0</v>
      </c>
      <c r="I16" s="581">
        <f>HLOOKUP($T16,IncurredByClass,MATCH(I$7,Incurred!$AK$5:$AK$14,0),FALSE)</f>
        <v>0</v>
      </c>
      <c r="K16" s="576">
        <f t="shared" si="4"/>
        <v>0</v>
      </c>
      <c r="L16" s="576">
        <f t="shared" si="0"/>
        <v>0</v>
      </c>
      <c r="M16" s="576">
        <f t="shared" si="14"/>
        <v>0</v>
      </c>
      <c r="N16" s="576">
        <f t="shared" si="15"/>
        <v>0</v>
      </c>
      <c r="O16" s="576">
        <f t="shared" si="16"/>
        <v>0</v>
      </c>
      <c r="P16" s="576">
        <f t="shared" si="17"/>
        <v>0</v>
      </c>
      <c r="Q16" s="576">
        <f t="shared" si="18"/>
        <v>0</v>
      </c>
      <c r="R16" s="576">
        <f t="shared" si="19"/>
        <v>0</v>
      </c>
      <c r="T16" s="582" t="s">
        <v>41</v>
      </c>
      <c r="U16" s="581">
        <v>0</v>
      </c>
      <c r="V16" s="581">
        <v>0</v>
      </c>
      <c r="W16" s="581">
        <f t="shared" si="2"/>
        <v>0</v>
      </c>
      <c r="X16" s="581">
        <f t="shared" si="2"/>
        <v>0</v>
      </c>
      <c r="Y16" s="581">
        <f t="shared" si="2"/>
        <v>0</v>
      </c>
      <c r="Z16" s="581">
        <f t="shared" si="2"/>
        <v>0</v>
      </c>
      <c r="AA16" s="581">
        <f t="shared" si="2"/>
        <v>0</v>
      </c>
      <c r="AB16" s="581">
        <f t="shared" si="2"/>
        <v>0</v>
      </c>
      <c r="AC16" s="581"/>
      <c r="AE16" s="582" t="s">
        <v>41</v>
      </c>
      <c r="AF16" s="547">
        <f t="shared" si="6"/>
        <v>0</v>
      </c>
      <c r="AG16" s="547">
        <f t="shared" si="7"/>
        <v>0</v>
      </c>
      <c r="AH16" s="547">
        <f t="shared" si="8"/>
        <v>0</v>
      </c>
      <c r="AI16" s="547">
        <f t="shared" si="9"/>
        <v>0</v>
      </c>
      <c r="AJ16" s="547">
        <f t="shared" si="10"/>
        <v>0</v>
      </c>
      <c r="AK16" s="547">
        <f t="shared" si="11"/>
        <v>0</v>
      </c>
      <c r="AL16" s="547">
        <f t="shared" si="12"/>
        <v>0</v>
      </c>
      <c r="AM16" s="547">
        <f t="shared" si="13"/>
        <v>0</v>
      </c>
    </row>
    <row r="17" spans="1:39" x14ac:dyDescent="0.2">
      <c r="A17" s="582" t="s">
        <v>1038</v>
      </c>
      <c r="B17" s="679">
        <v>40072596.813453346</v>
      </c>
      <c r="C17" s="581">
        <v>38300581.557388932</v>
      </c>
      <c r="D17" s="581">
        <f>HLOOKUP($T17,IncurredByClass,MATCH(D$7,Incurred!$AK$5:$AK$14,0),FALSE)</f>
        <v>32823605.89892941</v>
      </c>
      <c r="E17" s="581">
        <f>HLOOKUP($T17,IncurredByClass,MATCH(E$7,Incurred!$AK$5:$AK$14,0),FALSE)</f>
        <v>17227319.884494849</v>
      </c>
      <c r="F17" s="581">
        <f>HLOOKUP($T17,IncurredByClass,MATCH(F$7,Incurred!$AK$5:$AK$14,0),FALSE)</f>
        <v>13490942.429794624</v>
      </c>
      <c r="G17" s="581">
        <f>HLOOKUP($T17,IncurredByClass,MATCH(G$7,Incurred!$AK$5:$AK$14,0),FALSE)</f>
        <v>19172028.542230126</v>
      </c>
      <c r="H17" s="581">
        <f>HLOOKUP($T17,IncurredByClass,MATCH(H$7,Incurred!$AK$5:$AK$14,0),FALSE)</f>
        <v>17620057.726068493</v>
      </c>
      <c r="I17" s="581">
        <f>HLOOKUP($T17,IncurredByClass,MATCH(I$7,Incurred!$AK$5:$AK$14,0),FALSE)</f>
        <v>12798383.948739208</v>
      </c>
      <c r="K17" s="576">
        <f t="shared" si="4"/>
        <v>-178622.9492970109</v>
      </c>
      <c r="L17" s="576">
        <f t="shared" si="0"/>
        <v>-355030.82252495736</v>
      </c>
      <c r="M17" s="576">
        <f t="shared" si="14"/>
        <v>-126598.29733912453</v>
      </c>
      <c r="N17" s="576">
        <f t="shared" si="15"/>
        <v>-119384.87875282674</v>
      </c>
      <c r="O17" s="576">
        <f t="shared" si="16"/>
        <v>-58859.557537755063</v>
      </c>
      <c r="P17" s="576">
        <f t="shared" si="17"/>
        <v>-85572.051485787379</v>
      </c>
      <c r="Q17" s="576">
        <f t="shared" si="18"/>
        <v>-70517.450915969035</v>
      </c>
      <c r="R17" s="576">
        <f t="shared" si="19"/>
        <v>-68928.251675836422</v>
      </c>
      <c r="T17" s="582" t="s">
        <v>1038</v>
      </c>
      <c r="U17" s="581">
        <v>39893973.864156336</v>
      </c>
      <c r="V17" s="581">
        <v>37945550.734863974</v>
      </c>
      <c r="W17" s="581">
        <f t="shared" si="2"/>
        <v>32697007.601590287</v>
      </c>
      <c r="X17" s="581">
        <f t="shared" si="2"/>
        <v>17107935.005742021</v>
      </c>
      <c r="Y17" s="581">
        <f t="shared" si="2"/>
        <v>13432082.872256869</v>
      </c>
      <c r="Z17" s="581">
        <f t="shared" si="2"/>
        <v>19086456.490744337</v>
      </c>
      <c r="AA17" s="581">
        <f t="shared" si="2"/>
        <v>17549540.275152523</v>
      </c>
      <c r="AB17" s="581">
        <f t="shared" si="2"/>
        <v>12729455.697063372</v>
      </c>
      <c r="AC17" s="581"/>
      <c r="AE17" s="582" t="s">
        <v>1038</v>
      </c>
      <c r="AF17" s="547">
        <f t="shared" si="6"/>
        <v>39.893999999999998</v>
      </c>
      <c r="AG17" s="547">
        <f t="shared" si="7"/>
        <v>37.945999999999998</v>
      </c>
      <c r="AH17" s="547">
        <f t="shared" si="8"/>
        <v>32.697000000000003</v>
      </c>
      <c r="AI17" s="547">
        <f t="shared" si="9"/>
        <v>17.108000000000001</v>
      </c>
      <c r="AJ17" s="547">
        <f t="shared" si="10"/>
        <v>13.432</v>
      </c>
      <c r="AK17" s="547">
        <f t="shared" si="11"/>
        <v>19.085999999999999</v>
      </c>
      <c r="AL17" s="547">
        <f t="shared" si="12"/>
        <v>17.55</v>
      </c>
      <c r="AM17" s="547">
        <f t="shared" si="13"/>
        <v>12.728999999999999</v>
      </c>
    </row>
    <row r="18" spans="1:39" x14ac:dyDescent="0.2">
      <c r="A18" s="582" t="s">
        <v>1039</v>
      </c>
      <c r="B18" s="679">
        <v>2392965.5212078826</v>
      </c>
      <c r="C18" s="581">
        <v>351644.63809005677</v>
      </c>
      <c r="D18" s="581">
        <f>HLOOKUP($T18,IncurredByClass,MATCH(D$7,Incurred!$AK$5:$AK$14,0),FALSE)</f>
        <v>4197638.8691801736</v>
      </c>
      <c r="E18" s="581">
        <f>HLOOKUP($T18,IncurredByClass,MATCH(E$7,Incurred!$AK$5:$AK$14,0),FALSE)</f>
        <v>2276798.1843535085</v>
      </c>
      <c r="F18" s="581">
        <f>HLOOKUP($T18,IncurredByClass,MATCH(F$7,Incurred!$AK$5:$AK$14,0),FALSE)</f>
        <v>347814.41531427897</v>
      </c>
      <c r="G18" s="581">
        <f>HLOOKUP($T18,IncurredByClass,MATCH(G$7,Incurred!$AK$5:$AK$14,0),FALSE)</f>
        <v>1141978.6908281904</v>
      </c>
      <c r="H18" s="581">
        <f>HLOOKUP($T18,IncurredByClass,MATCH(H$7,Incurred!$AK$5:$AK$14,0),FALSE)</f>
        <v>977583.774316411</v>
      </c>
      <c r="I18" s="581">
        <f>HLOOKUP($T18,IncurredByClass,MATCH(I$7,Incurred!$AK$5:$AK$14,0),FALSE)</f>
        <v>0</v>
      </c>
      <c r="K18" s="576">
        <f t="shared" si="4"/>
        <v>-8101.396466949489</v>
      </c>
      <c r="L18" s="576">
        <f t="shared" si="0"/>
        <v>-4333.4342823429033</v>
      </c>
      <c r="M18" s="576">
        <f t="shared" si="14"/>
        <v>-16189.992510849363</v>
      </c>
      <c r="N18" s="576">
        <f t="shared" si="15"/>
        <v>-15778.152202789379</v>
      </c>
      <c r="O18" s="576">
        <f t="shared" si="16"/>
        <v>-1517.4775740973266</v>
      </c>
      <c r="P18" s="576">
        <f t="shared" si="17"/>
        <v>-5097.0850117383998</v>
      </c>
      <c r="Q18" s="576">
        <f t="shared" si="18"/>
        <v>-3912.4001120390708</v>
      </c>
      <c r="R18" s="576">
        <f t="shared" si="19"/>
        <v>0</v>
      </c>
      <c r="T18" s="582" t="s">
        <v>1039</v>
      </c>
      <c r="U18" s="581">
        <v>2384864.1247409331</v>
      </c>
      <c r="V18" s="581">
        <v>347311.20380771387</v>
      </c>
      <c r="W18" s="581">
        <f t="shared" si="2"/>
        <v>4181448.8766693245</v>
      </c>
      <c r="X18" s="581">
        <f t="shared" si="2"/>
        <v>2261020.0321507193</v>
      </c>
      <c r="Y18" s="581">
        <f t="shared" si="2"/>
        <v>346296.93774018163</v>
      </c>
      <c r="Z18" s="581">
        <f t="shared" si="2"/>
        <v>1136881.6058164521</v>
      </c>
      <c r="AA18" s="581">
        <f t="shared" si="2"/>
        <v>973671.37420437194</v>
      </c>
      <c r="AB18" s="581">
        <f t="shared" si="2"/>
        <v>0</v>
      </c>
      <c r="AC18" s="581"/>
      <c r="AE18" s="582" t="s">
        <v>1039</v>
      </c>
      <c r="AF18" s="547">
        <f t="shared" si="6"/>
        <v>2.3849999999999998</v>
      </c>
      <c r="AG18" s="547">
        <f t="shared" si="7"/>
        <v>0.34699999999999998</v>
      </c>
      <c r="AH18" s="547">
        <f t="shared" si="8"/>
        <v>4.181</v>
      </c>
      <c r="AI18" s="547">
        <f t="shared" si="9"/>
        <v>2.2610000000000001</v>
      </c>
      <c r="AJ18" s="547">
        <f t="shared" si="10"/>
        <v>0.34599999999999997</v>
      </c>
      <c r="AK18" s="547">
        <f t="shared" si="11"/>
        <v>1.137</v>
      </c>
      <c r="AL18" s="547">
        <f t="shared" si="12"/>
        <v>0.97399999999999998</v>
      </c>
      <c r="AM18" s="547">
        <f t="shared" si="13"/>
        <v>0</v>
      </c>
    </row>
    <row r="19" spans="1:39" x14ac:dyDescent="0.2">
      <c r="A19" s="582" t="s">
        <v>1040</v>
      </c>
      <c r="B19" s="679">
        <v>18003906.087613903</v>
      </c>
      <c r="C19" s="581">
        <v>20705814.328148715</v>
      </c>
      <c r="D19" s="581">
        <f>HLOOKUP($T19,IncurredByClass,MATCH(D$7,Incurred!$AK$5:$AK$14,0),FALSE)</f>
        <v>17673381.070009168</v>
      </c>
      <c r="E19" s="581">
        <f>HLOOKUP($T19,IncurredByClass,MATCH(E$7,Incurred!$AK$5:$AK$14,0),FALSE)</f>
        <v>14850294.843846034</v>
      </c>
      <c r="F19" s="581">
        <f>HLOOKUP($T19,IncurredByClass,MATCH(F$7,Incurred!$AK$5:$AK$14,0),FALSE)</f>
        <v>11853445.564764585</v>
      </c>
      <c r="G19" s="581">
        <f>HLOOKUP($T19,IncurredByClass,MATCH(G$7,Incurred!$AK$5:$AK$14,0),FALSE)</f>
        <v>5322272.161102918</v>
      </c>
      <c r="H19" s="581">
        <f>HLOOKUP($T19,IncurredByClass,MATCH(H$7,Incurred!$AK$5:$AK$14,0),FALSE)</f>
        <v>1426228.7058565512</v>
      </c>
      <c r="I19" s="581">
        <f>HLOOKUP($T19,IncurredByClass,MATCH(I$7,Incurred!$AK$5:$AK$14,0),FALSE)</f>
        <v>935038.05694177432</v>
      </c>
      <c r="K19" s="576">
        <f t="shared" si="4"/>
        <v>-60664.014703873545</v>
      </c>
      <c r="L19" s="576">
        <f t="shared" si="0"/>
        <v>-184477.37176603824</v>
      </c>
      <c r="M19" s="576">
        <f t="shared" si="14"/>
        <v>-68164.965134487327</v>
      </c>
      <c r="N19" s="576">
        <f t="shared" si="15"/>
        <v>-102912.15704260275</v>
      </c>
      <c r="O19" s="576">
        <f t="shared" si="16"/>
        <v>-51715.331591592134</v>
      </c>
      <c r="P19" s="576">
        <f t="shared" si="17"/>
        <v>-23755.323876557009</v>
      </c>
      <c r="Q19" s="576">
        <f t="shared" si="18"/>
        <v>-5707.927540520388</v>
      </c>
      <c r="R19" s="576">
        <f t="shared" si="19"/>
        <v>-5035.8341157374653</v>
      </c>
      <c r="T19" s="582" t="s">
        <v>1040</v>
      </c>
      <c r="U19" s="581">
        <v>17943242.072910029</v>
      </c>
      <c r="V19" s="581">
        <v>20521336.956382677</v>
      </c>
      <c r="W19" s="581">
        <f t="shared" si="2"/>
        <v>17605216.104874682</v>
      </c>
      <c r="X19" s="581">
        <f t="shared" si="2"/>
        <v>14747382.686803432</v>
      </c>
      <c r="Y19" s="581">
        <f t="shared" si="2"/>
        <v>11801730.233172994</v>
      </c>
      <c r="Z19" s="581">
        <f t="shared" si="2"/>
        <v>5298516.837226361</v>
      </c>
      <c r="AA19" s="581">
        <f t="shared" si="2"/>
        <v>1420520.7783160307</v>
      </c>
      <c r="AB19" s="581">
        <f t="shared" si="2"/>
        <v>930002.22282603686</v>
      </c>
      <c r="AC19" s="581"/>
      <c r="AE19" s="582" t="s">
        <v>1040</v>
      </c>
      <c r="AF19" s="547">
        <f t="shared" si="6"/>
        <v>17.943000000000001</v>
      </c>
      <c r="AG19" s="547">
        <f t="shared" si="7"/>
        <v>20.521000000000001</v>
      </c>
      <c r="AH19" s="547">
        <f t="shared" si="8"/>
        <v>17.605</v>
      </c>
      <c r="AI19" s="547">
        <f t="shared" si="9"/>
        <v>14.747</v>
      </c>
      <c r="AJ19" s="547">
        <f t="shared" si="10"/>
        <v>11.802</v>
      </c>
      <c r="AK19" s="547">
        <f t="shared" si="11"/>
        <v>5.2990000000000004</v>
      </c>
      <c r="AL19" s="547">
        <f t="shared" si="12"/>
        <v>1.421</v>
      </c>
      <c r="AM19" s="547">
        <f t="shared" si="13"/>
        <v>0.93</v>
      </c>
    </row>
    <row r="20" spans="1:39" x14ac:dyDescent="0.2">
      <c r="A20" s="582" t="s">
        <v>1041</v>
      </c>
      <c r="B20" s="679">
        <v>1494395.5046279561</v>
      </c>
      <c r="C20" s="581">
        <v>268608.14209663606</v>
      </c>
      <c r="D20" s="581">
        <f>HLOOKUP($T20,IncurredByClass,MATCH(D$7,Incurred!$AK$5:$AK$14,0),FALSE)</f>
        <v>393702.21690992219</v>
      </c>
      <c r="E20" s="581">
        <f>HLOOKUP($T20,IncurredByClass,MATCH(E$7,Incurred!$AK$5:$AK$14,0),FALSE)</f>
        <v>809954.68166213832</v>
      </c>
      <c r="F20" s="581">
        <f>HLOOKUP($T20,IncurredByClass,MATCH(F$7,Incurred!$AK$5:$AK$14,0),FALSE)</f>
        <v>1632900.063153117</v>
      </c>
      <c r="G20" s="581">
        <f>HLOOKUP($T20,IncurredByClass,MATCH(G$7,Incurred!$AK$5:$AK$14,0),FALSE)</f>
        <v>976487.92678466823</v>
      </c>
      <c r="H20" s="581">
        <f>HLOOKUP($T20,IncurredByClass,MATCH(H$7,Incurred!$AK$5:$AK$14,0),FALSE)</f>
        <v>38829.745351429083</v>
      </c>
      <c r="I20" s="581">
        <f>HLOOKUP($T20,IncurredByClass,MATCH(I$7,Incurred!$AK$5:$AK$14,0),FALSE)</f>
        <v>31684.331074694586</v>
      </c>
      <c r="K20" s="576">
        <f t="shared" si="4"/>
        <v>-5010.6063395245001</v>
      </c>
      <c r="L20" s="576">
        <f t="shared" si="0"/>
        <v>-3315.4580415313831</v>
      </c>
      <c r="M20" s="576">
        <f t="shared" si="14"/>
        <v>-1518.481256230916</v>
      </c>
      <c r="N20" s="576">
        <f t="shared" si="15"/>
        <v>-5612.9648786836906</v>
      </c>
      <c r="O20" s="576">
        <f t="shared" si="16"/>
        <v>-7124.1705848735055</v>
      </c>
      <c r="P20" s="576">
        <f t="shared" si="17"/>
        <v>-4358.4368217484171</v>
      </c>
      <c r="Q20" s="576">
        <f t="shared" si="18"/>
        <v>-155.40100404142871</v>
      </c>
      <c r="R20" s="576">
        <f t="shared" si="19"/>
        <v>-170.64229009258761</v>
      </c>
      <c r="T20" s="582" t="s">
        <v>1041</v>
      </c>
      <c r="U20" s="581">
        <v>1489384.8982884316</v>
      </c>
      <c r="V20" s="581">
        <v>265292.68405510468</v>
      </c>
      <c r="W20" s="581">
        <f t="shared" si="2"/>
        <v>392183.73565369128</v>
      </c>
      <c r="X20" s="581">
        <f t="shared" si="2"/>
        <v>804341.71678345464</v>
      </c>
      <c r="Y20" s="581">
        <f t="shared" si="2"/>
        <v>1625775.8925682434</v>
      </c>
      <c r="Z20" s="581">
        <f t="shared" si="2"/>
        <v>972129.48996291985</v>
      </c>
      <c r="AA20" s="581">
        <f t="shared" si="2"/>
        <v>38674.344347387654</v>
      </c>
      <c r="AB20" s="581">
        <f t="shared" si="2"/>
        <v>31513.688784602</v>
      </c>
      <c r="AC20" s="581"/>
      <c r="AE20" s="582" t="s">
        <v>1041</v>
      </c>
      <c r="AF20" s="547">
        <f t="shared" si="6"/>
        <v>1.4890000000000001</v>
      </c>
      <c r="AG20" s="547">
        <f t="shared" si="7"/>
        <v>0.26500000000000001</v>
      </c>
      <c r="AH20" s="547">
        <f t="shared" si="8"/>
        <v>0.39200000000000002</v>
      </c>
      <c r="AI20" s="547">
        <f t="shared" si="9"/>
        <v>0.80400000000000005</v>
      </c>
      <c r="AJ20" s="547">
        <f t="shared" si="10"/>
        <v>1.6259999999999999</v>
      </c>
      <c r="AK20" s="547">
        <f t="shared" si="11"/>
        <v>0.97199999999999998</v>
      </c>
      <c r="AL20" s="547">
        <f t="shared" si="12"/>
        <v>3.9E-2</v>
      </c>
      <c r="AM20" s="547">
        <f t="shared" si="13"/>
        <v>3.2000000000000001E-2</v>
      </c>
    </row>
    <row r="21" spans="1:39" x14ac:dyDescent="0.2">
      <c r="A21" s="582" t="s">
        <v>1042</v>
      </c>
      <c r="B21" s="679">
        <v>-4135744.2799999989</v>
      </c>
      <c r="C21" s="581">
        <v>0</v>
      </c>
      <c r="D21" s="581">
        <f>HLOOKUP($T21,IncurredByClass,MATCH(D$7,Incurred!$AK$5:$AK$14,0),FALSE)</f>
        <v>0</v>
      </c>
      <c r="E21" s="581">
        <f>HLOOKUP($T21,IncurredByClass,MATCH(E$7,Incurred!$AK$5:$AK$14,0),FALSE)</f>
        <v>0</v>
      </c>
      <c r="F21" s="581">
        <f>HLOOKUP($T21,IncurredByClass,MATCH(F$7,Incurred!$AK$5:$AK$14,0),FALSE)</f>
        <v>0</v>
      </c>
      <c r="G21" s="581">
        <f>HLOOKUP($T21,IncurredByClass,MATCH(G$7,Incurred!$AK$5:$AK$14,0),FALSE)</f>
        <v>0</v>
      </c>
      <c r="H21" s="581">
        <f>HLOOKUP($T21,IncurredByClass,MATCH(H$7,Incurred!$AK$5:$AK$14,0),FALSE)</f>
        <v>0</v>
      </c>
      <c r="I21" s="581">
        <f>HLOOKUP($T21,IncurredByClass,MATCH(I$7,Incurred!$AK$5:$AK$14,0),FALSE)</f>
        <v>0</v>
      </c>
      <c r="K21" s="576">
        <f t="shared" si="4"/>
        <v>0</v>
      </c>
      <c r="L21" s="576">
        <f t="shared" si="0"/>
        <v>0</v>
      </c>
      <c r="M21" s="576">
        <f t="shared" si="14"/>
        <v>0</v>
      </c>
      <c r="N21" s="576">
        <f t="shared" si="15"/>
        <v>0</v>
      </c>
      <c r="O21" s="576">
        <f t="shared" si="16"/>
        <v>0</v>
      </c>
      <c r="P21" s="576">
        <f t="shared" si="17"/>
        <v>0</v>
      </c>
      <c r="Q21" s="576">
        <f t="shared" si="18"/>
        <v>0</v>
      </c>
      <c r="R21" s="576">
        <f t="shared" si="19"/>
        <v>0</v>
      </c>
      <c r="T21" s="582" t="s">
        <v>1042</v>
      </c>
      <c r="U21" s="581">
        <v>-4135744.2799999989</v>
      </c>
      <c r="V21" s="581">
        <v>0</v>
      </c>
      <c r="W21" s="581">
        <f t="shared" si="2"/>
        <v>0</v>
      </c>
      <c r="X21" s="581">
        <f t="shared" si="2"/>
        <v>0</v>
      </c>
      <c r="Y21" s="581">
        <f t="shared" si="2"/>
        <v>0</v>
      </c>
      <c r="Z21" s="581">
        <f t="shared" si="2"/>
        <v>0</v>
      </c>
      <c r="AA21" s="581">
        <f t="shared" si="2"/>
        <v>0</v>
      </c>
      <c r="AB21" s="581">
        <f t="shared" si="2"/>
        <v>0</v>
      </c>
      <c r="AC21" s="581"/>
      <c r="AE21" s="582" t="s">
        <v>1042</v>
      </c>
      <c r="AF21" s="547">
        <f t="shared" si="6"/>
        <v>-4.1360000000000001</v>
      </c>
      <c r="AG21" s="547">
        <f t="shared" si="7"/>
        <v>0</v>
      </c>
      <c r="AH21" s="547">
        <f t="shared" si="8"/>
        <v>0</v>
      </c>
      <c r="AI21" s="547">
        <f t="shared" si="9"/>
        <v>0</v>
      </c>
      <c r="AJ21" s="547">
        <f t="shared" si="10"/>
        <v>0</v>
      </c>
      <c r="AK21" s="547">
        <f t="shared" si="11"/>
        <v>0</v>
      </c>
      <c r="AL21" s="547">
        <f t="shared" si="12"/>
        <v>0</v>
      </c>
      <c r="AM21" s="547">
        <f t="shared" si="13"/>
        <v>0</v>
      </c>
    </row>
    <row r="22" spans="1:39" x14ac:dyDescent="0.2">
      <c r="A22" s="582" t="s">
        <v>1043</v>
      </c>
      <c r="B22" s="679">
        <v>29544653.896240287</v>
      </c>
      <c r="C22" s="581">
        <v>17502627.433148298</v>
      </c>
      <c r="D22" s="581">
        <f>HLOOKUP($T22,IncurredByClass,MATCH(D$7,Incurred!$AK$5:$AK$14,0),FALSE)</f>
        <v>27926795.923199043</v>
      </c>
      <c r="E22" s="581">
        <f>HLOOKUP($T22,IncurredByClass,MATCH(E$7,Incurred!$AK$5:$AK$14,0),FALSE)</f>
        <v>15422028.291641926</v>
      </c>
      <c r="F22" s="581">
        <f>HLOOKUP($T22,IncurredByClass,MATCH(F$7,Incurred!$AK$5:$AK$14,0),FALSE)</f>
        <v>16584176.556967461</v>
      </c>
      <c r="G22" s="581">
        <f>HLOOKUP($T22,IncurredByClass,MATCH(G$7,Incurred!$AK$5:$AK$14,0),FALSE)</f>
        <v>13921317.773347836</v>
      </c>
      <c r="H22" s="581">
        <f>HLOOKUP($T22,IncurredByClass,MATCH(H$7,Incurred!$AK$5:$AK$14,0),FALSE)</f>
        <v>13784448.734530965</v>
      </c>
      <c r="I22" s="581">
        <f>HLOOKUP($T22,IncurredByClass,MATCH(I$7,Incurred!$AK$5:$AK$14,0),FALSE)</f>
        <v>7741002.4793730024</v>
      </c>
      <c r="K22" s="576">
        <f t="shared" si="4"/>
        <v>-95006.060493610799</v>
      </c>
      <c r="L22" s="576">
        <f t="shared" si="0"/>
        <v>-164935.34383344278</v>
      </c>
      <c r="M22" s="576">
        <f t="shared" si="14"/>
        <v>-107711.65194039569</v>
      </c>
      <c r="N22" s="576">
        <f t="shared" si="15"/>
        <v>-106874.25496623166</v>
      </c>
      <c r="O22" s="576">
        <f t="shared" si="16"/>
        <v>-72355.011471646678</v>
      </c>
      <c r="P22" s="576">
        <f t="shared" si="17"/>
        <v>-62136.133306233671</v>
      </c>
      <c r="Q22" s="576">
        <f t="shared" si="18"/>
        <v>-55166.912739613814</v>
      </c>
      <c r="R22" s="576">
        <f t="shared" si="19"/>
        <v>-41690.714175992456</v>
      </c>
      <c r="T22" s="582" t="s">
        <v>1043</v>
      </c>
      <c r="U22" s="581">
        <v>29449647.835746676</v>
      </c>
      <c r="V22" s="581">
        <v>17337692.089314856</v>
      </c>
      <c r="W22" s="581">
        <f t="shared" si="2"/>
        <v>27819084.271258648</v>
      </c>
      <c r="X22" s="581">
        <f t="shared" si="2"/>
        <v>15315154.036675695</v>
      </c>
      <c r="Y22" s="581">
        <f t="shared" si="2"/>
        <v>16511821.545495816</v>
      </c>
      <c r="Z22" s="581">
        <f t="shared" si="2"/>
        <v>13859181.640041603</v>
      </c>
      <c r="AA22" s="581">
        <f t="shared" si="2"/>
        <v>13729281.821791351</v>
      </c>
      <c r="AB22" s="581">
        <f t="shared" si="2"/>
        <v>7699311.7651970098</v>
      </c>
      <c r="AC22" s="581"/>
      <c r="AE22" s="582" t="s">
        <v>1043</v>
      </c>
      <c r="AF22" s="547">
        <f t="shared" si="6"/>
        <v>29.45</v>
      </c>
      <c r="AG22" s="547">
        <f t="shared" si="7"/>
        <v>17.338000000000001</v>
      </c>
      <c r="AH22" s="547">
        <f t="shared" si="8"/>
        <v>27.818999999999999</v>
      </c>
      <c r="AI22" s="547">
        <f t="shared" si="9"/>
        <v>15.315</v>
      </c>
      <c r="AJ22" s="547">
        <f t="shared" si="10"/>
        <v>16.512</v>
      </c>
      <c r="AK22" s="547">
        <f t="shared" si="11"/>
        <v>13.859</v>
      </c>
      <c r="AL22" s="547">
        <f t="shared" si="12"/>
        <v>13.728999999999999</v>
      </c>
      <c r="AM22" s="547">
        <f t="shared" si="13"/>
        <v>7.6989999999999998</v>
      </c>
    </row>
    <row r="23" spans="1:39" x14ac:dyDescent="0.2">
      <c r="A23" s="582" t="s">
        <v>1044</v>
      </c>
      <c r="B23" s="679">
        <v>9827195.0727591962</v>
      </c>
      <c r="C23" s="581">
        <v>11993740.119694982</v>
      </c>
      <c r="D23" s="581">
        <f>HLOOKUP($T23,IncurredByClass,MATCH(D$7,Incurred!$AK$5:$AK$14,0),FALSE)</f>
        <v>6334497.8047102802</v>
      </c>
      <c r="E23" s="581">
        <f>HLOOKUP($T23,IncurredByClass,MATCH(E$7,Incurred!$AK$5:$AK$14,0),FALSE)</f>
        <v>1088528.3219242969</v>
      </c>
      <c r="F23" s="581">
        <f>HLOOKUP($T23,IncurredByClass,MATCH(F$7,Incurred!$AK$5:$AK$14,0),FALSE)</f>
        <v>832228.46936680097</v>
      </c>
      <c r="G23" s="581">
        <f>HLOOKUP($T23,IncurredByClass,MATCH(G$7,Incurred!$AK$5:$AK$14,0),FALSE)</f>
        <v>1031170.8093840061</v>
      </c>
      <c r="H23" s="581">
        <f>HLOOKUP($T23,IncurredByClass,MATCH(H$7,Incurred!$AK$5:$AK$14,0),FALSE)</f>
        <v>10017396.830279157</v>
      </c>
      <c r="I23" s="581">
        <f>HLOOKUP($T23,IncurredByClass,MATCH(I$7,Incurred!$AK$5:$AK$14,0),FALSE)</f>
        <v>113819.6063946363</v>
      </c>
      <c r="K23" s="576">
        <f t="shared" si="4"/>
        <v>-19185.872865417972</v>
      </c>
      <c r="L23" s="576">
        <f t="shared" si="0"/>
        <v>-79512.018844796345</v>
      </c>
      <c r="M23" s="576">
        <f t="shared" si="14"/>
        <v>-24431.704397258196</v>
      </c>
      <c r="N23" s="576">
        <f t="shared" si="15"/>
        <v>-7543.472960580063</v>
      </c>
      <c r="O23" s="576">
        <f t="shared" si="16"/>
        <v>-3630.9249507336867</v>
      </c>
      <c r="P23" s="576">
        <f t="shared" si="17"/>
        <v>-4602.5073140739778</v>
      </c>
      <c r="Q23" s="576">
        <f t="shared" si="18"/>
        <v>-40090.74773006497</v>
      </c>
      <c r="R23" s="576">
        <f t="shared" si="19"/>
        <v>-612.99821185525491</v>
      </c>
      <c r="T23" s="582" t="s">
        <v>1044</v>
      </c>
      <c r="U23" s="581">
        <v>9808009.1998937782</v>
      </c>
      <c r="V23" s="581">
        <v>11914228.100850185</v>
      </c>
      <c r="W23" s="581">
        <f t="shared" si="2"/>
        <v>6310066.1003130218</v>
      </c>
      <c r="X23" s="581">
        <f t="shared" si="2"/>
        <v>1080984.8489637168</v>
      </c>
      <c r="Y23" s="581">
        <f t="shared" si="2"/>
        <v>828597.54441606731</v>
      </c>
      <c r="Z23" s="581">
        <f t="shared" si="2"/>
        <v>1026568.3020699321</v>
      </c>
      <c r="AA23" s="581">
        <f t="shared" si="2"/>
        <v>9977306.0825490914</v>
      </c>
      <c r="AB23" s="581">
        <f t="shared" si="2"/>
        <v>113206.60818278104</v>
      </c>
      <c r="AC23" s="581"/>
      <c r="AE23" s="582" t="s">
        <v>1044</v>
      </c>
      <c r="AF23" s="547">
        <f t="shared" si="6"/>
        <v>9.8079999999999998</v>
      </c>
      <c r="AG23" s="547">
        <f t="shared" si="7"/>
        <v>11.914</v>
      </c>
      <c r="AH23" s="547">
        <f t="shared" si="8"/>
        <v>6.31</v>
      </c>
      <c r="AI23" s="547">
        <f t="shared" si="9"/>
        <v>1.081</v>
      </c>
      <c r="AJ23" s="547">
        <f t="shared" si="10"/>
        <v>0.82899999999999996</v>
      </c>
      <c r="AK23" s="547">
        <f t="shared" si="11"/>
        <v>1.0269999999999999</v>
      </c>
      <c r="AL23" s="547">
        <f t="shared" si="12"/>
        <v>9.9770000000000003</v>
      </c>
      <c r="AM23" s="547">
        <f t="shared" si="13"/>
        <v>0.113</v>
      </c>
    </row>
    <row r="24" spans="1:39" x14ac:dyDescent="0.2">
      <c r="A24" s="582" t="s">
        <v>1045</v>
      </c>
      <c r="B24" s="679">
        <v>1761200.8425531706</v>
      </c>
      <c r="C24" s="581">
        <v>535955.88154408638</v>
      </c>
      <c r="D24" s="581">
        <f>HLOOKUP($T24,IncurredByClass,MATCH(D$7,Incurred!$AK$5:$AK$14,0),FALSE)</f>
        <v>1645273.4750393806</v>
      </c>
      <c r="E24" s="581">
        <f>HLOOKUP($T24,IncurredByClass,MATCH(E$7,Incurred!$AK$5:$AK$14,0),FALSE)</f>
        <v>349042.01798978902</v>
      </c>
      <c r="F24" s="581">
        <f>HLOOKUP($T24,IncurredByClass,MATCH(F$7,Incurred!$AK$5:$AK$14,0),FALSE)</f>
        <v>13002.631108796213</v>
      </c>
      <c r="G24" s="581">
        <f>HLOOKUP($T24,IncurredByClass,MATCH(G$7,Incurred!$AK$5:$AK$14,0),FALSE)</f>
        <v>31969.772047798659</v>
      </c>
      <c r="H24" s="581">
        <f>HLOOKUP($T24,IncurredByClass,MATCH(H$7,Incurred!$AK$5:$AK$14,0),FALSE)</f>
        <v>49274.907416433074</v>
      </c>
      <c r="I24" s="581">
        <f>HLOOKUP($T24,IncurredByClass,MATCH(I$7,Incurred!$AK$5:$AK$14,0),FALSE)</f>
        <v>77452.064710923092</v>
      </c>
      <c r="K24" s="576">
        <f t="shared" si="4"/>
        <v>-13372.234141276218</v>
      </c>
      <c r="L24" s="576">
        <f t="shared" si="0"/>
        <v>-16145.998133954359</v>
      </c>
      <c r="M24" s="576">
        <f t="shared" si="14"/>
        <v>-6345.7019694476603</v>
      </c>
      <c r="N24" s="576">
        <f t="shared" si="15"/>
        <v>-2418.8521068130626</v>
      </c>
      <c r="O24" s="576">
        <f t="shared" si="16"/>
        <v>-56.729106796881155</v>
      </c>
      <c r="P24" s="576">
        <f t="shared" si="17"/>
        <v>-142.69324571665223</v>
      </c>
      <c r="Q24" s="576">
        <f t="shared" si="18"/>
        <v>-197.20371630715115</v>
      </c>
      <c r="R24" s="576">
        <f t="shared" si="19"/>
        <v>-417.13355612632591</v>
      </c>
      <c r="T24" s="582" t="s">
        <v>1045</v>
      </c>
      <c r="U24" s="581">
        <v>1747828.6084118944</v>
      </c>
      <c r="V24" s="581">
        <v>519809.88341013202</v>
      </c>
      <c r="W24" s="581">
        <f t="shared" ref="W24:W30" si="20">D24+M24</f>
        <v>1638927.7730699331</v>
      </c>
      <c r="X24" s="581">
        <f t="shared" ref="X24:X30" si="21">E24+N24</f>
        <v>346623.16588297597</v>
      </c>
      <c r="Y24" s="581">
        <f t="shared" ref="Y24:Y30" si="22">F24+O24</f>
        <v>12945.902001999331</v>
      </c>
      <c r="Z24" s="581">
        <f t="shared" ref="Z24:Z30" si="23">G24+P24</f>
        <v>31827.078802082007</v>
      </c>
      <c r="AA24" s="581">
        <f t="shared" ref="AA24:AA30" si="24">H24+Q24</f>
        <v>49077.703700125923</v>
      </c>
      <c r="AB24" s="581">
        <f t="shared" ref="AB24:AB30" si="25">I24+R24</f>
        <v>77034.931154796766</v>
      </c>
      <c r="AC24" s="581"/>
      <c r="AE24" s="582" t="s">
        <v>1045</v>
      </c>
      <c r="AF24" s="547">
        <f t="shared" si="6"/>
        <v>1.748</v>
      </c>
      <c r="AG24" s="547">
        <f t="shared" ref="AG24:AG30" si="26">ROUND(V24/1000000,$AF$2)</f>
        <v>0.52</v>
      </c>
      <c r="AH24" s="547">
        <f t="shared" ref="AH24:AH30" si="27">ROUND(W24/1000000,$AF$2)</f>
        <v>1.639</v>
      </c>
      <c r="AI24" s="547">
        <f t="shared" ref="AI24:AI30" si="28">ROUND(X24/1000000,$AF$2)</f>
        <v>0.34699999999999998</v>
      </c>
      <c r="AJ24" s="547">
        <f t="shared" ref="AJ24:AJ30" si="29">ROUND(Y24/1000000,$AF$2)</f>
        <v>1.2999999999999999E-2</v>
      </c>
      <c r="AK24" s="547">
        <f t="shared" ref="AK24:AK30" si="30">ROUND(Z24/1000000,$AF$2)</f>
        <v>3.2000000000000001E-2</v>
      </c>
      <c r="AL24" s="547">
        <f t="shared" ref="AL24:AL30" si="31">ROUND(AA24/1000000,$AF$2)</f>
        <v>4.9000000000000002E-2</v>
      </c>
      <c r="AM24" s="547">
        <f t="shared" ref="AM24:AM30" si="32">ROUND(AB24/1000000,$AF$2)</f>
        <v>7.6999999999999999E-2</v>
      </c>
    </row>
    <row r="25" spans="1:39" x14ac:dyDescent="0.2">
      <c r="A25" s="582" t="s">
        <v>2271</v>
      </c>
      <c r="B25" s="679">
        <v>0</v>
      </c>
      <c r="C25" s="581">
        <v>0</v>
      </c>
      <c r="D25" s="581"/>
      <c r="E25" s="581"/>
      <c r="F25" s="581"/>
      <c r="G25" s="581"/>
      <c r="H25" s="581"/>
      <c r="I25" s="581"/>
      <c r="K25" s="576">
        <f t="shared" si="4"/>
        <v>0</v>
      </c>
      <c r="L25" s="576">
        <f t="shared" si="0"/>
        <v>0</v>
      </c>
      <c r="M25" s="576">
        <f t="shared" si="14"/>
        <v>0</v>
      </c>
      <c r="N25" s="576">
        <f t="shared" si="15"/>
        <v>0</v>
      </c>
      <c r="O25" s="576">
        <f t="shared" si="16"/>
        <v>0</v>
      </c>
      <c r="P25" s="576">
        <f t="shared" si="17"/>
        <v>0</v>
      </c>
      <c r="Q25" s="576">
        <f t="shared" si="18"/>
        <v>0</v>
      </c>
      <c r="R25" s="576">
        <f t="shared" si="19"/>
        <v>0</v>
      </c>
      <c r="T25" s="582" t="s">
        <v>2271</v>
      </c>
      <c r="U25" s="581">
        <v>0</v>
      </c>
      <c r="V25" s="581">
        <v>0</v>
      </c>
      <c r="W25" s="581">
        <f t="shared" si="20"/>
        <v>0</v>
      </c>
      <c r="X25" s="581">
        <f t="shared" si="21"/>
        <v>0</v>
      </c>
      <c r="Y25" s="581">
        <f t="shared" si="22"/>
        <v>0</v>
      </c>
      <c r="Z25" s="581">
        <f t="shared" si="23"/>
        <v>0</v>
      </c>
      <c r="AA25" s="581">
        <f t="shared" si="24"/>
        <v>0</v>
      </c>
      <c r="AB25" s="581">
        <f t="shared" si="25"/>
        <v>0</v>
      </c>
      <c r="AC25" s="581"/>
      <c r="AE25" s="582" t="s">
        <v>2271</v>
      </c>
      <c r="AF25" s="547">
        <f t="shared" si="6"/>
        <v>0</v>
      </c>
      <c r="AG25" s="547">
        <f t="shared" si="26"/>
        <v>0</v>
      </c>
      <c r="AH25" s="547">
        <f t="shared" si="27"/>
        <v>0</v>
      </c>
      <c r="AI25" s="547">
        <f t="shared" si="28"/>
        <v>0</v>
      </c>
      <c r="AJ25" s="547">
        <f t="shared" si="29"/>
        <v>0</v>
      </c>
      <c r="AK25" s="547">
        <f t="shared" si="30"/>
        <v>0</v>
      </c>
      <c r="AL25" s="547">
        <f t="shared" si="31"/>
        <v>0</v>
      </c>
      <c r="AM25" s="547">
        <f t="shared" si="32"/>
        <v>0</v>
      </c>
    </row>
    <row r="26" spans="1:39" x14ac:dyDescent="0.2">
      <c r="A26" s="582" t="s">
        <v>2272</v>
      </c>
      <c r="B26" s="679">
        <v>0</v>
      </c>
      <c r="C26" s="581">
        <v>0</v>
      </c>
      <c r="D26" s="581"/>
      <c r="E26" s="581"/>
      <c r="F26" s="581"/>
      <c r="G26" s="581"/>
      <c r="H26" s="581"/>
      <c r="I26" s="581"/>
      <c r="K26" s="576">
        <f t="shared" si="4"/>
        <v>0</v>
      </c>
      <c r="L26" s="576">
        <f t="shared" si="0"/>
        <v>0</v>
      </c>
      <c r="M26" s="576">
        <f t="shared" si="14"/>
        <v>0</v>
      </c>
      <c r="N26" s="576">
        <f t="shared" si="15"/>
        <v>0</v>
      </c>
      <c r="O26" s="576">
        <f t="shared" si="16"/>
        <v>0</v>
      </c>
      <c r="P26" s="576">
        <f t="shared" si="17"/>
        <v>0</v>
      </c>
      <c r="Q26" s="576">
        <f t="shared" si="18"/>
        <v>0</v>
      </c>
      <c r="R26" s="576">
        <f t="shared" si="19"/>
        <v>0</v>
      </c>
      <c r="T26" s="582" t="s">
        <v>2272</v>
      </c>
      <c r="U26" s="581">
        <v>0</v>
      </c>
      <c r="V26" s="581">
        <v>0</v>
      </c>
      <c r="W26" s="581">
        <f t="shared" si="20"/>
        <v>0</v>
      </c>
      <c r="X26" s="581">
        <f t="shared" si="21"/>
        <v>0</v>
      </c>
      <c r="Y26" s="581">
        <f t="shared" si="22"/>
        <v>0</v>
      </c>
      <c r="Z26" s="581">
        <f t="shared" si="23"/>
        <v>0</v>
      </c>
      <c r="AA26" s="581">
        <f t="shared" si="24"/>
        <v>0</v>
      </c>
      <c r="AB26" s="581">
        <f t="shared" si="25"/>
        <v>0</v>
      </c>
      <c r="AC26" s="581"/>
      <c r="AE26" s="582" t="s">
        <v>2272</v>
      </c>
      <c r="AF26" s="547">
        <f t="shared" si="6"/>
        <v>0</v>
      </c>
      <c r="AG26" s="547">
        <f t="shared" si="26"/>
        <v>0</v>
      </c>
      <c r="AH26" s="547">
        <f t="shared" si="27"/>
        <v>0</v>
      </c>
      <c r="AI26" s="547">
        <f t="shared" si="28"/>
        <v>0</v>
      </c>
      <c r="AJ26" s="547">
        <f t="shared" si="29"/>
        <v>0</v>
      </c>
      <c r="AK26" s="547">
        <f t="shared" si="30"/>
        <v>0</v>
      </c>
      <c r="AL26" s="547">
        <f t="shared" si="31"/>
        <v>0</v>
      </c>
      <c r="AM26" s="547">
        <f t="shared" si="32"/>
        <v>0</v>
      </c>
    </row>
    <row r="27" spans="1:39" x14ac:dyDescent="0.2">
      <c r="A27" s="582" t="s">
        <v>2273</v>
      </c>
      <c r="B27" s="679">
        <v>0</v>
      </c>
      <c r="C27" s="581">
        <v>0</v>
      </c>
      <c r="D27" s="581"/>
      <c r="E27" s="581"/>
      <c r="F27" s="581"/>
      <c r="G27" s="581"/>
      <c r="H27" s="581"/>
      <c r="I27" s="581"/>
      <c r="K27" s="576">
        <f t="shared" si="4"/>
        <v>0</v>
      </c>
      <c r="L27" s="576">
        <f t="shared" si="0"/>
        <v>0</v>
      </c>
      <c r="M27" s="576">
        <f t="shared" si="14"/>
        <v>0</v>
      </c>
      <c r="N27" s="576">
        <f t="shared" si="15"/>
        <v>0</v>
      </c>
      <c r="O27" s="576">
        <f t="shared" si="16"/>
        <v>0</v>
      </c>
      <c r="P27" s="576">
        <f t="shared" si="17"/>
        <v>0</v>
      </c>
      <c r="Q27" s="576">
        <f t="shared" si="18"/>
        <v>0</v>
      </c>
      <c r="R27" s="576">
        <f t="shared" si="19"/>
        <v>0</v>
      </c>
      <c r="T27" s="582" t="s">
        <v>2273</v>
      </c>
      <c r="U27" s="581">
        <v>0</v>
      </c>
      <c r="V27" s="581">
        <v>0</v>
      </c>
      <c r="W27" s="581">
        <f t="shared" si="20"/>
        <v>0</v>
      </c>
      <c r="X27" s="581">
        <f t="shared" si="21"/>
        <v>0</v>
      </c>
      <c r="Y27" s="581">
        <f t="shared" si="22"/>
        <v>0</v>
      </c>
      <c r="Z27" s="581">
        <f t="shared" si="23"/>
        <v>0</v>
      </c>
      <c r="AA27" s="581">
        <f t="shared" si="24"/>
        <v>0</v>
      </c>
      <c r="AB27" s="581">
        <f t="shared" si="25"/>
        <v>0</v>
      </c>
      <c r="AC27" s="581"/>
      <c r="AE27" s="582" t="s">
        <v>2273</v>
      </c>
      <c r="AF27" s="547">
        <f t="shared" si="6"/>
        <v>0</v>
      </c>
      <c r="AG27" s="547">
        <f t="shared" si="26"/>
        <v>0</v>
      </c>
      <c r="AH27" s="547">
        <f t="shared" si="27"/>
        <v>0</v>
      </c>
      <c r="AI27" s="547">
        <f t="shared" si="28"/>
        <v>0</v>
      </c>
      <c r="AJ27" s="547">
        <f t="shared" si="29"/>
        <v>0</v>
      </c>
      <c r="AK27" s="547">
        <f t="shared" si="30"/>
        <v>0</v>
      </c>
      <c r="AL27" s="547">
        <f t="shared" si="31"/>
        <v>0</v>
      </c>
      <c r="AM27" s="547">
        <f t="shared" si="32"/>
        <v>0</v>
      </c>
    </row>
    <row r="28" spans="1:39" x14ac:dyDescent="0.2">
      <c r="A28" s="582" t="s">
        <v>1059</v>
      </c>
      <c r="B28" s="679">
        <v>0</v>
      </c>
      <c r="C28" s="581">
        <v>0</v>
      </c>
      <c r="D28" s="581"/>
      <c r="E28" s="581"/>
      <c r="F28" s="581"/>
      <c r="G28" s="581"/>
      <c r="H28" s="581"/>
      <c r="I28" s="581"/>
      <c r="K28" s="576">
        <f t="shared" si="4"/>
        <v>0</v>
      </c>
      <c r="L28" s="576">
        <f t="shared" si="0"/>
        <v>0</v>
      </c>
      <c r="M28" s="576">
        <f t="shared" si="14"/>
        <v>0</v>
      </c>
      <c r="N28" s="576">
        <f t="shared" si="15"/>
        <v>0</v>
      </c>
      <c r="O28" s="576">
        <f t="shared" si="16"/>
        <v>0</v>
      </c>
      <c r="P28" s="576">
        <f t="shared" si="17"/>
        <v>0</v>
      </c>
      <c r="Q28" s="576">
        <f t="shared" si="18"/>
        <v>0</v>
      </c>
      <c r="R28" s="576">
        <f t="shared" si="19"/>
        <v>0</v>
      </c>
      <c r="T28" s="582" t="s">
        <v>1059</v>
      </c>
      <c r="U28" s="581">
        <v>0</v>
      </c>
      <c r="V28" s="581">
        <v>0</v>
      </c>
      <c r="W28" s="581">
        <f t="shared" si="20"/>
        <v>0</v>
      </c>
      <c r="X28" s="581">
        <f t="shared" si="21"/>
        <v>0</v>
      </c>
      <c r="Y28" s="581">
        <f t="shared" si="22"/>
        <v>0</v>
      </c>
      <c r="Z28" s="581">
        <f t="shared" si="23"/>
        <v>0</v>
      </c>
      <c r="AA28" s="581">
        <f t="shared" si="24"/>
        <v>0</v>
      </c>
      <c r="AB28" s="581">
        <f t="shared" si="25"/>
        <v>0</v>
      </c>
      <c r="AC28" s="581"/>
      <c r="AE28" s="582" t="s">
        <v>1059</v>
      </c>
      <c r="AF28" s="547">
        <f t="shared" si="6"/>
        <v>0</v>
      </c>
      <c r="AG28" s="547">
        <f t="shared" si="26"/>
        <v>0</v>
      </c>
      <c r="AH28" s="547">
        <f t="shared" si="27"/>
        <v>0</v>
      </c>
      <c r="AI28" s="547">
        <f t="shared" si="28"/>
        <v>0</v>
      </c>
      <c r="AJ28" s="547">
        <f t="shared" si="29"/>
        <v>0</v>
      </c>
      <c r="AK28" s="547">
        <f t="shared" si="30"/>
        <v>0</v>
      </c>
      <c r="AL28" s="547">
        <f t="shared" si="31"/>
        <v>0</v>
      </c>
      <c r="AM28" s="547">
        <f t="shared" si="32"/>
        <v>0</v>
      </c>
    </row>
    <row r="29" spans="1:39" x14ac:dyDescent="0.2">
      <c r="A29" s="582" t="s">
        <v>1060</v>
      </c>
      <c r="B29" s="679">
        <v>0</v>
      </c>
      <c r="C29" s="581">
        <v>0</v>
      </c>
      <c r="D29" s="581"/>
      <c r="E29" s="581"/>
      <c r="F29" s="581"/>
      <c r="G29" s="581"/>
      <c r="H29" s="581"/>
      <c r="I29" s="581"/>
      <c r="K29" s="576">
        <f t="shared" si="4"/>
        <v>0</v>
      </c>
      <c r="L29" s="576">
        <f t="shared" si="0"/>
        <v>0</v>
      </c>
      <c r="M29" s="576">
        <f t="shared" si="14"/>
        <v>0</v>
      </c>
      <c r="N29" s="576">
        <f t="shared" si="15"/>
        <v>0</v>
      </c>
      <c r="O29" s="576">
        <f t="shared" si="16"/>
        <v>0</v>
      </c>
      <c r="P29" s="576">
        <f t="shared" si="17"/>
        <v>0</v>
      </c>
      <c r="Q29" s="576">
        <f t="shared" si="18"/>
        <v>0</v>
      </c>
      <c r="R29" s="576">
        <f t="shared" si="19"/>
        <v>0</v>
      </c>
      <c r="T29" s="582" t="s">
        <v>1060</v>
      </c>
      <c r="U29" s="581">
        <v>0</v>
      </c>
      <c r="V29" s="581">
        <v>0</v>
      </c>
      <c r="W29" s="581">
        <f t="shared" si="20"/>
        <v>0</v>
      </c>
      <c r="X29" s="581">
        <f t="shared" si="21"/>
        <v>0</v>
      </c>
      <c r="Y29" s="581">
        <f t="shared" si="22"/>
        <v>0</v>
      </c>
      <c r="Z29" s="581">
        <f t="shared" si="23"/>
        <v>0</v>
      </c>
      <c r="AA29" s="581">
        <f t="shared" si="24"/>
        <v>0</v>
      </c>
      <c r="AB29" s="581">
        <f t="shared" si="25"/>
        <v>0</v>
      </c>
      <c r="AC29" s="581"/>
      <c r="AE29" s="582" t="s">
        <v>1060</v>
      </c>
      <c r="AF29" s="547">
        <f t="shared" si="6"/>
        <v>0</v>
      </c>
      <c r="AG29" s="547">
        <f t="shared" si="26"/>
        <v>0</v>
      </c>
      <c r="AH29" s="547">
        <f t="shared" si="27"/>
        <v>0</v>
      </c>
      <c r="AI29" s="547">
        <f t="shared" si="28"/>
        <v>0</v>
      </c>
      <c r="AJ29" s="547">
        <f t="shared" si="29"/>
        <v>0</v>
      </c>
      <c r="AK29" s="547">
        <f t="shared" si="30"/>
        <v>0</v>
      </c>
      <c r="AL29" s="547">
        <f t="shared" si="31"/>
        <v>0</v>
      </c>
      <c r="AM29" s="547">
        <f t="shared" si="32"/>
        <v>0</v>
      </c>
    </row>
    <row r="30" spans="1:39" x14ac:dyDescent="0.2">
      <c r="A30" s="582" t="s">
        <v>1047</v>
      </c>
      <c r="B30" s="679">
        <v>27253501.089523606</v>
      </c>
      <c r="C30" s="581">
        <v>23368360.796016473</v>
      </c>
      <c r="D30" s="581">
        <f>HLOOKUP($T30,IncurredByClass,MATCH(D$7,Incurred!$AK$5:$AK$14,0),FALSE)</f>
        <v>9676558.8798211236</v>
      </c>
      <c r="E30" s="581">
        <f>HLOOKUP($T30,IncurredByClass,MATCH(E$7,Incurred!$AK$5:$AK$14,0),FALSE)</f>
        <v>23770.98660501001</v>
      </c>
      <c r="F30" s="581">
        <f>HLOOKUP($T30,IncurredByClass,MATCH(F$7,Incurred!$AK$5:$AK$14,0),FALSE)</f>
        <v>0</v>
      </c>
      <c r="G30" s="581">
        <f>HLOOKUP($T30,IncurredByClass,MATCH(G$7,Incurred!$AK$5:$AK$14,0),FALSE)</f>
        <v>0</v>
      </c>
      <c r="H30" s="581">
        <f>HLOOKUP($T30,IncurredByClass,MATCH(H$7,Incurred!$AK$5:$AK$14,0),FALSE)</f>
        <v>0</v>
      </c>
      <c r="I30" s="581">
        <f>HLOOKUP($T30,IncurredByClass,MATCH(I$7,Incurred!$AK$5:$AK$14,0),FALSE)</f>
        <v>0</v>
      </c>
      <c r="K30" s="576">
        <f t="shared" si="4"/>
        <v>-45225.183271229267</v>
      </c>
      <c r="L30" s="576">
        <f t="shared" si="0"/>
        <v>-80890.279094211757</v>
      </c>
      <c r="M30" s="576">
        <f t="shared" si="14"/>
        <v>-37321.794627295865</v>
      </c>
      <c r="N30" s="576">
        <f t="shared" si="15"/>
        <v>-164.73231893884946</v>
      </c>
      <c r="O30" s="576">
        <f t="shared" si="16"/>
        <v>0</v>
      </c>
      <c r="P30" s="576">
        <f t="shared" si="17"/>
        <v>0</v>
      </c>
      <c r="Q30" s="576">
        <f t="shared" si="18"/>
        <v>0</v>
      </c>
      <c r="R30" s="576">
        <f t="shared" si="19"/>
        <v>0</v>
      </c>
      <c r="T30" s="582" t="s">
        <v>1047</v>
      </c>
      <c r="U30" s="581">
        <v>27208275.906252377</v>
      </c>
      <c r="V30" s="581">
        <v>23287470.516922262</v>
      </c>
      <c r="W30" s="581">
        <f t="shared" si="20"/>
        <v>9639237.0851938277</v>
      </c>
      <c r="X30" s="581">
        <f t="shared" si="21"/>
        <v>23606.254286071162</v>
      </c>
      <c r="Y30" s="581">
        <f t="shared" si="22"/>
        <v>0</v>
      </c>
      <c r="Z30" s="581">
        <f t="shared" si="23"/>
        <v>0</v>
      </c>
      <c r="AA30" s="581">
        <f t="shared" si="24"/>
        <v>0</v>
      </c>
      <c r="AB30" s="581">
        <f t="shared" si="25"/>
        <v>0</v>
      </c>
      <c r="AC30" s="581"/>
      <c r="AE30" s="582" t="s">
        <v>1047</v>
      </c>
      <c r="AF30" s="547">
        <f t="shared" si="6"/>
        <v>27.207999999999998</v>
      </c>
      <c r="AG30" s="547">
        <f t="shared" si="26"/>
        <v>23.286999999999999</v>
      </c>
      <c r="AH30" s="547">
        <f t="shared" si="27"/>
        <v>9.6389999999999993</v>
      </c>
      <c r="AI30" s="547">
        <f t="shared" si="28"/>
        <v>2.4E-2</v>
      </c>
      <c r="AJ30" s="547">
        <f t="shared" si="29"/>
        <v>0</v>
      </c>
      <c r="AK30" s="547">
        <f t="shared" si="30"/>
        <v>0</v>
      </c>
      <c r="AL30" s="547">
        <f t="shared" si="31"/>
        <v>0</v>
      </c>
      <c r="AM30" s="547">
        <f t="shared" si="32"/>
        <v>0</v>
      </c>
    </row>
    <row r="31" spans="1:39" x14ac:dyDescent="0.2">
      <c r="A31" s="582" t="s">
        <v>2985</v>
      </c>
      <c r="B31" s="680"/>
      <c r="C31" s="581"/>
      <c r="E31" s="583">
        <f>HLOOKUP($T10,IncurredByClass,MATCH(E$7,Incurred!$AK$5:$AK$14,0),FALSE)</f>
        <v>13897740.965147903</v>
      </c>
      <c r="F31" s="583">
        <f>HLOOKUP($T10,IncurredByClass,MATCH(F$7,Incurred!$AK$5:$AK$14,0),FALSE)</f>
        <v>4204219.5642138524</v>
      </c>
      <c r="G31" s="583">
        <f>HLOOKUP($T10,IncurredByClass,MATCH(G$7,Incurred!$AK$5:$AK$14,0),FALSE)</f>
        <v>4142411.1874557743</v>
      </c>
      <c r="H31" s="583">
        <f>HLOOKUP($T10,IncurredByClass,MATCH(H$7,Incurred!$AK$5:$AK$14,0),FALSE)</f>
        <v>3669558.0568078016</v>
      </c>
      <c r="I31" s="583">
        <f>HLOOKUP($T10,IncurredByClass,MATCH(I$7,Incurred!$AK$5:$AK$14,0),FALSE)</f>
        <v>2194566.9554080376</v>
      </c>
      <c r="N31" s="576">
        <f t="shared" si="15"/>
        <v>-96310.983437167844</v>
      </c>
      <c r="O31" s="576">
        <f t="shared" si="16"/>
        <v>-18342.56610529231</v>
      </c>
      <c r="P31" s="576">
        <f t="shared" si="17"/>
        <v>-18489.155835933991</v>
      </c>
      <c r="Q31" s="576">
        <f t="shared" si="18"/>
        <v>-14685.983677079639</v>
      </c>
      <c r="R31" s="576">
        <f t="shared" si="19"/>
        <v>-11819.278436066996</v>
      </c>
      <c r="T31" s="582" t="s">
        <v>2632</v>
      </c>
      <c r="W31" s="581">
        <f t="shared" ref="W31:AB32" si="33">D31+M31</f>
        <v>0</v>
      </c>
      <c r="X31" s="581">
        <f t="shared" si="33"/>
        <v>13801429.981710736</v>
      </c>
      <c r="Y31" s="581">
        <f t="shared" si="33"/>
        <v>4185876.9981085602</v>
      </c>
      <c r="Z31" s="581">
        <f t="shared" si="33"/>
        <v>4123922.0316198403</v>
      </c>
      <c r="AA31" s="581">
        <f t="shared" si="33"/>
        <v>3654872.0731307222</v>
      </c>
      <c r="AB31" s="581">
        <f t="shared" si="33"/>
        <v>2182747.6769719706</v>
      </c>
      <c r="AE31" s="582" t="s">
        <v>2632</v>
      </c>
      <c r="AH31" s="547">
        <f t="shared" ref="AH31:AM32" si="34">ROUND(W31/1000000,$AF$2)</f>
        <v>0</v>
      </c>
      <c r="AI31" s="547">
        <f t="shared" si="34"/>
        <v>13.801</v>
      </c>
      <c r="AJ31" s="547">
        <f t="shared" si="34"/>
        <v>4.1859999999999999</v>
      </c>
      <c r="AK31" s="547">
        <f t="shared" si="34"/>
        <v>4.1239999999999997</v>
      </c>
      <c r="AL31" s="547">
        <f t="shared" si="34"/>
        <v>3.6549999999999998</v>
      </c>
      <c r="AM31" s="547">
        <f t="shared" si="34"/>
        <v>2.1829999999999998</v>
      </c>
    </row>
    <row r="32" spans="1:39" x14ac:dyDescent="0.2">
      <c r="A32" s="584" t="s">
        <v>3051</v>
      </c>
      <c r="B32" s="680"/>
      <c r="C32" s="581"/>
      <c r="D32" s="581">
        <f>HLOOKUP($T32,IncurredByClass,MATCH(D$7,Incurred!$AK$5:$AK$14,0),FALSE)</f>
        <v>7994734.9320768593</v>
      </c>
      <c r="E32" s="581">
        <f>HLOOKUP($T32,IncurredByClass,MATCH(E$7,Incurred!$AK$5:$AK$14,0),FALSE)</f>
        <v>10233104.340337219</v>
      </c>
      <c r="F32" s="581">
        <f>HLOOKUP($T32,IncurredByClass,MATCH(F$7,Incurred!$AK$5:$AK$14,0),FALSE)</f>
        <v>40300997.95487804</v>
      </c>
      <c r="G32" s="581">
        <f>HLOOKUP($T32,IncurredByClass,MATCH(G$7,Incurred!$AK$5:$AK$14,0),FALSE)</f>
        <v>52904396.56067872</v>
      </c>
      <c r="H32" s="581">
        <f>HLOOKUP($T32,IncurredByClass,MATCH(H$7,Incurred!$AK$5:$AK$14,0),FALSE)</f>
        <v>47397219.017840914</v>
      </c>
      <c r="I32" s="581">
        <f>HLOOKUP($T32,IncurredByClass,MATCH(I$7,Incurred!$AK$5:$AK$14,0),FALSE)</f>
        <v>24691725.608178664</v>
      </c>
      <c r="M32" s="576">
        <f t="shared" ref="M32:N32" si="35">M$3/D$33*D32</f>
        <v>-30835.12010213246</v>
      </c>
      <c r="N32" s="576">
        <f t="shared" si="35"/>
        <v>-70915.14693679857</v>
      </c>
      <c r="O32" s="576">
        <f t="shared" ref="O32" si="36">O$3/F$33*F32</f>
        <v>-175828.99936740773</v>
      </c>
      <c r="P32" s="576">
        <f t="shared" ref="P32" si="37">P$3/G$33*G32</f>
        <v>-236132.43305699289</v>
      </c>
      <c r="Q32" s="576">
        <f t="shared" ref="Q32" si="38">Q$3/H$33*H32</f>
        <v>-189688.9963475616</v>
      </c>
      <c r="R32" s="576">
        <f t="shared" ref="R32" si="39">R$3/I$33*I32</f>
        <v>-132982.21743057622</v>
      </c>
      <c r="T32" s="584" t="s">
        <v>3051</v>
      </c>
      <c r="W32" s="581">
        <f t="shared" si="33"/>
        <v>7963899.8119747266</v>
      </c>
      <c r="X32" s="581">
        <f t="shared" si="33"/>
        <v>10162189.19340042</v>
      </c>
      <c r="Y32" s="581">
        <f t="shared" si="33"/>
        <v>40125168.955510631</v>
      </c>
      <c r="Z32" s="581">
        <f t="shared" si="33"/>
        <v>52668264.127621725</v>
      </c>
      <c r="AA32" s="581">
        <f t="shared" si="33"/>
        <v>47207530.021493353</v>
      </c>
      <c r="AB32" s="581">
        <f t="shared" si="33"/>
        <v>24558743.390748087</v>
      </c>
      <c r="AE32" s="584" t="s">
        <v>3051</v>
      </c>
      <c r="AH32" s="547">
        <f t="shared" si="34"/>
        <v>7.9640000000000004</v>
      </c>
      <c r="AI32" s="547">
        <f t="shared" si="34"/>
        <v>10.162000000000001</v>
      </c>
      <c r="AJ32" s="547">
        <f t="shared" si="34"/>
        <v>40.125</v>
      </c>
      <c r="AK32" s="547">
        <f t="shared" si="34"/>
        <v>52.667999999999999</v>
      </c>
      <c r="AL32" s="547">
        <f t="shared" si="34"/>
        <v>47.207999999999998</v>
      </c>
      <c r="AM32" s="547">
        <f t="shared" si="34"/>
        <v>24.559000000000001</v>
      </c>
    </row>
    <row r="33" spans="1:39" ht="13.5" thickBot="1" x14ac:dyDescent="0.25">
      <c r="A33" s="585" t="s">
        <v>639</v>
      </c>
      <c r="B33" s="674">
        <f>SUM(B8:B32)</f>
        <v>167030089.02000001</v>
      </c>
      <c r="C33" s="587">
        <f t="shared" ref="C33:I33" si="40">SUM(C8:C32)</f>
        <v>151794642.85000002</v>
      </c>
      <c r="D33" s="588">
        <f t="shared" si="40"/>
        <v>175398641.66690776</v>
      </c>
      <c r="E33" s="586">
        <f t="shared" si="40"/>
        <v>99542516.434863344</v>
      </c>
      <c r="F33" s="587">
        <f t="shared" si="40"/>
        <v>105271828.7609424</v>
      </c>
      <c r="G33" s="587">
        <f t="shared" si="40"/>
        <v>117288288.75222147</v>
      </c>
      <c r="H33" s="587">
        <f t="shared" si="40"/>
        <v>111014006.17985702</v>
      </c>
      <c r="I33" s="588">
        <f t="shared" si="40"/>
        <v>60422062.748080879</v>
      </c>
      <c r="K33" s="586">
        <f t="shared" ref="K33:R33" si="41">SUM(K8:K32)</f>
        <v>-681261.33259790484</v>
      </c>
      <c r="L33" s="586">
        <f t="shared" si="41"/>
        <v>-1501478.0000000179</v>
      </c>
      <c r="M33" s="586">
        <f t="shared" si="41"/>
        <v>-676500</v>
      </c>
      <c r="N33" s="586">
        <f t="shared" si="41"/>
        <v>-689827.05</v>
      </c>
      <c r="O33" s="586">
        <f t="shared" si="41"/>
        <v>-459289.87498864555</v>
      </c>
      <c r="P33" s="586">
        <f t="shared" si="41"/>
        <v>-523502.21895807359</v>
      </c>
      <c r="Q33" s="586">
        <f t="shared" si="41"/>
        <v>-444290.52693687635</v>
      </c>
      <c r="R33" s="586">
        <f t="shared" si="41"/>
        <v>-325415.08088473778</v>
      </c>
      <c r="T33" s="585" t="s">
        <v>639</v>
      </c>
      <c r="U33" s="586">
        <f>SUM(U8:U32)</f>
        <v>166348827.68740213</v>
      </c>
      <c r="V33" s="587">
        <f t="shared" ref="V33:AB33" si="42">SUM(V8:V32)</f>
        <v>150293164.84999996</v>
      </c>
      <c r="W33" s="588">
        <f t="shared" si="42"/>
        <v>174722141.66690776</v>
      </c>
      <c r="X33" s="586">
        <f t="shared" si="42"/>
        <v>98852689.384863347</v>
      </c>
      <c r="Y33" s="587">
        <f t="shared" si="42"/>
        <v>104812538.88595375</v>
      </c>
      <c r="Z33" s="587">
        <f t="shared" si="42"/>
        <v>116764786.53326342</v>
      </c>
      <c r="AA33" s="587">
        <f t="shared" si="42"/>
        <v>110569715.65292013</v>
      </c>
      <c r="AB33" s="588">
        <f t="shared" si="42"/>
        <v>60096647.66719614</v>
      </c>
      <c r="AC33" s="592"/>
      <c r="AE33" s="585" t="s">
        <v>639</v>
      </c>
      <c r="AF33" s="593">
        <f>SUM(AF8:AF32)</f>
        <v>166.34800000000001</v>
      </c>
      <c r="AG33" s="593">
        <f t="shared" ref="AG33" si="43">SUM(AG8:AG32)</f>
        <v>150.292</v>
      </c>
      <c r="AH33" s="593">
        <f t="shared" ref="AH33" si="44">SUM(AH8:AH32)</f>
        <v>174.72100000000003</v>
      </c>
      <c r="AI33" s="593">
        <f t="shared" ref="AI33" si="45">SUM(AI8:AI32)</f>
        <v>98.851000000000013</v>
      </c>
      <c r="AJ33" s="593">
        <f t="shared" ref="AJ33" si="46">SUM(AJ8:AJ32)</f>
        <v>104.81399999999999</v>
      </c>
      <c r="AK33" s="593">
        <f t="shared" ref="AK33" si="47">SUM(AK8:AK32)</f>
        <v>116.76599999999999</v>
      </c>
      <c r="AL33" s="593">
        <f t="shared" ref="AL33" si="48">SUM(AL8:AL32)</f>
        <v>110.572</v>
      </c>
      <c r="AM33" s="593">
        <f t="shared" ref="AM33" si="49">SUM(AM8:AM32)</f>
        <v>60.096000000000004</v>
      </c>
    </row>
    <row r="34" spans="1:39" x14ac:dyDescent="0.2">
      <c r="A34" s="584"/>
      <c r="B34" s="594"/>
      <c r="C34" s="595"/>
      <c r="D34" s="596">
        <f>D33+C33</f>
        <v>327193284.51690781</v>
      </c>
      <c r="E34" s="594"/>
      <c r="F34" s="595"/>
      <c r="G34" s="595"/>
      <c r="H34" s="595"/>
      <c r="I34" s="596">
        <f>SUM(E33:I33)</f>
        <v>493538702.87596512</v>
      </c>
      <c r="T34" s="584"/>
      <c r="U34" s="594"/>
      <c r="V34" s="595"/>
      <c r="W34" s="596">
        <f>SUM(U33:W33)</f>
        <v>491364134.20430982</v>
      </c>
      <c r="X34" s="594"/>
      <c r="Y34" s="595"/>
      <c r="Z34" s="595"/>
      <c r="AA34" s="595"/>
      <c r="AB34" s="596">
        <f>SUM(X33:AB33)</f>
        <v>491096378.12419677</v>
      </c>
      <c r="AC34" s="576">
        <f>SUM(U33:AB33)</f>
        <v>982460512.32850671</v>
      </c>
      <c r="AM34" s="600"/>
    </row>
    <row r="35" spans="1:39" x14ac:dyDescent="0.2">
      <c r="A35" s="906" t="s">
        <v>3050</v>
      </c>
      <c r="C35" s="675" t="s">
        <v>2719</v>
      </c>
      <c r="D35" s="676">
        <f>SUM(Incurred!Q15:R15)</f>
        <v>175398641.66690776</v>
      </c>
      <c r="H35" s="675" t="s">
        <v>2292</v>
      </c>
      <c r="I35" s="676">
        <f>SUM(Incurred!S15:W15)</f>
        <v>493538702.87596512</v>
      </c>
      <c r="N35" s="576"/>
      <c r="O35" s="576"/>
      <c r="P35" s="576"/>
      <c r="T35" s="584">
        <v>1000000</v>
      </c>
      <c r="AB35" s="547" t="s">
        <v>2292</v>
      </c>
      <c r="AC35" s="576">
        <f>Incurred!Y15+SUM(K33:R33)</f>
        <v>663635780.4585067</v>
      </c>
      <c r="AD35" s="576"/>
      <c r="AM35" s="600"/>
    </row>
    <row r="36" spans="1:39" x14ac:dyDescent="0.2">
      <c r="A36" s="906"/>
      <c r="B36" s="576">
        <f>Incurred!P15</f>
        <v>0</v>
      </c>
      <c r="C36" s="576"/>
      <c r="D36" s="576"/>
      <c r="E36" s="576"/>
      <c r="F36" s="576"/>
      <c r="G36" s="576"/>
      <c r="H36" s="576"/>
      <c r="I36" s="576"/>
      <c r="L36" s="576"/>
      <c r="M36" s="576">
        <v>-850000</v>
      </c>
      <c r="N36" s="576">
        <v>-550000</v>
      </c>
      <c r="O36" s="576">
        <v>-288560.77018492331</v>
      </c>
      <c r="P36" s="576">
        <v>-356463.31353662955</v>
      </c>
      <c r="Q36" s="576">
        <v>-415055.12428072566</v>
      </c>
      <c r="R36" s="576">
        <v>-684454.8059968868</v>
      </c>
      <c r="T36" s="584"/>
      <c r="AB36" s="576"/>
      <c r="AC36" s="576"/>
      <c r="AD36" s="576"/>
      <c r="AM36" s="600"/>
    </row>
    <row r="37" spans="1:39" x14ac:dyDescent="0.2">
      <c r="A37" s="584"/>
      <c r="B37" s="578" t="s">
        <v>2289</v>
      </c>
      <c r="C37" s="578" t="s">
        <v>2289</v>
      </c>
      <c r="D37" s="578" t="s">
        <v>2289</v>
      </c>
      <c r="E37" s="578" t="s">
        <v>2290</v>
      </c>
      <c r="F37" s="578" t="s">
        <v>2290</v>
      </c>
      <c r="G37" s="578" t="s">
        <v>2290</v>
      </c>
      <c r="H37" s="578" t="s">
        <v>2290</v>
      </c>
      <c r="I37" s="578" t="s">
        <v>2290</v>
      </c>
      <c r="T37" s="584"/>
      <c r="U37" s="578" t="s">
        <v>2289</v>
      </c>
      <c r="V37" s="578" t="s">
        <v>2289</v>
      </c>
      <c r="W37" s="578" t="s">
        <v>2289</v>
      </c>
      <c r="X37" s="578" t="s">
        <v>2290</v>
      </c>
      <c r="Y37" s="578" t="s">
        <v>2290</v>
      </c>
      <c r="Z37" s="578" t="s">
        <v>2290</v>
      </c>
      <c r="AA37" s="578" t="s">
        <v>2290</v>
      </c>
      <c r="AB37" s="578" t="s">
        <v>2290</v>
      </c>
      <c r="AC37" s="576"/>
      <c r="AE37" s="547" t="s">
        <v>2284</v>
      </c>
      <c r="AF37" s="578" t="s">
        <v>2289</v>
      </c>
      <c r="AG37" s="578" t="s">
        <v>2289</v>
      </c>
      <c r="AH37" s="578" t="s">
        <v>2289</v>
      </c>
      <c r="AI37" s="578" t="s">
        <v>2290</v>
      </c>
      <c r="AJ37" s="578" t="s">
        <v>2290</v>
      </c>
      <c r="AK37" s="578" t="s">
        <v>2290</v>
      </c>
      <c r="AL37" s="578" t="s">
        <v>2290</v>
      </c>
      <c r="AM37" s="578" t="s">
        <v>2290</v>
      </c>
    </row>
    <row r="38" spans="1:39" x14ac:dyDescent="0.2">
      <c r="A38" s="602" t="s">
        <v>2981</v>
      </c>
      <c r="B38" s="580" t="s">
        <v>2276</v>
      </c>
      <c r="C38" s="580" t="s">
        <v>2277</v>
      </c>
      <c r="D38" s="580" t="s">
        <v>2278</v>
      </c>
      <c r="E38" s="580" t="s">
        <v>2279</v>
      </c>
      <c r="F38" s="580" t="s">
        <v>2280</v>
      </c>
      <c r="G38" s="580" t="s">
        <v>2281</v>
      </c>
      <c r="H38" s="580" t="s">
        <v>2282</v>
      </c>
      <c r="I38" s="580" t="s">
        <v>2283</v>
      </c>
      <c r="K38" s="580" t="s">
        <v>2276</v>
      </c>
      <c r="L38" s="580" t="s">
        <v>2277</v>
      </c>
      <c r="M38" s="580" t="s">
        <v>2278</v>
      </c>
      <c r="N38" s="580" t="s">
        <v>2279</v>
      </c>
      <c r="O38" s="580" t="s">
        <v>2280</v>
      </c>
      <c r="P38" s="580" t="s">
        <v>2281</v>
      </c>
      <c r="Q38" s="580" t="s">
        <v>2282</v>
      </c>
      <c r="R38" s="580" t="s">
        <v>2283</v>
      </c>
      <c r="T38" s="602" t="s">
        <v>2981</v>
      </c>
      <c r="U38" s="580" t="s">
        <v>2276</v>
      </c>
      <c r="V38" s="580" t="s">
        <v>2277</v>
      </c>
      <c r="W38" s="580" t="s">
        <v>2278</v>
      </c>
      <c r="X38" s="580" t="s">
        <v>2279</v>
      </c>
      <c r="Y38" s="580" t="s">
        <v>2280</v>
      </c>
      <c r="Z38" s="580" t="s">
        <v>2281</v>
      </c>
      <c r="AA38" s="580" t="s">
        <v>2282</v>
      </c>
      <c r="AB38" s="580" t="s">
        <v>2283</v>
      </c>
      <c r="AC38" s="576"/>
      <c r="AE38" s="602" t="s">
        <v>2275</v>
      </c>
      <c r="AF38" s="580" t="s">
        <v>2276</v>
      </c>
      <c r="AG38" s="580" t="s">
        <v>2277</v>
      </c>
      <c r="AH38" s="580" t="s">
        <v>2278</v>
      </c>
      <c r="AI38" s="580" t="s">
        <v>2279</v>
      </c>
      <c r="AJ38" s="580" t="s">
        <v>2280</v>
      </c>
      <c r="AK38" s="580" t="s">
        <v>2281</v>
      </c>
      <c r="AL38" s="580" t="s">
        <v>2282</v>
      </c>
      <c r="AM38" s="580" t="s">
        <v>2283</v>
      </c>
    </row>
    <row r="39" spans="1:39" x14ac:dyDescent="0.2">
      <c r="A39" s="39" t="s">
        <v>1031</v>
      </c>
      <c r="B39" s="679">
        <v>736864.0201070786</v>
      </c>
      <c r="C39" s="581">
        <v>820244.63806628122</v>
      </c>
      <c r="D39" s="581">
        <f>HLOOKUP($T39,CommissionedByClass,MATCH(D$38,Commissioned!$M$4:$M$14,0),FALSE)+HLOOKUP($T39,Commissioned_Extra,MATCH(D$38,'Commissioned Extra'!$I$4:$I$14,0),FALSE)</f>
        <v>6482815.0542355189</v>
      </c>
      <c r="E39" s="581">
        <f>HLOOKUP($T39,CommissionedByClass,MATCH(E$38,Commissioned!$M$4:$M$14,0),FALSE)+HLOOKUP($T39,Commissioned_Extra,MATCH(E$38,'Commissioned Extra'!$I$4:$I$14,0),FALSE)</f>
        <v>3318183.3124868232</v>
      </c>
      <c r="F39" s="581">
        <f>HLOOKUP($T39,CommissionedByClass,MATCH(F$38,Commissioned!$M$4:$M$14,0),FALSE)+HLOOKUP($T39,Commissioned_Extra,MATCH(F$38,'Commissioned Extra'!$I$4:$I$14,0),FALSE)</f>
        <v>643616.38995981298</v>
      </c>
      <c r="G39" s="581">
        <f>HLOOKUP($T39,CommissionedByClass,MATCH(G$38,Commissioned!$M$4:$M$14,0),FALSE)+HLOOKUP($T39,Commissioned_Extra,MATCH(G$38,'Commissioned Extra'!$I$4:$I$14,0),FALSE)</f>
        <v>1131890.3218357253</v>
      </c>
      <c r="H39" s="581">
        <f>HLOOKUP($T39,CommissionedByClass,MATCH(H$38,Commissioned!$M$4:$M$14,0),FALSE)+HLOOKUP($T39,Commissioned_Extra,MATCH(H$38,'Commissioned Extra'!$I$4:$I$14,0),FALSE)</f>
        <v>1110451.2861734119</v>
      </c>
      <c r="I39" s="581">
        <f>HLOOKUP($T39,CommissionedByClass,MATCH(I$38,Commissioned!$M$4:$M$14,0),FALSE)+HLOOKUP($T39,Commissioned_Extra,MATCH(I$38,'Commissioned Extra'!$I$4:$I$14,0),FALSE)</f>
        <v>134574.99865764257</v>
      </c>
      <c r="K39" s="576">
        <f>U39-B39</f>
        <v>-2695.5123515253654</v>
      </c>
      <c r="L39" s="576">
        <f>V39-C39</f>
        <v>-3614.5843287216267</v>
      </c>
      <c r="M39" s="576">
        <f t="shared" ref="M39:R39" si="50">M$36/D$64*D39</f>
        <v>-18040.560322127327</v>
      </c>
      <c r="N39" s="576">
        <f t="shared" si="50"/>
        <v>-13953.333577767338</v>
      </c>
      <c r="O39" s="576">
        <f t="shared" si="50"/>
        <v>-2553.3057367488736</v>
      </c>
      <c r="P39" s="576">
        <f t="shared" si="50"/>
        <v>-4186.7834155593782</v>
      </c>
      <c r="Q39" s="576">
        <f t="shared" si="50"/>
        <v>-4210.794900844925</v>
      </c>
      <c r="R39" s="576">
        <f t="shared" si="50"/>
        <v>-516.20805578565296</v>
      </c>
      <c r="T39" s="39" t="s">
        <v>1031</v>
      </c>
      <c r="U39" s="581">
        <v>734168.50775555323</v>
      </c>
      <c r="V39" s="581">
        <v>816630.05373755959</v>
      </c>
      <c r="W39" s="581">
        <f t="shared" ref="W39:W61" si="51">D39+M39</f>
        <v>6464774.4939133916</v>
      </c>
      <c r="X39" s="581">
        <f t="shared" ref="X39:X61" si="52">E39+N39</f>
        <v>3304229.9789090557</v>
      </c>
      <c r="Y39" s="581">
        <f t="shared" ref="Y39:Y61" si="53">F39+O39</f>
        <v>641063.08422306413</v>
      </c>
      <c r="Z39" s="581">
        <f t="shared" ref="Z39:Z61" si="54">G39+P39</f>
        <v>1127703.5384201659</v>
      </c>
      <c r="AA39" s="581">
        <f t="shared" ref="AA39:AA61" si="55">H39+Q39</f>
        <v>1106240.4912725668</v>
      </c>
      <c r="AB39" s="581">
        <f t="shared" ref="AB39:AB61" si="56">I39+R39</f>
        <v>134058.79060185692</v>
      </c>
      <c r="AC39" s="576"/>
      <c r="AE39" s="39" t="s">
        <v>1031</v>
      </c>
      <c r="AF39" s="547">
        <f>ROUND(U39/1000000,$AF$2)</f>
        <v>0.73399999999999999</v>
      </c>
      <c r="AG39" s="547">
        <f t="shared" ref="AG39:AG61" si="57">ROUND(V39/1000000,$AF$2)</f>
        <v>0.81699999999999995</v>
      </c>
      <c r="AH39" s="547">
        <f t="shared" ref="AH39:AH61" si="58">ROUND(W39/1000000,$AF$2)</f>
        <v>6.4649999999999999</v>
      </c>
      <c r="AI39" s="547">
        <f t="shared" ref="AI39:AI61" si="59">ROUND(X39/1000000,$AF$2)</f>
        <v>3.3039999999999998</v>
      </c>
      <c r="AJ39" s="547">
        <f t="shared" ref="AJ39:AJ61" si="60">ROUND(Y39/1000000,$AF$2)</f>
        <v>0.64100000000000001</v>
      </c>
      <c r="AK39" s="547">
        <f t="shared" ref="AK39:AK61" si="61">ROUND(Z39/1000000,$AF$2)</f>
        <v>1.1279999999999999</v>
      </c>
      <c r="AL39" s="547">
        <f t="shared" ref="AL39:AL61" si="62">ROUND(AA39/1000000,$AF$2)</f>
        <v>1.1060000000000001</v>
      </c>
      <c r="AM39" s="547">
        <f t="shared" ref="AM39:AM61" si="63">ROUND(AB39/1000000,$AF$2)</f>
        <v>0.13400000000000001</v>
      </c>
    </row>
    <row r="40" spans="1:39" x14ac:dyDescent="0.2">
      <c r="A40" s="39" t="s">
        <v>1032</v>
      </c>
      <c r="B40" s="679">
        <v>5918203.127814265</v>
      </c>
      <c r="C40" s="581">
        <v>2970158.6631514775</v>
      </c>
      <c r="D40" s="581">
        <f>HLOOKUP($T40,CommissionedByClass,MATCH(D$38,Commissioned!$M$4:$M$14,0),FALSE)+HLOOKUP($T40,Commissioned_Extra,MATCH(D$38,'Commissioned Extra'!$I$4:$I$14,0),FALSE)</f>
        <v>1866065.3243665639</v>
      </c>
      <c r="E40" s="581">
        <f>HLOOKUP($T40,CommissionedByClass,MATCH(E$38,Commissioned!$M$4:$M$14,0),FALSE)+HLOOKUP($T40,Commissioned_Extra,MATCH(E$38,'Commissioned Extra'!$I$4:$I$14,0),FALSE)</f>
        <v>9995148.7270071488</v>
      </c>
      <c r="F40" s="581">
        <f>HLOOKUP($T40,CommissionedByClass,MATCH(F$38,Commissioned!$M$4:$M$14,0),FALSE)+HLOOKUP($T40,Commissioned_Extra,MATCH(F$38,'Commissioned Extra'!$I$4:$I$14,0),FALSE)</f>
        <v>1919834.582378462</v>
      </c>
      <c r="G40" s="581">
        <f>HLOOKUP($T40,CommissionedByClass,MATCH(G$38,Commissioned!$M$4:$M$14,0),FALSE)+HLOOKUP($T40,Commissioned_Extra,MATCH(G$38,'Commissioned Extra'!$I$4:$I$14,0),FALSE)</f>
        <v>1242475.3412087187</v>
      </c>
      <c r="H40" s="581">
        <f>HLOOKUP($T40,CommissionedByClass,MATCH(H$38,Commissioned!$M$4:$M$14,0),FALSE)+HLOOKUP($T40,Commissioned_Extra,MATCH(H$38,'Commissioned Extra'!$I$4:$I$14,0),FALSE)</f>
        <v>820430.75460669561</v>
      </c>
      <c r="I40" s="581">
        <f>HLOOKUP($T40,CommissionedByClass,MATCH(I$38,Commissioned!$M$4:$M$14,0),FALSE)+HLOOKUP($T40,Commissioned_Extra,MATCH(I$38,'Commissioned Extra'!$I$4:$I$14,0),FALSE)</f>
        <v>56888.510231225569</v>
      </c>
      <c r="K40" s="576">
        <f t="shared" ref="K40:K61" si="64">U40-B40</f>
        <v>-21129.139439186081</v>
      </c>
      <c r="L40" s="576">
        <f t="shared" ref="L40:L61" si="65">V40-C40</f>
        <v>-21047.71396854287</v>
      </c>
      <c r="M40" s="576">
        <f t="shared" ref="M40:M61" si="66">M$36/D$64*D40</f>
        <v>-5192.9391425828662</v>
      </c>
      <c r="N40" s="576">
        <f t="shared" ref="N40:N61" si="67">N$36/E$64*E40</f>
        <v>-42030.723204018628</v>
      </c>
      <c r="O40" s="576">
        <f t="shared" ref="O40:O61" si="68">O$36/F$64*F40</f>
        <v>-7616.2209807955296</v>
      </c>
      <c r="P40" s="576">
        <f t="shared" ref="P40:P61" si="69">P$36/G$64*G40</f>
        <v>-4595.8296952106293</v>
      </c>
      <c r="Q40" s="576">
        <f t="shared" ref="Q40:Q61" si="70">Q$36/H$64*H40</f>
        <v>-3111.0465456786687</v>
      </c>
      <c r="R40" s="576">
        <f t="shared" ref="R40:R61" si="71">R$36/I$64*I40</f>
        <v>-218.21517782594049</v>
      </c>
      <c r="T40" s="39" t="s">
        <v>1032</v>
      </c>
      <c r="U40" s="581">
        <v>5897073.9883750789</v>
      </c>
      <c r="V40" s="581">
        <v>2949110.9491829346</v>
      </c>
      <c r="W40" s="581">
        <f t="shared" si="51"/>
        <v>1860872.385223981</v>
      </c>
      <c r="X40" s="581">
        <f t="shared" si="52"/>
        <v>9953118.0038031302</v>
      </c>
      <c r="Y40" s="581">
        <f t="shared" si="53"/>
        <v>1912218.3613976664</v>
      </c>
      <c r="Z40" s="581">
        <f t="shared" si="54"/>
        <v>1237879.5115135082</v>
      </c>
      <c r="AA40" s="581">
        <f t="shared" si="55"/>
        <v>817319.70806101698</v>
      </c>
      <c r="AB40" s="581">
        <f t="shared" si="56"/>
        <v>56670.295053399626</v>
      </c>
      <c r="AC40" s="576"/>
      <c r="AE40" s="39" t="s">
        <v>1032</v>
      </c>
      <c r="AF40" s="547">
        <f t="shared" ref="AF40:AF61" si="72">ROUND(U40/1000000,$AF$2)</f>
        <v>5.8970000000000002</v>
      </c>
      <c r="AG40" s="547">
        <f t="shared" si="57"/>
        <v>2.9489999999999998</v>
      </c>
      <c r="AH40" s="547">
        <f t="shared" si="58"/>
        <v>1.861</v>
      </c>
      <c r="AI40" s="547">
        <f t="shared" si="59"/>
        <v>9.9529999999999994</v>
      </c>
      <c r="AJ40" s="547">
        <f t="shared" si="60"/>
        <v>1.9119999999999999</v>
      </c>
      <c r="AK40" s="547">
        <f t="shared" si="61"/>
        <v>1.238</v>
      </c>
      <c r="AL40" s="547">
        <f t="shared" si="62"/>
        <v>0.81699999999999995</v>
      </c>
      <c r="AM40" s="547">
        <f t="shared" si="63"/>
        <v>5.7000000000000002E-2</v>
      </c>
    </row>
    <row r="41" spans="1:39" x14ac:dyDescent="0.2">
      <c r="A41" s="39" t="s">
        <v>1033</v>
      </c>
      <c r="B41" s="679">
        <v>9510628.7204785477</v>
      </c>
      <c r="C41" s="581">
        <v>11262795.270504832</v>
      </c>
      <c r="D41" s="581">
        <f>HLOOKUP($T41,CommissionedByClass,MATCH(D$38,Commissioned!$M$4:$M$14,0),FALSE)+HLOOKUP($T41,Commissioned_Extra,MATCH(D$38,'Commissioned Extra'!$I$4:$I$14,0),FALSE)</f>
        <v>10667206.172593657</v>
      </c>
      <c r="E41" s="603"/>
      <c r="F41" s="603"/>
      <c r="G41" s="603"/>
      <c r="H41" s="603"/>
      <c r="I41" s="603"/>
      <c r="K41" s="576">
        <f t="shared" si="64"/>
        <v>-32876.341161388904</v>
      </c>
      <c r="L41" s="576">
        <f t="shared" si="65"/>
        <v>-83165.959173398092</v>
      </c>
      <c r="M41" s="576">
        <f t="shared" si="66"/>
        <v>-29685.001780131523</v>
      </c>
      <c r="T41" s="39" t="s">
        <v>1033</v>
      </c>
      <c r="U41" s="581">
        <v>9477752.3793171588</v>
      </c>
      <c r="V41" s="581">
        <v>11179629.311331434</v>
      </c>
      <c r="W41" s="581">
        <f t="shared" si="51"/>
        <v>10637521.170813525</v>
      </c>
      <c r="AC41" s="576"/>
      <c r="AE41" s="39" t="s">
        <v>1033</v>
      </c>
      <c r="AF41" s="547">
        <f t="shared" si="72"/>
        <v>9.4779999999999998</v>
      </c>
      <c r="AG41" s="547">
        <f t="shared" si="57"/>
        <v>11.18</v>
      </c>
      <c r="AH41" s="547">
        <f t="shared" si="58"/>
        <v>10.638</v>
      </c>
    </row>
    <row r="42" spans="1:39" x14ac:dyDescent="0.2">
      <c r="A42" s="582" t="s">
        <v>1034</v>
      </c>
      <c r="B42" s="679">
        <v>11114250.367338374</v>
      </c>
      <c r="C42" s="581">
        <v>13438115.82794955</v>
      </c>
      <c r="D42" s="877">
        <f>HLOOKUP($T42,CommissionedByClass,MATCH(D$38,Commissioned!$M$4:$M$14,0),FALSE)+HLOOKUP($T42,Commissioned_Extra,MATCH(D$38,'Commissioned Extra'!$I$4:$I$14,0),FALSE)</f>
        <v>32817033.677726176</v>
      </c>
      <c r="E42" s="877">
        <f>HLOOKUP($T42,CommissionedByClass,MATCH(E$38,Commissioned!$M$4:$M$14,0),FALSE)+HLOOKUP($T42,Commissioned_Extra,MATCH(E$38,'Commissioned Extra'!$I$4:$I$14,0),FALSE)</f>
        <v>23840224.98127073</v>
      </c>
      <c r="F42" s="877">
        <f>HLOOKUP($T42,CommissionedByClass,MATCH(F$38,Commissioned!$M$4:$M$14,0),FALSE)+HLOOKUP($T42,Commissioned_Extra,MATCH(F$38,'Commissioned Extra'!$I$4:$I$14,0),FALSE)</f>
        <v>10476193.10545177</v>
      </c>
      <c r="G42" s="877">
        <f>HLOOKUP($T42,CommissionedByClass,MATCH(G$38,Commissioned!$M$4:$M$14,0),FALSE)+HLOOKUP($T42,Commissioned_Extra,MATCH(G$38,'Commissioned Extra'!$I$4:$I$14,0),FALSE)</f>
        <v>14281909.056483772</v>
      </c>
      <c r="H42" s="877">
        <f>HLOOKUP($T42,CommissionedByClass,MATCH(H$38,Commissioned!$M$4:$M$14,0),FALSE)+HLOOKUP($T42,Commissioned_Extra,MATCH(H$38,'Commissioned Extra'!$I$4:$I$14,0),FALSE)</f>
        <v>10229058.940565836</v>
      </c>
      <c r="I42" s="877">
        <f>HLOOKUP($T42,CommissionedByClass,MATCH(I$38,Commissioned!$M$4:$M$14,0),FALSE)+HLOOKUP($T42,Commissioned_Extra,MATCH(I$38,'Commissioned Extra'!$I$4:$I$14,0),FALSE)</f>
        <v>14413829.001032237</v>
      </c>
      <c r="K42" s="576">
        <f t="shared" si="64"/>
        <v>-51616.266080256552</v>
      </c>
      <c r="L42" s="576">
        <f t="shared" si="65"/>
        <v>-158470.87044502795</v>
      </c>
      <c r="M42" s="576">
        <f t="shared" si="66"/>
        <v>-91324.165613747973</v>
      </c>
      <c r="N42" s="576">
        <f t="shared" si="67"/>
        <v>-100250.82414249938</v>
      </c>
      <c r="O42" s="576">
        <f t="shared" si="68"/>
        <v>-41560.352366273939</v>
      </c>
      <c r="P42" s="576">
        <f t="shared" si="69"/>
        <v>-52827.786249851692</v>
      </c>
      <c r="Q42" s="576">
        <f t="shared" si="70"/>
        <v>-38788.256417625933</v>
      </c>
      <c r="R42" s="576">
        <f t="shared" si="71"/>
        <v>-55289.130367954567</v>
      </c>
      <c r="T42" s="582" t="s">
        <v>1034</v>
      </c>
      <c r="U42" s="581">
        <v>11062634.101258118</v>
      </c>
      <c r="V42" s="581">
        <v>13279644.957504522</v>
      </c>
      <c r="W42" s="581">
        <f t="shared" si="51"/>
        <v>32725709.512112428</v>
      </c>
      <c r="X42" s="581">
        <f t="shared" si="52"/>
        <v>23739974.15712823</v>
      </c>
      <c r="Y42" s="581">
        <f t="shared" si="53"/>
        <v>10434632.753085496</v>
      </c>
      <c r="Z42" s="581">
        <f t="shared" si="54"/>
        <v>14229081.27023392</v>
      </c>
      <c r="AA42" s="581">
        <f t="shared" si="55"/>
        <v>10190270.684148209</v>
      </c>
      <c r="AB42" s="581">
        <f t="shared" si="56"/>
        <v>14358539.870664282</v>
      </c>
      <c r="AC42" s="576"/>
      <c r="AE42" s="582" t="s">
        <v>1034</v>
      </c>
      <c r="AF42" s="547">
        <f t="shared" si="72"/>
        <v>11.063000000000001</v>
      </c>
      <c r="AG42" s="547">
        <f t="shared" si="57"/>
        <v>13.28</v>
      </c>
      <c r="AH42" s="547">
        <f t="shared" si="58"/>
        <v>32.725999999999999</v>
      </c>
      <c r="AI42" s="547">
        <f t="shared" si="59"/>
        <v>23.74</v>
      </c>
      <c r="AJ42" s="547">
        <f t="shared" si="60"/>
        <v>10.435</v>
      </c>
      <c r="AK42" s="547">
        <f t="shared" si="61"/>
        <v>14.228999999999999</v>
      </c>
      <c r="AL42" s="547">
        <f t="shared" si="62"/>
        <v>10.19</v>
      </c>
      <c r="AM42" s="547">
        <f t="shared" si="63"/>
        <v>14.359</v>
      </c>
    </row>
    <row r="43" spans="1:39" x14ac:dyDescent="0.2">
      <c r="A43" s="39" t="s">
        <v>1035</v>
      </c>
      <c r="B43" s="679">
        <v>3497660.4570683469</v>
      </c>
      <c r="C43" s="581">
        <v>6111094.1655286895</v>
      </c>
      <c r="D43" s="877">
        <f>HLOOKUP($T43,CommissionedByClass,MATCH(D$38,Commissioned!$M$4:$M$14,0),FALSE)+HLOOKUP($T43,Commissioned_Extra,MATCH(D$38,'Commissioned Extra'!$I$4:$I$14,0),FALSE)</f>
        <v>1962922.4368361526</v>
      </c>
      <c r="E43" s="877">
        <f>HLOOKUP($T43,CommissionedByClass,MATCH(E$38,Commissioned!$M$4:$M$14,0),FALSE)+HLOOKUP($T43,Commissioned_Extra,MATCH(E$38,'Commissioned Extra'!$I$4:$I$14,0),FALSE)</f>
        <v>10025.896194240897</v>
      </c>
      <c r="F43" s="877">
        <f>HLOOKUP($T43,CommissionedByClass,MATCH(F$38,Commissioned!$M$4:$M$14,0),FALSE)+HLOOKUP($T43,Commissioned_Extra,MATCH(F$38,'Commissioned Extra'!$I$4:$I$14,0),FALSE)</f>
        <v>0</v>
      </c>
      <c r="G43" s="877">
        <f>HLOOKUP($T43,CommissionedByClass,MATCH(G$38,Commissioned!$M$4:$M$14,0),FALSE)+HLOOKUP($T43,Commissioned_Extra,MATCH(G$38,'Commissioned Extra'!$I$4:$I$14,0),FALSE)</f>
        <v>0</v>
      </c>
      <c r="H43" s="877">
        <f>HLOOKUP($T43,CommissionedByClass,MATCH(H$38,Commissioned!$M$4:$M$14,0),FALSE)+HLOOKUP($T43,Commissioned_Extra,MATCH(H$38,'Commissioned Extra'!$I$4:$I$14,0),FALSE)</f>
        <v>0</v>
      </c>
      <c r="I43" s="877">
        <f>HLOOKUP($T43,CommissionedByClass,MATCH(I$38,Commissioned!$M$4:$M$14,0),FALSE)+HLOOKUP($T43,Commissioned_Extra,MATCH(I$38,'Commissioned Extra'!$I$4:$I$14,0),FALSE)</f>
        <v>0</v>
      </c>
      <c r="K43" s="576">
        <f t="shared" si="64"/>
        <v>-14264.922333157156</v>
      </c>
      <c r="L43" s="576">
        <f t="shared" si="65"/>
        <v>-6526.6468631438911</v>
      </c>
      <c r="M43" s="576">
        <f t="shared" si="66"/>
        <v>-5462.4758431544888</v>
      </c>
      <c r="N43" s="576">
        <f t="shared" si="67"/>
        <v>-42.16001975775918</v>
      </c>
      <c r="O43" s="576">
        <f t="shared" si="68"/>
        <v>0</v>
      </c>
      <c r="P43" s="576">
        <f t="shared" si="69"/>
        <v>0</v>
      </c>
      <c r="Q43" s="576">
        <f t="shared" si="70"/>
        <v>0</v>
      </c>
      <c r="R43" s="576">
        <f t="shared" si="71"/>
        <v>0</v>
      </c>
      <c r="T43" s="39" t="s">
        <v>1035</v>
      </c>
      <c r="U43" s="581">
        <v>3483395.5347351898</v>
      </c>
      <c r="V43" s="581">
        <v>6104567.5186655456</v>
      </c>
      <c r="W43" s="581">
        <f t="shared" si="51"/>
        <v>1957459.960992998</v>
      </c>
      <c r="X43" s="581">
        <f t="shared" si="52"/>
        <v>9983.7361744831378</v>
      </c>
      <c r="Y43" s="581">
        <f t="shared" si="53"/>
        <v>0</v>
      </c>
      <c r="Z43" s="581">
        <f t="shared" si="54"/>
        <v>0</v>
      </c>
      <c r="AA43" s="581">
        <f t="shared" si="55"/>
        <v>0</v>
      </c>
      <c r="AB43" s="581">
        <f t="shared" si="56"/>
        <v>0</v>
      </c>
      <c r="AC43" s="576"/>
      <c r="AE43" s="39" t="s">
        <v>1035</v>
      </c>
      <c r="AF43" s="547">
        <f t="shared" si="72"/>
        <v>3.4830000000000001</v>
      </c>
      <c r="AG43" s="547">
        <f t="shared" si="57"/>
        <v>6.1050000000000004</v>
      </c>
      <c r="AH43" s="547">
        <f t="shared" si="58"/>
        <v>1.9570000000000001</v>
      </c>
      <c r="AI43" s="547">
        <f t="shared" si="59"/>
        <v>0.01</v>
      </c>
      <c r="AJ43" s="547">
        <f t="shared" si="60"/>
        <v>0</v>
      </c>
      <c r="AK43" s="547">
        <f t="shared" si="61"/>
        <v>0</v>
      </c>
      <c r="AL43" s="547">
        <f t="shared" si="62"/>
        <v>0</v>
      </c>
      <c r="AM43" s="547">
        <f t="shared" si="63"/>
        <v>0</v>
      </c>
    </row>
    <row r="44" spans="1:39" x14ac:dyDescent="0.2">
      <c r="A44" s="582" t="s">
        <v>854</v>
      </c>
      <c r="B44" s="679">
        <v>955951.4</v>
      </c>
      <c r="C44" s="581">
        <v>893363.80646169803</v>
      </c>
      <c r="D44" s="877">
        <f>HLOOKUP($T44,CommissionedByClass,MATCH(D$38,Commissioned!$M$4:$M$14,0),FALSE)+HLOOKUP($T44,Commissioned_Extra,MATCH(D$38,'Commissioned Extra'!$I$4:$I$14,0),FALSE)</f>
        <v>12829582.893385565</v>
      </c>
      <c r="E44" s="877">
        <f>HLOOKUP($T44,CommissionedByClass,MATCH(E$38,Commissioned!$M$4:$M$14,0),FALSE)+HLOOKUP($T44,Commissioned_Extra,MATCH(E$38,'Commissioned Extra'!$I$4:$I$14,0),FALSE)</f>
        <v>13408.097136373772</v>
      </c>
      <c r="F44" s="877">
        <f>HLOOKUP($T44,CommissionedByClass,MATCH(F$38,Commissioned!$M$4:$M$14,0),FALSE)+HLOOKUP($T44,Commissioned_Extra,MATCH(F$38,'Commissioned Extra'!$I$4:$I$14,0),FALSE)</f>
        <v>111799.37033901895</v>
      </c>
      <c r="G44" s="877">
        <f>HLOOKUP($T44,CommissionedByClass,MATCH(G$38,Commissioned!$M$4:$M$14,0),FALSE)+HLOOKUP($T44,Commissioned_Extra,MATCH(G$38,'Commissioned Extra'!$I$4:$I$14,0),FALSE)</f>
        <v>43420.1007934394</v>
      </c>
      <c r="H44" s="877">
        <f>HLOOKUP($T44,CommissionedByClass,MATCH(H$38,Commissioned!$M$4:$M$14,0),FALSE)+HLOOKUP($T44,Commissioned_Extra,MATCH(H$38,'Commissioned Extra'!$I$4:$I$14,0),FALSE)</f>
        <v>0</v>
      </c>
      <c r="I44" s="877">
        <f>HLOOKUP($T44,CommissionedByClass,MATCH(I$38,Commissioned!$M$4:$M$14,0),FALSE)+HLOOKUP($T44,Commissioned_Extra,MATCH(I$38,'Commissioned Extra'!$I$4:$I$14,0),FALSE)</f>
        <v>0</v>
      </c>
      <c r="K44" s="576">
        <f t="shared" si="64"/>
        <v>0</v>
      </c>
      <c r="L44" s="576">
        <f t="shared" si="65"/>
        <v>-6155.6381360680098</v>
      </c>
      <c r="M44" s="576">
        <f t="shared" si="66"/>
        <v>-35702.524622329984</v>
      </c>
      <c r="N44" s="576">
        <f t="shared" si="67"/>
        <v>-56.382554659620901</v>
      </c>
      <c r="O44" s="576">
        <f t="shared" si="68"/>
        <v>-443.52191476875345</v>
      </c>
      <c r="P44" s="576">
        <f t="shared" si="69"/>
        <v>-160.60792675482605</v>
      </c>
      <c r="Q44" s="576">
        <f t="shared" si="70"/>
        <v>0</v>
      </c>
      <c r="R44" s="576">
        <f t="shared" si="71"/>
        <v>0</v>
      </c>
      <c r="T44" s="582" t="s">
        <v>854</v>
      </c>
      <c r="U44" s="581">
        <v>955951.4</v>
      </c>
      <c r="V44" s="581">
        <v>887208.16832563002</v>
      </c>
      <c r="W44" s="581">
        <f t="shared" si="51"/>
        <v>12793880.368763234</v>
      </c>
      <c r="X44" s="581">
        <f t="shared" si="52"/>
        <v>13351.71458171415</v>
      </c>
      <c r="Y44" s="581">
        <f t="shared" si="53"/>
        <v>111355.84842425019</v>
      </c>
      <c r="Z44" s="581">
        <f t="shared" si="54"/>
        <v>43259.492866684574</v>
      </c>
      <c r="AA44" s="581">
        <f t="shared" si="55"/>
        <v>0</v>
      </c>
      <c r="AB44" s="581">
        <f t="shared" si="56"/>
        <v>0</v>
      </c>
      <c r="AC44" s="576"/>
      <c r="AE44" s="582" t="s">
        <v>854</v>
      </c>
      <c r="AF44" s="547">
        <f t="shared" si="72"/>
        <v>0.95599999999999996</v>
      </c>
      <c r="AG44" s="547">
        <f t="shared" si="57"/>
        <v>0.88700000000000001</v>
      </c>
      <c r="AH44" s="547">
        <f t="shared" si="58"/>
        <v>12.794</v>
      </c>
      <c r="AI44" s="547">
        <f t="shared" si="59"/>
        <v>1.2999999999999999E-2</v>
      </c>
      <c r="AJ44" s="547">
        <f t="shared" si="60"/>
        <v>0.111</v>
      </c>
      <c r="AK44" s="547">
        <f t="shared" si="61"/>
        <v>4.2999999999999997E-2</v>
      </c>
      <c r="AL44" s="547">
        <f t="shared" si="62"/>
        <v>0</v>
      </c>
      <c r="AM44" s="547">
        <f t="shared" si="63"/>
        <v>0</v>
      </c>
    </row>
    <row r="45" spans="1:39" x14ac:dyDescent="0.2">
      <c r="A45" s="582" t="s">
        <v>1036</v>
      </c>
      <c r="B45" s="679">
        <v>0</v>
      </c>
      <c r="C45" s="581">
        <v>1657665.5722094956</v>
      </c>
      <c r="D45" s="877">
        <f>HLOOKUP($T45,CommissionedByClass,MATCH(D$38,Commissioned!$M$4:$M$14,0),FALSE)+HLOOKUP($T45,Commissioned_Extra,MATCH(D$38,'Commissioned Extra'!$I$4:$I$14,0),FALSE)</f>
        <v>968.7050577971072</v>
      </c>
      <c r="E45" s="877">
        <f>HLOOKUP($T45,CommissionedByClass,MATCH(E$38,Commissioned!$M$4:$M$14,0),FALSE)+HLOOKUP($T45,Commissioned_Extra,MATCH(E$38,'Commissioned Extra'!$I$4:$I$14,0),FALSE)</f>
        <v>2875489.0527144205</v>
      </c>
      <c r="F45" s="877">
        <f>HLOOKUP($T45,CommissionedByClass,MATCH(F$38,Commissioned!$M$4:$M$14,0),FALSE)+HLOOKUP($T45,Commissioned_Extra,MATCH(F$38,'Commissioned Extra'!$I$4:$I$14,0),FALSE)</f>
        <v>0</v>
      </c>
      <c r="G45" s="877">
        <f>HLOOKUP($T45,CommissionedByClass,MATCH(G$38,Commissioned!$M$4:$M$14,0),FALSE)+HLOOKUP($T45,Commissioned_Extra,MATCH(G$38,'Commissioned Extra'!$I$4:$I$14,0),FALSE)</f>
        <v>0</v>
      </c>
      <c r="H45" s="877">
        <f>HLOOKUP($T45,CommissionedByClass,MATCH(H$38,Commissioned!$M$4:$M$14,0),FALSE)+HLOOKUP($T45,Commissioned_Extra,MATCH(H$38,'Commissioned Extra'!$I$4:$I$14,0),FALSE)</f>
        <v>0</v>
      </c>
      <c r="I45" s="877">
        <f>HLOOKUP($T45,CommissionedByClass,MATCH(I$38,Commissioned!$M$4:$M$14,0),FALSE)+HLOOKUP($T45,Commissioned_Extra,MATCH(I$38,'Commissioned Extra'!$I$4:$I$14,0),FALSE)</f>
        <v>1855197.0630222005</v>
      </c>
      <c r="K45" s="576">
        <f t="shared" si="64"/>
        <v>0</v>
      </c>
      <c r="L45" s="576">
        <f t="shared" si="65"/>
        <v>-17962.08843370364</v>
      </c>
      <c r="M45" s="576">
        <f t="shared" si="66"/>
        <v>-2.6957397185225411</v>
      </c>
      <c r="N45" s="576">
        <f t="shared" si="67"/>
        <v>-12091.754485279616</v>
      </c>
      <c r="O45" s="576">
        <f t="shared" si="68"/>
        <v>0</v>
      </c>
      <c r="P45" s="576">
        <f t="shared" si="69"/>
        <v>0</v>
      </c>
      <c r="Q45" s="576">
        <f t="shared" si="70"/>
        <v>0</v>
      </c>
      <c r="R45" s="576">
        <f t="shared" si="71"/>
        <v>-7116.2376262640009</v>
      </c>
      <c r="T45" s="582" t="s">
        <v>1036</v>
      </c>
      <c r="U45" s="581">
        <v>0</v>
      </c>
      <c r="V45" s="581">
        <v>1639703.4837757919</v>
      </c>
      <c r="W45" s="581">
        <f t="shared" si="51"/>
        <v>966.00931807858467</v>
      </c>
      <c r="X45" s="581">
        <f t="shared" si="52"/>
        <v>2863397.2982291407</v>
      </c>
      <c r="Y45" s="581">
        <f t="shared" si="53"/>
        <v>0</v>
      </c>
      <c r="Z45" s="581">
        <f t="shared" si="54"/>
        <v>0</v>
      </c>
      <c r="AA45" s="581">
        <f t="shared" si="55"/>
        <v>0</v>
      </c>
      <c r="AB45" s="581">
        <f t="shared" si="56"/>
        <v>1848080.8253959364</v>
      </c>
      <c r="AC45" s="576"/>
      <c r="AE45" s="582" t="s">
        <v>1036</v>
      </c>
      <c r="AF45" s="547">
        <f t="shared" si="72"/>
        <v>0</v>
      </c>
      <c r="AG45" s="547">
        <f t="shared" si="57"/>
        <v>1.64</v>
      </c>
      <c r="AH45" s="547">
        <f t="shared" si="58"/>
        <v>1E-3</v>
      </c>
      <c r="AI45" s="547">
        <f t="shared" si="59"/>
        <v>2.863</v>
      </c>
      <c r="AJ45" s="547">
        <f t="shared" si="60"/>
        <v>0</v>
      </c>
      <c r="AK45" s="547">
        <f t="shared" si="61"/>
        <v>0</v>
      </c>
      <c r="AL45" s="547">
        <f t="shared" si="62"/>
        <v>0</v>
      </c>
      <c r="AM45" s="547">
        <f t="shared" si="63"/>
        <v>1.8480000000000001</v>
      </c>
    </row>
    <row r="46" spans="1:39" x14ac:dyDescent="0.2">
      <c r="A46" s="582" t="s">
        <v>1037</v>
      </c>
      <c r="B46" s="679">
        <v>3366337.2228809553</v>
      </c>
      <c r="C46" s="581">
        <v>3569014.1510131541</v>
      </c>
      <c r="D46" s="877">
        <f>HLOOKUP($T46,CommissionedByClass,MATCH(D$38,Commissioned!$M$4:$M$14,0),FALSE)+HLOOKUP($T46,Commissioned_Extra,MATCH(D$38,'Commissioned Extra'!$I$4:$I$14,0),FALSE)</f>
        <v>11813532.397852274</v>
      </c>
      <c r="E46" s="877">
        <f>HLOOKUP($T46,CommissionedByClass,MATCH(E$38,Commissioned!$M$4:$M$14,0),FALSE)+HLOOKUP($T46,Commissioned_Extra,MATCH(E$38,'Commissioned Extra'!$I$4:$I$14,0),FALSE)</f>
        <v>563183.96193716337</v>
      </c>
      <c r="F46" s="877">
        <f>HLOOKUP($T46,CommissionedByClass,MATCH(F$38,Commissioned!$M$4:$M$14,0),FALSE)+HLOOKUP($T46,Commissioned_Extra,MATCH(F$38,'Commissioned Extra'!$I$4:$I$14,0),FALSE)</f>
        <v>487797.40031712601</v>
      </c>
      <c r="G46" s="877">
        <f>HLOOKUP($T46,CommissionedByClass,MATCH(G$38,Commissioned!$M$4:$M$14,0),FALSE)+HLOOKUP($T46,Commissioned_Extra,MATCH(G$38,'Commissioned Extra'!$I$4:$I$14,0),FALSE)</f>
        <v>546210.1835259638</v>
      </c>
      <c r="H46" s="877">
        <f>HLOOKUP($T46,CommissionedByClass,MATCH(H$38,Commissioned!$M$4:$M$14,0),FALSE)+HLOOKUP($T46,Commissioned_Extra,MATCH(H$38,'Commissioned Extra'!$I$4:$I$14,0),FALSE)</f>
        <v>4032547.7865457195</v>
      </c>
      <c r="I46" s="877">
        <f>HLOOKUP($T46,CommissionedByClass,MATCH(I$38,Commissioned!$M$4:$M$14,0),FALSE)+HLOOKUP($T46,Commissioned_Extra,MATCH(I$38,'Commissioned Extra'!$I$4:$I$14,0),FALSE)</f>
        <v>2969967.9255932458</v>
      </c>
      <c r="K46" s="576">
        <f t="shared" si="64"/>
        <v>-11042.65259133419</v>
      </c>
      <c r="L46" s="576">
        <f t="shared" si="65"/>
        <v>-45918.983819935471</v>
      </c>
      <c r="M46" s="576">
        <f t="shared" si="66"/>
        <v>-32875.030686185717</v>
      </c>
      <c r="N46" s="576">
        <f t="shared" si="67"/>
        <v>-2368.2518253243943</v>
      </c>
      <c r="O46" s="576">
        <f t="shared" si="68"/>
        <v>-1935.1525536487236</v>
      </c>
      <c r="P46" s="576">
        <f t="shared" si="69"/>
        <v>-2020.3934017982078</v>
      </c>
      <c r="Q46" s="576">
        <f t="shared" si="70"/>
        <v>-15291.289107794788</v>
      </c>
      <c r="R46" s="576">
        <f t="shared" si="71"/>
        <v>-11392.319404858277</v>
      </c>
      <c r="T46" s="582" t="s">
        <v>1037</v>
      </c>
      <c r="U46" s="581">
        <v>3355294.5702896211</v>
      </c>
      <c r="V46" s="581">
        <v>3523095.1671932186</v>
      </c>
      <c r="W46" s="581">
        <f t="shared" si="51"/>
        <v>11780657.367166087</v>
      </c>
      <c r="X46" s="581">
        <f t="shared" si="52"/>
        <v>560815.710111839</v>
      </c>
      <c r="Y46" s="581">
        <f t="shared" si="53"/>
        <v>485862.24776347727</v>
      </c>
      <c r="Z46" s="581">
        <f t="shared" si="54"/>
        <v>544189.79012416559</v>
      </c>
      <c r="AA46" s="581">
        <f t="shared" si="55"/>
        <v>4017256.4974379246</v>
      </c>
      <c r="AB46" s="581">
        <f t="shared" si="56"/>
        <v>2958575.6061883876</v>
      </c>
      <c r="AC46" s="576"/>
      <c r="AE46" s="582" t="s">
        <v>1037</v>
      </c>
      <c r="AF46" s="547">
        <f t="shared" si="72"/>
        <v>3.355</v>
      </c>
      <c r="AG46" s="547">
        <f t="shared" si="57"/>
        <v>3.5230000000000001</v>
      </c>
      <c r="AH46" s="547">
        <f t="shared" si="58"/>
        <v>11.781000000000001</v>
      </c>
      <c r="AI46" s="547">
        <f t="shared" si="59"/>
        <v>0.56100000000000005</v>
      </c>
      <c r="AJ46" s="547">
        <f t="shared" si="60"/>
        <v>0.48599999999999999</v>
      </c>
      <c r="AK46" s="547">
        <f t="shared" si="61"/>
        <v>0.54400000000000004</v>
      </c>
      <c r="AL46" s="547">
        <f t="shared" si="62"/>
        <v>4.0170000000000003</v>
      </c>
      <c r="AM46" s="547">
        <f t="shared" si="63"/>
        <v>2.9590000000000001</v>
      </c>
    </row>
    <row r="47" spans="1:39" x14ac:dyDescent="0.2">
      <c r="A47" s="582" t="s">
        <v>41</v>
      </c>
      <c r="B47" s="679">
        <v>0</v>
      </c>
      <c r="C47" s="581">
        <v>0</v>
      </c>
      <c r="D47" s="581">
        <f>HLOOKUP($T47,CommissionedByClass,MATCH(D$38,Commissioned!$M$4:$M$14,0),FALSE)+HLOOKUP($T47,Commissioned_Extra,MATCH(D$38,'Commissioned Extra'!$I$4:$I$14,0),FALSE)</f>
        <v>0</v>
      </c>
      <c r="E47" s="581">
        <f>HLOOKUP($T47,CommissionedByClass,MATCH(E$38,Commissioned!$M$4:$M$14,0),FALSE)+HLOOKUP($T47,Commissioned_Extra,MATCH(E$38,'Commissioned Extra'!$I$4:$I$14,0),FALSE)</f>
        <v>0</v>
      </c>
      <c r="F47" s="581">
        <f>HLOOKUP($T47,CommissionedByClass,MATCH(F$38,Commissioned!$M$4:$M$14,0),FALSE)+HLOOKUP($T47,Commissioned_Extra,MATCH(F$38,'Commissioned Extra'!$I$4:$I$14,0),FALSE)</f>
        <v>0</v>
      </c>
      <c r="G47" s="581">
        <f>HLOOKUP($T47,CommissionedByClass,MATCH(G$38,Commissioned!$M$4:$M$14,0),FALSE)+HLOOKUP($T47,Commissioned_Extra,MATCH(G$38,'Commissioned Extra'!$I$4:$I$14,0),FALSE)</f>
        <v>0</v>
      </c>
      <c r="H47" s="581">
        <f>HLOOKUP($T47,CommissionedByClass,MATCH(H$38,Commissioned!$M$4:$M$14,0),FALSE)+HLOOKUP($T47,Commissioned_Extra,MATCH(H$38,'Commissioned Extra'!$I$4:$I$14,0),FALSE)</f>
        <v>0</v>
      </c>
      <c r="I47" s="581">
        <f>HLOOKUP($T47,CommissionedByClass,MATCH(I$38,Commissioned!$M$4:$M$14,0),FALSE)+HLOOKUP($T47,Commissioned_Extra,MATCH(I$38,'Commissioned Extra'!$I$4:$I$14,0),FALSE)</f>
        <v>0</v>
      </c>
      <c r="K47" s="576">
        <f t="shared" si="64"/>
        <v>0</v>
      </c>
      <c r="L47" s="576">
        <f t="shared" si="65"/>
        <v>0</v>
      </c>
      <c r="M47" s="576">
        <f t="shared" si="66"/>
        <v>0</v>
      </c>
      <c r="N47" s="576">
        <f t="shared" si="67"/>
        <v>0</v>
      </c>
      <c r="O47" s="576">
        <f t="shared" si="68"/>
        <v>0</v>
      </c>
      <c r="P47" s="576">
        <f t="shared" si="69"/>
        <v>0</v>
      </c>
      <c r="Q47" s="576">
        <f t="shared" si="70"/>
        <v>0</v>
      </c>
      <c r="R47" s="576">
        <f t="shared" si="71"/>
        <v>0</v>
      </c>
      <c r="T47" s="582" t="s">
        <v>41</v>
      </c>
      <c r="U47" s="581">
        <v>0</v>
      </c>
      <c r="V47" s="581">
        <v>0</v>
      </c>
      <c r="W47" s="581">
        <f t="shared" si="51"/>
        <v>0</v>
      </c>
      <c r="X47" s="581">
        <f t="shared" si="52"/>
        <v>0</v>
      </c>
      <c r="Y47" s="581">
        <f t="shared" si="53"/>
        <v>0</v>
      </c>
      <c r="Z47" s="581">
        <f t="shared" si="54"/>
        <v>0</v>
      </c>
      <c r="AA47" s="581">
        <f t="shared" si="55"/>
        <v>0</v>
      </c>
      <c r="AB47" s="581">
        <f t="shared" si="56"/>
        <v>0</v>
      </c>
      <c r="AC47" s="576"/>
      <c r="AE47" s="582" t="s">
        <v>41</v>
      </c>
      <c r="AF47" s="547">
        <f t="shared" si="72"/>
        <v>0</v>
      </c>
      <c r="AG47" s="547">
        <f t="shared" si="57"/>
        <v>0</v>
      </c>
      <c r="AH47" s="547">
        <f t="shared" si="58"/>
        <v>0</v>
      </c>
      <c r="AI47" s="547">
        <f t="shared" si="59"/>
        <v>0</v>
      </c>
      <c r="AJ47" s="547">
        <f t="shared" si="60"/>
        <v>0</v>
      </c>
      <c r="AK47" s="547">
        <f t="shared" si="61"/>
        <v>0</v>
      </c>
      <c r="AL47" s="547">
        <f t="shared" si="62"/>
        <v>0</v>
      </c>
      <c r="AM47" s="547">
        <f t="shared" si="63"/>
        <v>0</v>
      </c>
    </row>
    <row r="48" spans="1:39" x14ac:dyDescent="0.2">
      <c r="A48" s="582" t="s">
        <v>1038</v>
      </c>
      <c r="B48" s="679">
        <v>18468995.132505994</v>
      </c>
      <c r="C48" s="581">
        <v>53338356.513496093</v>
      </c>
      <c r="D48" s="581">
        <f>HLOOKUP($T48,CommissionedByClass,MATCH(D$38,Commissioned!$M$4:$M$14,0),FALSE)+HLOOKUP($T48,Commissioned_Extra,MATCH(D$38,'Commissioned Extra'!$I$4:$I$14,0),FALSE)</f>
        <v>89474992.714387968</v>
      </c>
      <c r="E48" s="581">
        <f>HLOOKUP($T48,CommissionedByClass,MATCH(E$38,Commissioned!$M$4:$M$14,0),FALSE)+HLOOKUP($T48,Commissioned_Extra,MATCH(E$38,'Commissioned Extra'!$I$4:$I$14,0),FALSE)</f>
        <v>23761379.675186109</v>
      </c>
      <c r="F48" s="581">
        <f>HLOOKUP($T48,CommissionedByClass,MATCH(F$38,Commissioned!$M$4:$M$14,0),FALSE)+HLOOKUP($T48,Commissioned_Extra,MATCH(F$38,'Commissioned Extra'!$I$4:$I$14,0),FALSE)</f>
        <v>7495662.296998566</v>
      </c>
      <c r="G48" s="581">
        <f>HLOOKUP($T48,CommissionedByClass,MATCH(G$38,Commissioned!$M$4:$M$14,0),FALSE)+HLOOKUP($T48,Commissioned_Extra,MATCH(G$38,'Commissioned Extra'!$I$4:$I$14,0),FALSE)</f>
        <v>23601106.69749957</v>
      </c>
      <c r="H48" s="581">
        <f>HLOOKUP($T48,CommissionedByClass,MATCH(H$38,Commissioned!$M$4:$M$14,0),FALSE)+HLOOKUP($T48,Commissioned_Extra,MATCH(H$38,'Commissioned Extra'!$I$4:$I$14,0),FALSE)</f>
        <v>5724656.0167829981</v>
      </c>
      <c r="I48" s="581">
        <f>HLOOKUP($T48,CommissionedByClass,MATCH(I$38,Commissioned!$M$4:$M$14,0),FALSE)+HLOOKUP($T48,Commissioned_Extra,MATCH(I$38,'Commissioned Extra'!$I$4:$I$14,0),FALSE)</f>
        <v>31985900.414149567</v>
      </c>
      <c r="K48" s="576">
        <f t="shared" si="64"/>
        <v>-119006.56813882291</v>
      </c>
      <c r="L48" s="576">
        <f t="shared" si="65"/>
        <v>-301835.54257165641</v>
      </c>
      <c r="M48" s="576">
        <f t="shared" si="66"/>
        <v>-248993.52979863313</v>
      </c>
      <c r="N48" s="576">
        <f t="shared" si="67"/>
        <v>-99919.270773310927</v>
      </c>
      <c r="O48" s="576">
        <f t="shared" si="68"/>
        <v>-29736.218409313176</v>
      </c>
      <c r="P48" s="576">
        <f t="shared" si="69"/>
        <v>-87298.84884047939</v>
      </c>
      <c r="Q48" s="576">
        <f t="shared" si="70"/>
        <v>-21707.708086527171</v>
      </c>
      <c r="R48" s="576">
        <f t="shared" si="71"/>
        <v>-122692.77079724474</v>
      </c>
      <c r="T48" s="582" t="s">
        <v>1038</v>
      </c>
      <c r="U48" s="581">
        <v>18349988.564367171</v>
      </c>
      <c r="V48" s="581">
        <v>53036520.970924437</v>
      </c>
      <c r="W48" s="581">
        <f t="shared" si="51"/>
        <v>89225999.184589341</v>
      </c>
      <c r="X48" s="581">
        <f t="shared" si="52"/>
        <v>23661460.404412799</v>
      </c>
      <c r="Y48" s="581">
        <f t="shared" si="53"/>
        <v>7465926.0785892531</v>
      </c>
      <c r="Z48" s="581">
        <f t="shared" si="54"/>
        <v>23513807.848659091</v>
      </c>
      <c r="AA48" s="581">
        <f t="shared" si="55"/>
        <v>5702948.3086964712</v>
      </c>
      <c r="AB48" s="581">
        <f t="shared" si="56"/>
        <v>31863207.643352322</v>
      </c>
      <c r="AC48" s="576"/>
      <c r="AE48" s="582" t="s">
        <v>1038</v>
      </c>
      <c r="AF48" s="547">
        <f t="shared" si="72"/>
        <v>18.350000000000001</v>
      </c>
      <c r="AG48" s="547">
        <f t="shared" si="57"/>
        <v>53.036999999999999</v>
      </c>
      <c r="AH48" s="547">
        <f t="shared" si="58"/>
        <v>89.225999999999999</v>
      </c>
      <c r="AI48" s="547">
        <f t="shared" si="59"/>
        <v>23.661000000000001</v>
      </c>
      <c r="AJ48" s="547">
        <f t="shared" si="60"/>
        <v>7.4660000000000002</v>
      </c>
      <c r="AK48" s="547">
        <f t="shared" si="61"/>
        <v>23.513999999999999</v>
      </c>
      <c r="AL48" s="547">
        <f t="shared" si="62"/>
        <v>5.7030000000000003</v>
      </c>
      <c r="AM48" s="547">
        <f t="shared" si="63"/>
        <v>31.863</v>
      </c>
    </row>
    <row r="49" spans="1:39" x14ac:dyDescent="0.2">
      <c r="A49" s="582" t="s">
        <v>1039</v>
      </c>
      <c r="B49" s="679">
        <v>7134828.9454979813</v>
      </c>
      <c r="C49" s="581">
        <v>0</v>
      </c>
      <c r="D49" s="581">
        <f>HLOOKUP($T49,CommissionedByClass,MATCH(D$38,Commissioned!$M$4:$M$14,0),FALSE)+HLOOKUP($T49,Commissioned_Extra,MATCH(D$38,'Commissioned Extra'!$I$4:$I$14,0),FALSE)</f>
        <v>4708609.1930214288</v>
      </c>
      <c r="E49" s="581">
        <f>HLOOKUP($T49,CommissionedByClass,MATCH(E$38,Commissioned!$M$4:$M$14,0),FALSE)+HLOOKUP($T49,Commissioned_Extra,MATCH(E$38,'Commissioned Extra'!$I$4:$I$14,0),FALSE)</f>
        <v>3504330.3790620393</v>
      </c>
      <c r="F49" s="581">
        <f>HLOOKUP($T49,CommissionedByClass,MATCH(F$38,Commissioned!$M$4:$M$14,0),FALSE)+HLOOKUP($T49,Commissioned_Extra,MATCH(F$38,'Commissioned Extra'!$I$4:$I$14,0),FALSE)</f>
        <v>159277.25201348393</v>
      </c>
      <c r="G49" s="581">
        <f>HLOOKUP($T49,CommissionedByClass,MATCH(G$38,Commissioned!$M$4:$M$14,0),FALSE)+HLOOKUP($T49,Commissioned_Extra,MATCH(G$38,'Commissioned Extra'!$I$4:$I$14,0),FALSE)</f>
        <v>221016.76500099225</v>
      </c>
      <c r="H49" s="581">
        <f>HLOOKUP($T49,CommissionedByClass,MATCH(H$38,Commissioned!$M$4:$M$14,0),FALSE)+HLOOKUP($T49,Commissioned_Extra,MATCH(H$38,'Commissioned Extra'!$I$4:$I$14,0),FALSE)</f>
        <v>2267112.247868862</v>
      </c>
      <c r="I49" s="581">
        <f>HLOOKUP($T49,CommissionedByClass,MATCH(I$38,Commissioned!$M$4:$M$14,0),FALSE)+HLOOKUP($T49,Commissioned_Extra,MATCH(I$38,'Commissioned Extra'!$I$4:$I$14,0),FALSE)</f>
        <v>0</v>
      </c>
      <c r="K49" s="576">
        <f t="shared" si="64"/>
        <v>-25301.113889932632</v>
      </c>
      <c r="L49" s="576">
        <f t="shared" si="65"/>
        <v>0</v>
      </c>
      <c r="M49" s="576">
        <f t="shared" si="66"/>
        <v>-13103.250280837072</v>
      </c>
      <c r="N49" s="576">
        <f t="shared" si="67"/>
        <v>-14736.102903582627</v>
      </c>
      <c r="O49" s="576">
        <f t="shared" si="68"/>
        <v>-631.87253718790112</v>
      </c>
      <c r="P49" s="576">
        <f t="shared" si="69"/>
        <v>-817.52561040188618</v>
      </c>
      <c r="Q49" s="576">
        <f t="shared" si="70"/>
        <v>-8596.8153775261508</v>
      </c>
      <c r="R49" s="576">
        <f t="shared" si="71"/>
        <v>0</v>
      </c>
      <c r="T49" s="582" t="s">
        <v>1039</v>
      </c>
      <c r="U49" s="581">
        <v>7109527.8316080486</v>
      </c>
      <c r="V49" s="581">
        <v>0</v>
      </c>
      <c r="W49" s="581">
        <f t="shared" si="51"/>
        <v>4695505.9427405912</v>
      </c>
      <c r="X49" s="581">
        <f t="shared" si="52"/>
        <v>3489594.2761584567</v>
      </c>
      <c r="Y49" s="581">
        <f t="shared" si="53"/>
        <v>158645.37947629602</v>
      </c>
      <c r="Z49" s="581">
        <f t="shared" si="54"/>
        <v>220199.23939059037</v>
      </c>
      <c r="AA49" s="581">
        <f t="shared" si="55"/>
        <v>2258515.432491336</v>
      </c>
      <c r="AB49" s="581">
        <f t="shared" si="56"/>
        <v>0</v>
      </c>
      <c r="AC49" s="576"/>
      <c r="AE49" s="582" t="s">
        <v>1039</v>
      </c>
      <c r="AF49" s="547">
        <f t="shared" si="72"/>
        <v>7.11</v>
      </c>
      <c r="AG49" s="547">
        <f t="shared" si="57"/>
        <v>0</v>
      </c>
      <c r="AH49" s="547">
        <f t="shared" si="58"/>
        <v>4.6959999999999997</v>
      </c>
      <c r="AI49" s="547">
        <f t="shared" si="59"/>
        <v>3.49</v>
      </c>
      <c r="AJ49" s="547">
        <f t="shared" si="60"/>
        <v>0.159</v>
      </c>
      <c r="AK49" s="547">
        <f t="shared" si="61"/>
        <v>0.22</v>
      </c>
      <c r="AL49" s="547">
        <f t="shared" si="62"/>
        <v>2.2589999999999999</v>
      </c>
      <c r="AM49" s="547">
        <f t="shared" si="63"/>
        <v>0</v>
      </c>
    </row>
    <row r="50" spans="1:39" x14ac:dyDescent="0.2">
      <c r="A50" s="582" t="s">
        <v>1040</v>
      </c>
      <c r="B50" s="679">
        <v>33162308.417136926</v>
      </c>
      <c r="C50" s="581">
        <v>37908538.134807877</v>
      </c>
      <c r="D50" s="581">
        <f>HLOOKUP($T50,CommissionedByClass,MATCH(D$38,Commissioned!$M$4:$M$14,0),FALSE)+HLOOKUP($T50,Commissioned_Extra,MATCH(D$38,'Commissioned Extra'!$I$4:$I$14,0),FALSE)</f>
        <v>17036132.684857402</v>
      </c>
      <c r="E50" s="581">
        <f>HLOOKUP($T50,CommissionedByClass,MATCH(E$38,Commissioned!$M$4:$M$14,0),FALSE)+HLOOKUP($T50,Commissioned_Extra,MATCH(E$38,'Commissioned Extra'!$I$4:$I$14,0),FALSE)</f>
        <v>19337452.370591957</v>
      </c>
      <c r="F50" s="581">
        <f>HLOOKUP($T50,CommissionedByClass,MATCH(F$38,Commissioned!$M$4:$M$14,0),FALSE)+HLOOKUP($T50,Commissioned_Extra,MATCH(F$38,'Commissioned Extra'!$I$4:$I$14,0),FALSE)</f>
        <v>14818949.04888455</v>
      </c>
      <c r="G50" s="581">
        <f>HLOOKUP($T50,CommissionedByClass,MATCH(G$38,Commissioned!$M$4:$M$14,0),FALSE)+HLOOKUP($T50,Commissioned_Extra,MATCH(G$38,'Commissioned Extra'!$I$4:$I$14,0),FALSE)</f>
        <v>10380543.365815759</v>
      </c>
      <c r="H50" s="581">
        <f>HLOOKUP($T50,CommissionedByClass,MATCH(H$38,Commissioned!$M$4:$M$14,0),FALSE)+HLOOKUP($T50,Commissioned_Extra,MATCH(H$38,'Commissioned Extra'!$I$4:$I$14,0),FALSE)</f>
        <v>387311.02592068468</v>
      </c>
      <c r="I50" s="581">
        <f>HLOOKUP($T50,CommissionedByClass,MATCH(I$38,Commissioned!$M$4:$M$14,0),FALSE)+HLOOKUP($T50,Commissioned_Extra,MATCH(I$38,'Commissioned Extra'!$I$4:$I$14,0),FALSE)</f>
        <v>2226289.2512486218</v>
      </c>
      <c r="K50" s="576">
        <f t="shared" si="64"/>
        <v>-118402.44878697395</v>
      </c>
      <c r="L50" s="576">
        <f t="shared" si="65"/>
        <v>-267091.33239117265</v>
      </c>
      <c r="M50" s="576">
        <f t="shared" si="66"/>
        <v>-47408.629859976456</v>
      </c>
      <c r="N50" s="576">
        <f t="shared" si="67"/>
        <v>-81316.159494768377</v>
      </c>
      <c r="O50" s="576">
        <f t="shared" si="68"/>
        <v>-58788.601734441108</v>
      </c>
      <c r="P50" s="576">
        <f t="shared" si="69"/>
        <v>-38396.906458221296</v>
      </c>
      <c r="Q50" s="576">
        <f t="shared" si="70"/>
        <v>-1468.6707227003481</v>
      </c>
      <c r="R50" s="576">
        <f t="shared" si="71"/>
        <v>-8539.6875903166347</v>
      </c>
      <c r="T50" s="582" t="s">
        <v>1040</v>
      </c>
      <c r="U50" s="581">
        <v>33043905.968349952</v>
      </c>
      <c r="V50" s="581">
        <v>37641446.802416705</v>
      </c>
      <c r="W50" s="581">
        <f t="shared" si="51"/>
        <v>16988724.054997426</v>
      </c>
      <c r="X50" s="581">
        <f t="shared" si="52"/>
        <v>19256136.211097188</v>
      </c>
      <c r="Y50" s="581">
        <f t="shared" si="53"/>
        <v>14760160.447150109</v>
      </c>
      <c r="Z50" s="581">
        <f t="shared" si="54"/>
        <v>10342146.459357537</v>
      </c>
      <c r="AA50" s="581">
        <f t="shared" si="55"/>
        <v>385842.35519798432</v>
      </c>
      <c r="AB50" s="581">
        <f t="shared" si="56"/>
        <v>2217749.5636583054</v>
      </c>
      <c r="AC50" s="576"/>
      <c r="AE50" s="582" t="s">
        <v>1040</v>
      </c>
      <c r="AF50" s="547">
        <f t="shared" si="72"/>
        <v>33.043999999999997</v>
      </c>
      <c r="AG50" s="547">
        <f t="shared" si="57"/>
        <v>37.640999999999998</v>
      </c>
      <c r="AH50" s="547">
        <f t="shared" si="58"/>
        <v>16.989000000000001</v>
      </c>
      <c r="AI50" s="547">
        <f t="shared" si="59"/>
        <v>19.256</v>
      </c>
      <c r="AJ50" s="547">
        <f t="shared" si="60"/>
        <v>14.76</v>
      </c>
      <c r="AK50" s="547">
        <f t="shared" si="61"/>
        <v>10.342000000000001</v>
      </c>
      <c r="AL50" s="547">
        <f t="shared" si="62"/>
        <v>0.38600000000000001</v>
      </c>
      <c r="AM50" s="547">
        <f t="shared" si="63"/>
        <v>2.218</v>
      </c>
    </row>
    <row r="51" spans="1:39" x14ac:dyDescent="0.2">
      <c r="A51" s="582" t="s">
        <v>1041</v>
      </c>
      <c r="B51" s="679">
        <v>276033.61</v>
      </c>
      <c r="C51" s="581">
        <v>444766.46872539551</v>
      </c>
      <c r="D51" s="581">
        <f>HLOOKUP($T51,CommissionedByClass,MATCH(D$38,Commissioned!$M$4:$M$14,0),FALSE)+HLOOKUP($T51,Commissioned_Extra,MATCH(D$38,'Commissioned Extra'!$I$4:$I$14,0),FALSE)</f>
        <v>713883.32149659412</v>
      </c>
      <c r="E51" s="581">
        <f>HLOOKUP($T51,CommissionedByClass,MATCH(E$38,Commissioned!$M$4:$M$14,0),FALSE)+HLOOKUP($T51,Commissioned_Extra,MATCH(E$38,'Commissioned Extra'!$I$4:$I$14,0),FALSE)</f>
        <v>178309.05221218319</v>
      </c>
      <c r="F51" s="581">
        <f>HLOOKUP($T51,CommissionedByClass,MATCH(F$38,Commissioned!$M$4:$M$14,0),FALSE)+HLOOKUP($T51,Commissioned_Extra,MATCH(F$38,'Commissioned Extra'!$I$4:$I$14,0),FALSE)</f>
        <v>232055.44108495483</v>
      </c>
      <c r="G51" s="581">
        <f>HLOOKUP($T51,CommissionedByClass,MATCH(G$38,Commissioned!$M$4:$M$14,0),FALSE)+HLOOKUP($T51,Commissioned_Extra,MATCH(G$38,'Commissioned Extra'!$I$4:$I$14,0),FALSE)</f>
        <v>3184393.5693453471</v>
      </c>
      <c r="H51" s="581">
        <f>HLOOKUP($T51,CommissionedByClass,MATCH(H$38,Commissioned!$M$4:$M$14,0),FALSE)+HLOOKUP($T51,Commissioned_Extra,MATCH(H$38,'Commissioned Extra'!$I$4:$I$14,0),FALSE)</f>
        <v>57764.415881311652</v>
      </c>
      <c r="I51" s="581">
        <f>HLOOKUP($T51,CommissionedByClass,MATCH(I$38,Commissioned!$M$4:$M$14,0),FALSE)+HLOOKUP($T51,Commissioned_Extra,MATCH(I$38,'Commissioned Extra'!$I$4:$I$14,0),FALSE)</f>
        <v>49225.73119430965</v>
      </c>
      <c r="K51" s="576">
        <f t="shared" si="64"/>
        <v>-10.539253622759134</v>
      </c>
      <c r="L51" s="576">
        <f t="shared" si="65"/>
        <v>-6645.5822992982576</v>
      </c>
      <c r="M51" s="576">
        <f t="shared" si="66"/>
        <v>-1986.6146136631767</v>
      </c>
      <c r="N51" s="576">
        <f t="shared" si="67"/>
        <v>-749.80959493388605</v>
      </c>
      <c r="O51" s="576">
        <f t="shared" si="68"/>
        <v>-920.59260486359165</v>
      </c>
      <c r="P51" s="576">
        <f t="shared" si="69"/>
        <v>-11778.849882845803</v>
      </c>
      <c r="Q51" s="576">
        <f t="shared" si="70"/>
        <v>-219.04077276680144</v>
      </c>
      <c r="R51" s="576">
        <f t="shared" si="71"/>
        <v>-188.82198958133642</v>
      </c>
      <c r="T51" s="582" t="s">
        <v>1041</v>
      </c>
      <c r="U51" s="581">
        <v>276023.07074637723</v>
      </c>
      <c r="V51" s="581">
        <v>438120.88642609725</v>
      </c>
      <c r="W51" s="581">
        <f t="shared" si="51"/>
        <v>711896.70688293094</v>
      </c>
      <c r="X51" s="581">
        <f t="shared" si="52"/>
        <v>177559.24261724931</v>
      </c>
      <c r="Y51" s="581">
        <f t="shared" si="53"/>
        <v>231134.84848009123</v>
      </c>
      <c r="Z51" s="581">
        <f t="shared" si="54"/>
        <v>3172614.7194625014</v>
      </c>
      <c r="AA51" s="581">
        <f t="shared" si="55"/>
        <v>57545.375108544853</v>
      </c>
      <c r="AB51" s="581">
        <f t="shared" si="56"/>
        <v>49036.909204728312</v>
      </c>
      <c r="AC51" s="576"/>
      <c r="AE51" s="582" t="s">
        <v>1041</v>
      </c>
      <c r="AF51" s="547">
        <f t="shared" si="72"/>
        <v>0.27600000000000002</v>
      </c>
      <c r="AG51" s="547">
        <f t="shared" si="57"/>
        <v>0.438</v>
      </c>
      <c r="AH51" s="547">
        <f t="shared" si="58"/>
        <v>0.71199999999999997</v>
      </c>
      <c r="AI51" s="547">
        <f t="shared" si="59"/>
        <v>0.17799999999999999</v>
      </c>
      <c r="AJ51" s="547">
        <f t="shared" si="60"/>
        <v>0.23100000000000001</v>
      </c>
      <c r="AK51" s="547">
        <f t="shared" si="61"/>
        <v>3.173</v>
      </c>
      <c r="AL51" s="547">
        <f t="shared" si="62"/>
        <v>5.8000000000000003E-2</v>
      </c>
      <c r="AM51" s="547">
        <f t="shared" si="63"/>
        <v>4.9000000000000002E-2</v>
      </c>
    </row>
    <row r="52" spans="1:39" x14ac:dyDescent="0.2">
      <c r="A52" s="582" t="s">
        <v>1042</v>
      </c>
      <c r="B52" s="679">
        <v>-4135744.2799999989</v>
      </c>
      <c r="C52" s="581">
        <v>0</v>
      </c>
      <c r="D52" s="581">
        <f>HLOOKUP($T52,CommissionedByClass,MATCH(D$38,Commissioned!$M$4:$M$14,0),FALSE)+HLOOKUP($T52,Commissioned_Extra,MATCH(D$38,'Commissioned Extra'!$I$4:$I$14,0),FALSE)</f>
        <v>0</v>
      </c>
      <c r="E52" s="581">
        <f>HLOOKUP($T52,CommissionedByClass,MATCH(E$38,Commissioned!$M$4:$M$14,0),FALSE)+HLOOKUP($T52,Commissioned_Extra,MATCH(E$38,'Commissioned Extra'!$I$4:$I$14,0),FALSE)</f>
        <v>0</v>
      </c>
      <c r="F52" s="581">
        <f>HLOOKUP($T52,CommissionedByClass,MATCH(F$38,Commissioned!$M$4:$M$14,0),FALSE)+HLOOKUP($T52,Commissioned_Extra,MATCH(F$38,'Commissioned Extra'!$I$4:$I$14,0),FALSE)</f>
        <v>0</v>
      </c>
      <c r="G52" s="581">
        <f>HLOOKUP($T52,CommissionedByClass,MATCH(G$38,Commissioned!$M$4:$M$14,0),FALSE)+HLOOKUP($T52,Commissioned_Extra,MATCH(G$38,'Commissioned Extra'!$I$4:$I$14,0),FALSE)</f>
        <v>0</v>
      </c>
      <c r="H52" s="581">
        <f>HLOOKUP($T52,CommissionedByClass,MATCH(H$38,Commissioned!$M$4:$M$14,0),FALSE)+HLOOKUP($T52,Commissioned_Extra,MATCH(H$38,'Commissioned Extra'!$I$4:$I$14,0),FALSE)</f>
        <v>0</v>
      </c>
      <c r="I52" s="581">
        <f>HLOOKUP($T52,CommissionedByClass,MATCH(I$38,Commissioned!$M$4:$M$14,0),FALSE)+HLOOKUP($T52,Commissioned_Extra,MATCH(I$38,'Commissioned Extra'!$I$4:$I$14,0),FALSE)</f>
        <v>0</v>
      </c>
      <c r="K52" s="576">
        <f t="shared" si="64"/>
        <v>0</v>
      </c>
      <c r="L52" s="576">
        <f t="shared" si="65"/>
        <v>0</v>
      </c>
      <c r="M52" s="576">
        <f t="shared" si="66"/>
        <v>0</v>
      </c>
      <c r="N52" s="576">
        <f t="shared" si="67"/>
        <v>0</v>
      </c>
      <c r="O52" s="576">
        <f t="shared" si="68"/>
        <v>0</v>
      </c>
      <c r="P52" s="576">
        <f t="shared" si="69"/>
        <v>0</v>
      </c>
      <c r="Q52" s="576">
        <f t="shared" si="70"/>
        <v>0</v>
      </c>
      <c r="R52" s="576">
        <f t="shared" si="71"/>
        <v>0</v>
      </c>
      <c r="T52" s="582" t="s">
        <v>1042</v>
      </c>
      <c r="U52" s="581">
        <v>-4135744.2799999989</v>
      </c>
      <c r="V52" s="581">
        <v>0</v>
      </c>
      <c r="W52" s="581">
        <f t="shared" si="51"/>
        <v>0</v>
      </c>
      <c r="X52" s="581">
        <f t="shared" si="52"/>
        <v>0</v>
      </c>
      <c r="Y52" s="581">
        <f t="shared" si="53"/>
        <v>0</v>
      </c>
      <c r="Z52" s="581">
        <f t="shared" si="54"/>
        <v>0</v>
      </c>
      <c r="AA52" s="581">
        <f t="shared" si="55"/>
        <v>0</v>
      </c>
      <c r="AB52" s="581">
        <f t="shared" si="56"/>
        <v>0</v>
      </c>
      <c r="AC52" s="576"/>
      <c r="AE52" s="582" t="s">
        <v>1042</v>
      </c>
      <c r="AF52" s="547">
        <f t="shared" si="72"/>
        <v>-4.1360000000000001</v>
      </c>
      <c r="AG52" s="547">
        <f t="shared" si="57"/>
        <v>0</v>
      </c>
      <c r="AH52" s="547">
        <f t="shared" si="58"/>
        <v>0</v>
      </c>
      <c r="AI52" s="547">
        <f t="shared" si="59"/>
        <v>0</v>
      </c>
      <c r="AJ52" s="547">
        <f t="shared" si="60"/>
        <v>0</v>
      </c>
      <c r="AK52" s="547">
        <f t="shared" si="61"/>
        <v>0</v>
      </c>
      <c r="AL52" s="547">
        <f t="shared" si="62"/>
        <v>0</v>
      </c>
      <c r="AM52" s="547">
        <f t="shared" si="63"/>
        <v>0</v>
      </c>
    </row>
    <row r="53" spans="1:39" x14ac:dyDescent="0.2">
      <c r="A53" s="582" t="s">
        <v>1043</v>
      </c>
      <c r="B53" s="679">
        <v>31318011.495975733</v>
      </c>
      <c r="C53" s="581">
        <v>27590173.444942072</v>
      </c>
      <c r="D53" s="581">
        <f>HLOOKUP($T53,CommissionedByClass,MATCH(D$38,Commissioned!$M$4:$M$14,0),FALSE)+HLOOKUP($T53,Commissioned_Extra,MATCH(D$38,'Commissioned Extra'!$I$4:$I$14,0),FALSE)</f>
        <v>34137587.00154575</v>
      </c>
      <c r="E53" s="581">
        <f>HLOOKUP($T53,CommissionedByClass,MATCH(E$38,Commissioned!$M$4:$M$14,0),FALSE)+HLOOKUP($T53,Commissioned_Extra,MATCH(E$38,'Commissioned Extra'!$I$4:$I$14,0),FALSE)</f>
        <v>11138274.056678446</v>
      </c>
      <c r="F53" s="581">
        <f>HLOOKUP($T53,CommissionedByClass,MATCH(F$38,Commissioned!$M$4:$M$14,0),FALSE)+HLOOKUP($T53,Commissioned_Extra,MATCH(F$38,'Commissioned Extra'!$I$4:$I$14,0),FALSE)</f>
        <v>11140204.080078118</v>
      </c>
      <c r="G53" s="581">
        <f>HLOOKUP($T53,CommissionedByClass,MATCH(G$38,Commissioned!$M$4:$M$14,0),FALSE)+HLOOKUP($T53,Commissioned_Extra,MATCH(G$38,'Commissioned Extra'!$I$4:$I$14,0),FALSE)</f>
        <v>13142874.480023937</v>
      </c>
      <c r="H53" s="581">
        <f>HLOOKUP($T53,CommissionedByClass,MATCH(H$38,Commissioned!$M$4:$M$14,0),FALSE)+HLOOKUP($T53,Commissioned_Extra,MATCH(H$38,'Commissioned Extra'!$I$4:$I$14,0),FALSE)</f>
        <v>6394594.4414106207</v>
      </c>
      <c r="I53" s="581">
        <f>HLOOKUP($T53,CommissionedByClass,MATCH(I$38,Commissioned!$M$4:$M$14,0),FALSE)+HLOOKUP($T53,Commissioned_Extra,MATCH(I$38,'Commissioned Extra'!$I$4:$I$14,0),FALSE)</f>
        <v>38409216.464182824</v>
      </c>
      <c r="K53" s="576">
        <f t="shared" si="64"/>
        <v>-101053.10497032106</v>
      </c>
      <c r="L53" s="576">
        <f t="shared" si="65"/>
        <v>-161665.12455943972</v>
      </c>
      <c r="M53" s="576">
        <f t="shared" si="66"/>
        <v>-94999.038596803031</v>
      </c>
      <c r="N53" s="576">
        <f t="shared" si="67"/>
        <v>-46837.69362849008</v>
      </c>
      <c r="O53" s="576">
        <f t="shared" si="68"/>
        <v>-44194.56594011336</v>
      </c>
      <c r="P53" s="576">
        <f t="shared" si="69"/>
        <v>-48614.576734342772</v>
      </c>
      <c r="Q53" s="576">
        <f t="shared" si="70"/>
        <v>-24248.092646774814</v>
      </c>
      <c r="R53" s="576">
        <f t="shared" si="71"/>
        <v>-147331.57832433769</v>
      </c>
      <c r="T53" s="582" t="s">
        <v>1043</v>
      </c>
      <c r="U53" s="581">
        <v>31216958.391005412</v>
      </c>
      <c r="V53" s="581">
        <v>27428508.320382632</v>
      </c>
      <c r="W53" s="581">
        <f t="shared" si="51"/>
        <v>34042587.962948948</v>
      </c>
      <c r="X53" s="581">
        <f t="shared" si="52"/>
        <v>11091436.363049956</v>
      </c>
      <c r="Y53" s="581">
        <f t="shared" si="53"/>
        <v>11096009.514138004</v>
      </c>
      <c r="Z53" s="581">
        <f t="shared" si="54"/>
        <v>13094259.903289594</v>
      </c>
      <c r="AA53" s="581">
        <f t="shared" si="55"/>
        <v>6370346.3487638459</v>
      </c>
      <c r="AB53" s="581">
        <f t="shared" si="56"/>
        <v>38261884.885858484</v>
      </c>
      <c r="AC53" s="576"/>
      <c r="AE53" s="582" t="s">
        <v>1043</v>
      </c>
      <c r="AF53" s="547">
        <f t="shared" si="72"/>
        <v>31.216999999999999</v>
      </c>
      <c r="AG53" s="547">
        <f t="shared" si="57"/>
        <v>27.428999999999998</v>
      </c>
      <c r="AH53" s="547">
        <f t="shared" si="58"/>
        <v>34.042999999999999</v>
      </c>
      <c r="AI53" s="547">
        <f t="shared" si="59"/>
        <v>11.090999999999999</v>
      </c>
      <c r="AJ53" s="547">
        <f t="shared" si="60"/>
        <v>11.096</v>
      </c>
      <c r="AK53" s="547">
        <f t="shared" si="61"/>
        <v>13.093999999999999</v>
      </c>
      <c r="AL53" s="547">
        <f t="shared" si="62"/>
        <v>6.37</v>
      </c>
      <c r="AM53" s="547">
        <f t="shared" si="63"/>
        <v>38.262</v>
      </c>
    </row>
    <row r="54" spans="1:39" x14ac:dyDescent="0.2">
      <c r="A54" s="582" t="s">
        <v>1044</v>
      </c>
      <c r="B54" s="679">
        <v>13212138.807792637</v>
      </c>
      <c r="C54" s="581">
        <v>8780816.0524207484</v>
      </c>
      <c r="D54" s="810">
        <f>HLOOKUP($T54,CommissionedByClass,MATCH(D$38,Commissioned!$M$4:$M$14,0),FALSE)+HLOOKUP($T54,Commissioned_Extra,MATCH(D$38,'Commissioned Extra'!$I$4:$I$14,0),FALSE)</f>
        <v>14996660.685185732</v>
      </c>
      <c r="E54" s="810">
        <f>HLOOKUP($T54,CommissionedByClass,MATCH(E$38,Commissioned!$M$4:$M$14,0),FALSE)+HLOOKUP($T54,Commissioned_Extra,MATCH(E$38,'Commissioned Extra'!$I$4:$I$14,0),FALSE)</f>
        <v>720400.2165842806</v>
      </c>
      <c r="F54" s="810">
        <f>HLOOKUP($T54,CommissionedByClass,MATCH(F$38,Commissioned!$M$4:$M$14,0),FALSE)+HLOOKUP($T54,Commissioned_Extra,MATCH(F$38,'Commissioned Extra'!$I$4:$I$14,0),FALSE)</f>
        <v>237359.08252406973</v>
      </c>
      <c r="G54" s="810">
        <f>HLOOKUP($T54,CommissionedByClass,MATCH(G$38,Commissioned!$M$4:$M$14,0),FALSE)+HLOOKUP($T54,Commissioned_Extra,MATCH(G$38,'Commissioned Extra'!$I$4:$I$14,0),FALSE)</f>
        <v>710386.22696653195</v>
      </c>
      <c r="H54" s="810">
        <f>HLOOKUP($T54,CommissionedByClass,MATCH(H$38,Commissioned!$M$4:$M$14,0),FALSE)+HLOOKUP($T54,Commissioned_Extra,MATCH(H$38,'Commissioned Extra'!$I$4:$I$14,0),FALSE)</f>
        <v>10982716.03534141</v>
      </c>
      <c r="I54" s="810">
        <f>HLOOKUP($T54,CommissionedByClass,MATCH(I$38,Commissioned!$M$4:$M$14,0),FALSE)+HLOOKUP($T54,Commissioned_Extra,MATCH(I$38,'Commissioned Extra'!$I$4:$I$14,0),FALSE)</f>
        <v>162487.56882168815</v>
      </c>
      <c r="K54" s="576">
        <f t="shared" si="64"/>
        <v>-42307.987441062927</v>
      </c>
      <c r="L54" s="576">
        <f t="shared" si="65"/>
        <v>-44195.680536171421</v>
      </c>
      <c r="M54" s="576">
        <f t="shared" si="66"/>
        <v>-41733.129737336414</v>
      </c>
      <c r="N54" s="576">
        <f t="shared" si="67"/>
        <v>-3029.3638370337089</v>
      </c>
      <c r="O54" s="576">
        <f t="shared" si="68"/>
        <v>-941.63280570900008</v>
      </c>
      <c r="P54" s="576">
        <f t="shared" si="69"/>
        <v>-2627.6691445524484</v>
      </c>
      <c r="Q54" s="576">
        <f t="shared" si="70"/>
        <v>-41646.099432606243</v>
      </c>
      <c r="R54" s="576">
        <f t="shared" si="71"/>
        <v>-623.27618671700191</v>
      </c>
      <c r="T54" s="582" t="s">
        <v>1044</v>
      </c>
      <c r="U54" s="581">
        <v>13169830.820351575</v>
      </c>
      <c r="V54" s="581">
        <v>8736620.371884577</v>
      </c>
      <c r="W54" s="581">
        <f t="shared" si="51"/>
        <v>14954927.555448396</v>
      </c>
      <c r="X54" s="581">
        <f t="shared" si="52"/>
        <v>717370.85274724686</v>
      </c>
      <c r="Y54" s="581">
        <f t="shared" si="53"/>
        <v>236417.44971836073</v>
      </c>
      <c r="Z54" s="581">
        <f t="shared" si="54"/>
        <v>707758.55782197951</v>
      </c>
      <c r="AA54" s="581">
        <f t="shared" si="55"/>
        <v>10941069.935908804</v>
      </c>
      <c r="AB54" s="581">
        <f t="shared" si="56"/>
        <v>161864.29263497115</v>
      </c>
      <c r="AC54" s="576"/>
      <c r="AE54" s="582" t="s">
        <v>1044</v>
      </c>
      <c r="AF54" s="547">
        <f t="shared" si="72"/>
        <v>13.17</v>
      </c>
      <c r="AG54" s="547">
        <f t="shared" si="57"/>
        <v>8.7370000000000001</v>
      </c>
      <c r="AH54" s="547">
        <f t="shared" si="58"/>
        <v>14.955</v>
      </c>
      <c r="AI54" s="547">
        <f t="shared" si="59"/>
        <v>0.71699999999999997</v>
      </c>
      <c r="AJ54" s="547">
        <f t="shared" si="60"/>
        <v>0.23599999999999999</v>
      </c>
      <c r="AK54" s="547">
        <f t="shared" si="61"/>
        <v>0.70799999999999996</v>
      </c>
      <c r="AL54" s="547">
        <f t="shared" si="62"/>
        <v>10.941000000000001</v>
      </c>
      <c r="AM54" s="547">
        <f t="shared" si="63"/>
        <v>0.16200000000000001</v>
      </c>
    </row>
    <row r="55" spans="1:39" x14ac:dyDescent="0.2">
      <c r="A55" s="582" t="s">
        <v>1045</v>
      </c>
      <c r="B55" s="679">
        <v>0</v>
      </c>
      <c r="C55" s="581">
        <v>0</v>
      </c>
      <c r="D55" s="581">
        <f>HLOOKUP($T55,CommissionedByClass,MATCH(D$38,Commissioned!$M$4:$M$14,0),FALSE)+HLOOKUP($T55,Commissioned_Extra,MATCH(D$38,'Commissioned Extra'!$I$4:$I$14,0),FALSE)</f>
        <v>4090950.638430336</v>
      </c>
      <c r="E55" s="581">
        <f>HLOOKUP($T55,CommissionedByClass,MATCH(E$38,Commissioned!$M$4:$M$14,0),FALSE)+HLOOKUP($T55,Commissioned_Extra,MATCH(E$38,'Commissioned Extra'!$I$4:$I$14,0),FALSE)</f>
        <v>543108.48236662068</v>
      </c>
      <c r="F55" s="581">
        <f>HLOOKUP($T55,CommissionedByClass,MATCH(F$38,Commissioned!$M$4:$M$14,0),FALSE)+HLOOKUP($T55,Commissioned_Extra,MATCH(F$38,'Commissioned Extra'!$I$4:$I$14,0),FALSE)</f>
        <v>0</v>
      </c>
      <c r="G55" s="581">
        <f>HLOOKUP($T55,CommissionedByClass,MATCH(G$38,Commissioned!$M$4:$M$14,0),FALSE)+HLOOKUP($T55,Commissioned_Extra,MATCH(G$38,'Commissioned Extra'!$I$4:$I$14,0),FALSE)</f>
        <v>24674.740177649888</v>
      </c>
      <c r="H55" s="581">
        <f>HLOOKUP($T55,CommissionedByClass,MATCH(H$38,Commissioned!$M$4:$M$14,0),FALSE)+HLOOKUP($T55,Commissioned_Extra,MATCH(H$38,'Commissioned Extra'!$I$4:$I$14,0),FALSE)</f>
        <v>14084.797302624153</v>
      </c>
      <c r="I55" s="581">
        <f>HLOOKUP($T55,CommissionedByClass,MATCH(I$38,Commissioned!$M$4:$M$14,0),FALSE)+HLOOKUP($T55,Commissioned_Extra,MATCH(I$38,'Commissioned Extra'!$I$4:$I$14,0),FALSE)</f>
        <v>129009.24539014655</v>
      </c>
      <c r="K55" s="576">
        <f t="shared" si="64"/>
        <v>0</v>
      </c>
      <c r="L55" s="576">
        <f t="shared" si="65"/>
        <v>0</v>
      </c>
      <c r="M55" s="576">
        <f t="shared" si="66"/>
        <v>-11384.412658699692</v>
      </c>
      <c r="N55" s="576">
        <f t="shared" si="67"/>
        <v>-2283.8321785474059</v>
      </c>
      <c r="O55" s="576">
        <f t="shared" si="68"/>
        <v>0</v>
      </c>
      <c r="P55" s="576">
        <f t="shared" si="69"/>
        <v>-91.270144258742576</v>
      </c>
      <c r="Q55" s="576">
        <f t="shared" si="70"/>
        <v>-53.409089979713315</v>
      </c>
      <c r="R55" s="576">
        <f t="shared" si="71"/>
        <v>-494.85872120006712</v>
      </c>
      <c r="T55" s="582" t="s">
        <v>1045</v>
      </c>
      <c r="U55" s="581">
        <v>0</v>
      </c>
      <c r="V55" s="581">
        <v>0</v>
      </c>
      <c r="W55" s="581">
        <f t="shared" si="51"/>
        <v>4079566.2257716362</v>
      </c>
      <c r="X55" s="581">
        <f t="shared" si="52"/>
        <v>540824.65018807328</v>
      </c>
      <c r="Y55" s="581">
        <f t="shared" si="53"/>
        <v>0</v>
      </c>
      <c r="Z55" s="581">
        <f t="shared" si="54"/>
        <v>24583.470033391146</v>
      </c>
      <c r="AA55" s="581">
        <f t="shared" si="55"/>
        <v>14031.388212644439</v>
      </c>
      <c r="AB55" s="581">
        <f t="shared" si="56"/>
        <v>128514.38666894648</v>
      </c>
      <c r="AC55" s="576"/>
      <c r="AE55" s="582" t="s">
        <v>1045</v>
      </c>
      <c r="AF55" s="547">
        <f t="shared" si="72"/>
        <v>0</v>
      </c>
      <c r="AG55" s="547">
        <f t="shared" si="57"/>
        <v>0</v>
      </c>
      <c r="AH55" s="547">
        <f t="shared" si="58"/>
        <v>4.08</v>
      </c>
      <c r="AI55" s="547">
        <f t="shared" si="59"/>
        <v>0.54100000000000004</v>
      </c>
      <c r="AJ55" s="547">
        <f t="shared" si="60"/>
        <v>0</v>
      </c>
      <c r="AK55" s="547">
        <f t="shared" si="61"/>
        <v>2.5000000000000001E-2</v>
      </c>
      <c r="AL55" s="547">
        <f t="shared" si="62"/>
        <v>1.4E-2</v>
      </c>
      <c r="AM55" s="547">
        <f t="shared" si="63"/>
        <v>0.129</v>
      </c>
    </row>
    <row r="56" spans="1:39" x14ac:dyDescent="0.2">
      <c r="A56" s="582" t="s">
        <v>2271</v>
      </c>
      <c r="B56" s="679">
        <v>0</v>
      </c>
      <c r="C56" s="581">
        <v>0</v>
      </c>
      <c r="D56" s="581"/>
      <c r="E56" s="581"/>
      <c r="F56" s="581"/>
      <c r="G56" s="581"/>
      <c r="H56" s="581"/>
      <c r="I56" s="581"/>
      <c r="K56" s="576">
        <f t="shared" si="64"/>
        <v>0</v>
      </c>
      <c r="L56" s="576">
        <f t="shared" si="65"/>
        <v>0</v>
      </c>
      <c r="M56" s="576">
        <f t="shared" si="66"/>
        <v>0</v>
      </c>
      <c r="N56" s="576">
        <f t="shared" si="67"/>
        <v>0</v>
      </c>
      <c r="O56" s="576">
        <f t="shared" si="68"/>
        <v>0</v>
      </c>
      <c r="P56" s="576">
        <f t="shared" si="69"/>
        <v>0</v>
      </c>
      <c r="Q56" s="576">
        <f t="shared" si="70"/>
        <v>0</v>
      </c>
      <c r="R56" s="576">
        <f t="shared" si="71"/>
        <v>0</v>
      </c>
      <c r="T56" s="582" t="s">
        <v>2271</v>
      </c>
      <c r="U56" s="581">
        <v>0</v>
      </c>
      <c r="V56" s="581">
        <v>0</v>
      </c>
      <c r="W56" s="581">
        <f t="shared" si="51"/>
        <v>0</v>
      </c>
      <c r="X56" s="581">
        <f t="shared" si="52"/>
        <v>0</v>
      </c>
      <c r="Y56" s="581">
        <f t="shared" si="53"/>
        <v>0</v>
      </c>
      <c r="Z56" s="581">
        <f t="shared" si="54"/>
        <v>0</v>
      </c>
      <c r="AA56" s="581">
        <f t="shared" si="55"/>
        <v>0</v>
      </c>
      <c r="AB56" s="581">
        <f t="shared" si="56"/>
        <v>0</v>
      </c>
      <c r="AC56" s="576"/>
      <c r="AE56" s="582" t="s">
        <v>2271</v>
      </c>
      <c r="AF56" s="547">
        <f t="shared" si="72"/>
        <v>0</v>
      </c>
      <c r="AG56" s="547">
        <f t="shared" si="57"/>
        <v>0</v>
      </c>
      <c r="AH56" s="547">
        <f t="shared" si="58"/>
        <v>0</v>
      </c>
      <c r="AI56" s="547">
        <f t="shared" si="59"/>
        <v>0</v>
      </c>
      <c r="AJ56" s="547">
        <f t="shared" si="60"/>
        <v>0</v>
      </c>
      <c r="AK56" s="547">
        <f t="shared" si="61"/>
        <v>0</v>
      </c>
      <c r="AL56" s="547">
        <f t="shared" si="62"/>
        <v>0</v>
      </c>
      <c r="AM56" s="547">
        <f t="shared" si="63"/>
        <v>0</v>
      </c>
    </row>
    <row r="57" spans="1:39" x14ac:dyDescent="0.2">
      <c r="A57" s="582" t="s">
        <v>2272</v>
      </c>
      <c r="B57" s="679">
        <v>0</v>
      </c>
      <c r="C57" s="581"/>
      <c r="D57" s="581"/>
      <c r="E57" s="581"/>
      <c r="F57" s="581"/>
      <c r="G57" s="581"/>
      <c r="H57" s="581"/>
      <c r="I57" s="581"/>
      <c r="K57" s="576">
        <f t="shared" si="64"/>
        <v>0</v>
      </c>
      <c r="L57" s="576">
        <f t="shared" si="65"/>
        <v>0</v>
      </c>
      <c r="M57" s="576">
        <f t="shared" si="66"/>
        <v>0</v>
      </c>
      <c r="N57" s="576">
        <f t="shared" si="67"/>
        <v>0</v>
      </c>
      <c r="O57" s="576">
        <f t="shared" si="68"/>
        <v>0</v>
      </c>
      <c r="P57" s="576">
        <f t="shared" si="69"/>
        <v>0</v>
      </c>
      <c r="Q57" s="576">
        <f t="shared" si="70"/>
        <v>0</v>
      </c>
      <c r="R57" s="576">
        <f t="shared" si="71"/>
        <v>0</v>
      </c>
      <c r="T57" s="582" t="s">
        <v>2272</v>
      </c>
      <c r="U57" s="581">
        <v>0</v>
      </c>
      <c r="V57" s="581"/>
      <c r="W57" s="581">
        <f t="shared" si="51"/>
        <v>0</v>
      </c>
      <c r="X57" s="581">
        <f t="shared" si="52"/>
        <v>0</v>
      </c>
      <c r="Y57" s="581">
        <f t="shared" si="53"/>
        <v>0</v>
      </c>
      <c r="Z57" s="581">
        <f t="shared" si="54"/>
        <v>0</v>
      </c>
      <c r="AA57" s="581">
        <f t="shared" si="55"/>
        <v>0</v>
      </c>
      <c r="AB57" s="581">
        <f t="shared" si="56"/>
        <v>0</v>
      </c>
      <c r="AC57" s="576"/>
      <c r="AE57" s="582" t="s">
        <v>2272</v>
      </c>
      <c r="AF57" s="547">
        <f t="shared" si="72"/>
        <v>0</v>
      </c>
      <c r="AG57" s="547">
        <f t="shared" si="57"/>
        <v>0</v>
      </c>
      <c r="AH57" s="547">
        <f t="shared" si="58"/>
        <v>0</v>
      </c>
      <c r="AI57" s="547">
        <f t="shared" si="59"/>
        <v>0</v>
      </c>
      <c r="AJ57" s="547">
        <f t="shared" si="60"/>
        <v>0</v>
      </c>
      <c r="AK57" s="547">
        <f t="shared" si="61"/>
        <v>0</v>
      </c>
      <c r="AL57" s="547">
        <f t="shared" si="62"/>
        <v>0</v>
      </c>
      <c r="AM57" s="547">
        <f t="shared" si="63"/>
        <v>0</v>
      </c>
    </row>
    <row r="58" spans="1:39" x14ac:dyDescent="0.2">
      <c r="A58" s="582" t="s">
        <v>2273</v>
      </c>
      <c r="B58" s="679">
        <v>0</v>
      </c>
      <c r="C58" s="581"/>
      <c r="D58" s="581"/>
      <c r="E58" s="581"/>
      <c r="F58" s="581"/>
      <c r="G58" s="581"/>
      <c r="H58" s="581"/>
      <c r="I58" s="581"/>
      <c r="K58" s="576">
        <f t="shared" si="64"/>
        <v>0</v>
      </c>
      <c r="L58" s="576">
        <f t="shared" si="65"/>
        <v>0</v>
      </c>
      <c r="M58" s="576">
        <f t="shared" si="66"/>
        <v>0</v>
      </c>
      <c r="N58" s="576">
        <f t="shared" si="67"/>
        <v>0</v>
      </c>
      <c r="O58" s="576">
        <f t="shared" si="68"/>
        <v>0</v>
      </c>
      <c r="P58" s="576">
        <f t="shared" si="69"/>
        <v>0</v>
      </c>
      <c r="Q58" s="576">
        <f t="shared" si="70"/>
        <v>0</v>
      </c>
      <c r="R58" s="576">
        <f t="shared" si="71"/>
        <v>0</v>
      </c>
      <c r="T58" s="582" t="s">
        <v>2273</v>
      </c>
      <c r="U58" s="581">
        <v>0</v>
      </c>
      <c r="V58" s="581"/>
      <c r="W58" s="581">
        <f t="shared" si="51"/>
        <v>0</v>
      </c>
      <c r="X58" s="581">
        <f t="shared" si="52"/>
        <v>0</v>
      </c>
      <c r="Y58" s="581">
        <f t="shared" si="53"/>
        <v>0</v>
      </c>
      <c r="Z58" s="581">
        <f t="shared" si="54"/>
        <v>0</v>
      </c>
      <c r="AA58" s="581">
        <f t="shared" si="55"/>
        <v>0</v>
      </c>
      <c r="AB58" s="581">
        <f t="shared" si="56"/>
        <v>0</v>
      </c>
      <c r="AC58" s="576"/>
      <c r="AE58" s="582" t="s">
        <v>2273</v>
      </c>
      <c r="AF58" s="547">
        <f t="shared" si="72"/>
        <v>0</v>
      </c>
      <c r="AG58" s="547">
        <f t="shared" si="57"/>
        <v>0</v>
      </c>
      <c r="AH58" s="547">
        <f t="shared" si="58"/>
        <v>0</v>
      </c>
      <c r="AI58" s="547">
        <f t="shared" si="59"/>
        <v>0</v>
      </c>
      <c r="AJ58" s="547">
        <f t="shared" si="60"/>
        <v>0</v>
      </c>
      <c r="AK58" s="547">
        <f t="shared" si="61"/>
        <v>0</v>
      </c>
      <c r="AL58" s="547">
        <f t="shared" si="62"/>
        <v>0</v>
      </c>
      <c r="AM58" s="547">
        <f t="shared" si="63"/>
        <v>0</v>
      </c>
    </row>
    <row r="59" spans="1:39" x14ac:dyDescent="0.2">
      <c r="A59" s="582" t="s">
        <v>1059</v>
      </c>
      <c r="B59" s="679">
        <v>0</v>
      </c>
      <c r="C59" s="581"/>
      <c r="D59" s="581"/>
      <c r="E59" s="581"/>
      <c r="F59" s="581"/>
      <c r="G59" s="581"/>
      <c r="H59" s="581"/>
      <c r="I59" s="581"/>
      <c r="K59" s="576">
        <f t="shared" si="64"/>
        <v>0</v>
      </c>
      <c r="L59" s="576">
        <f t="shared" si="65"/>
        <v>0</v>
      </c>
      <c r="M59" s="576">
        <f t="shared" si="66"/>
        <v>0</v>
      </c>
      <c r="N59" s="576">
        <f t="shared" si="67"/>
        <v>0</v>
      </c>
      <c r="O59" s="576">
        <f t="shared" si="68"/>
        <v>0</v>
      </c>
      <c r="P59" s="576">
        <f t="shared" si="69"/>
        <v>0</v>
      </c>
      <c r="Q59" s="576">
        <f t="shared" si="70"/>
        <v>0</v>
      </c>
      <c r="R59" s="576">
        <f t="shared" si="71"/>
        <v>0</v>
      </c>
      <c r="T59" s="582" t="s">
        <v>1059</v>
      </c>
      <c r="U59" s="581">
        <v>0</v>
      </c>
      <c r="V59" s="581"/>
      <c r="W59" s="581">
        <f t="shared" si="51"/>
        <v>0</v>
      </c>
      <c r="X59" s="581">
        <f t="shared" si="52"/>
        <v>0</v>
      </c>
      <c r="Y59" s="581">
        <f t="shared" si="53"/>
        <v>0</v>
      </c>
      <c r="Z59" s="581">
        <f t="shared" si="54"/>
        <v>0</v>
      </c>
      <c r="AA59" s="581">
        <f t="shared" si="55"/>
        <v>0</v>
      </c>
      <c r="AB59" s="581">
        <f t="shared" si="56"/>
        <v>0</v>
      </c>
      <c r="AC59" s="576"/>
      <c r="AE59" s="582" t="s">
        <v>1059</v>
      </c>
      <c r="AF59" s="547">
        <f t="shared" si="72"/>
        <v>0</v>
      </c>
      <c r="AG59" s="547">
        <f t="shared" si="57"/>
        <v>0</v>
      </c>
      <c r="AH59" s="547">
        <f t="shared" si="58"/>
        <v>0</v>
      </c>
      <c r="AI59" s="547">
        <f t="shared" si="59"/>
        <v>0</v>
      </c>
      <c r="AJ59" s="547">
        <f t="shared" si="60"/>
        <v>0</v>
      </c>
      <c r="AK59" s="547">
        <f t="shared" si="61"/>
        <v>0</v>
      </c>
      <c r="AL59" s="547">
        <f t="shared" si="62"/>
        <v>0</v>
      </c>
      <c r="AM59" s="547">
        <f t="shared" si="63"/>
        <v>0</v>
      </c>
    </row>
    <row r="60" spans="1:39" x14ac:dyDescent="0.2">
      <c r="A60" s="582" t="s">
        <v>1060</v>
      </c>
      <c r="B60" s="679">
        <v>0</v>
      </c>
      <c r="C60" s="581"/>
      <c r="D60" s="581"/>
      <c r="E60" s="581"/>
      <c r="F60" s="581"/>
      <c r="G60" s="581"/>
      <c r="H60" s="581"/>
      <c r="I60" s="581"/>
      <c r="K60" s="576">
        <f t="shared" si="64"/>
        <v>0</v>
      </c>
      <c r="L60" s="576">
        <f t="shared" si="65"/>
        <v>0</v>
      </c>
      <c r="M60" s="576">
        <f t="shared" si="66"/>
        <v>0</v>
      </c>
      <c r="N60" s="576">
        <f t="shared" si="67"/>
        <v>0</v>
      </c>
      <c r="O60" s="576">
        <f t="shared" si="68"/>
        <v>0</v>
      </c>
      <c r="P60" s="576">
        <f t="shared" si="69"/>
        <v>0</v>
      </c>
      <c r="Q60" s="576">
        <f t="shared" si="70"/>
        <v>0</v>
      </c>
      <c r="R60" s="576">
        <f t="shared" si="71"/>
        <v>0</v>
      </c>
      <c r="T60" s="582" t="s">
        <v>1060</v>
      </c>
      <c r="U60" s="581">
        <v>0</v>
      </c>
      <c r="V60" s="581"/>
      <c r="W60" s="581">
        <f t="shared" si="51"/>
        <v>0</v>
      </c>
      <c r="X60" s="581">
        <f t="shared" si="52"/>
        <v>0</v>
      </c>
      <c r="Y60" s="581">
        <f t="shared" si="53"/>
        <v>0</v>
      </c>
      <c r="Z60" s="581">
        <f t="shared" si="54"/>
        <v>0</v>
      </c>
      <c r="AA60" s="581">
        <f t="shared" si="55"/>
        <v>0</v>
      </c>
      <c r="AB60" s="581">
        <f t="shared" si="56"/>
        <v>0</v>
      </c>
      <c r="AC60" s="576"/>
      <c r="AE60" s="582" t="s">
        <v>1060</v>
      </c>
      <c r="AF60" s="547">
        <f t="shared" si="72"/>
        <v>0</v>
      </c>
      <c r="AG60" s="547">
        <f t="shared" si="57"/>
        <v>0</v>
      </c>
      <c r="AH60" s="547">
        <f t="shared" si="58"/>
        <v>0</v>
      </c>
      <c r="AI60" s="547">
        <f t="shared" si="59"/>
        <v>0</v>
      </c>
      <c r="AJ60" s="547">
        <f t="shared" si="60"/>
        <v>0</v>
      </c>
      <c r="AK60" s="547">
        <f t="shared" si="61"/>
        <v>0</v>
      </c>
      <c r="AL60" s="547">
        <f t="shared" si="62"/>
        <v>0</v>
      </c>
      <c r="AM60" s="547">
        <f t="shared" si="63"/>
        <v>0</v>
      </c>
    </row>
    <row r="61" spans="1:39" x14ac:dyDescent="0.2">
      <c r="A61" s="582" t="s">
        <v>1047</v>
      </c>
      <c r="B61" s="679">
        <v>2525677.4360443186</v>
      </c>
      <c r="C61" s="581">
        <v>11405056.494108163</v>
      </c>
      <c r="D61" s="581">
        <f>HLOOKUP($T61,CommissionedByClass,MATCH(D$38,Commissioned!$M$4:$M$14,0),FALSE)+HLOOKUP($T61,Commissioned_Extra,MATCH(D$38,'Commissioned Extra'!$I$4:$I$14,0),FALSE)</f>
        <v>61845716.117816515</v>
      </c>
      <c r="E61" s="581">
        <f>HLOOKUP($T61,CommissionedByClass,MATCH(E$38,Commissioned!$M$4:$M$14,0),FALSE)+HLOOKUP($T61,Commissioned_Extra,MATCH(E$38,'Commissioned Extra'!$I$4:$I$14,0),FALSE)</f>
        <v>0</v>
      </c>
      <c r="F61" s="581">
        <f>HLOOKUP($T61,CommissionedByClass,MATCH(F$38,Commissioned!$M$4:$M$14,0),FALSE)+HLOOKUP($T61,Commissioned_Extra,MATCH(F$38,'Commissioned Extra'!$I$4:$I$14,0),FALSE)</f>
        <v>0</v>
      </c>
      <c r="G61" s="581">
        <f>HLOOKUP($T61,CommissionedByClass,MATCH(G$38,Commissioned!$M$4:$M$14,0),FALSE)+HLOOKUP($T61,Commissioned_Extra,MATCH(G$38,'Commissioned Extra'!$I$4:$I$14,0),FALSE)</f>
        <v>0</v>
      </c>
      <c r="H61" s="581">
        <f>HLOOKUP($T61,CommissionedByClass,MATCH(H$38,Commissioned!$M$4:$M$14,0),FALSE)+HLOOKUP($T61,Commissioned_Extra,MATCH(H$38,'Commissioned Extra'!$I$4:$I$14,0),FALSE)</f>
        <v>0</v>
      </c>
      <c r="I61" s="581">
        <f>HLOOKUP($T61,CommissionedByClass,MATCH(I$38,Commissioned!$M$4:$M$14,0),FALSE)+HLOOKUP($T61,Commissioned_Extra,MATCH(I$38,'Commissioned Extra'!$I$4:$I$14,0),FALSE)</f>
        <v>0</v>
      </c>
      <c r="K61" s="576">
        <f t="shared" si="64"/>
        <v>-14505.64666870283</v>
      </c>
      <c r="L61" s="576">
        <f t="shared" si="65"/>
        <v>-36120.70321556367</v>
      </c>
      <c r="M61" s="576">
        <f t="shared" si="66"/>
        <v>-172106.00070407265</v>
      </c>
      <c r="N61" s="576">
        <f t="shared" si="67"/>
        <v>0</v>
      </c>
      <c r="O61" s="576">
        <f t="shared" si="68"/>
        <v>0</v>
      </c>
      <c r="P61" s="576">
        <f t="shared" si="69"/>
        <v>0</v>
      </c>
      <c r="Q61" s="576">
        <f t="shared" si="70"/>
        <v>0</v>
      </c>
      <c r="R61" s="576">
        <f t="shared" si="71"/>
        <v>0</v>
      </c>
      <c r="T61" s="582" t="s">
        <v>1047</v>
      </c>
      <c r="U61" s="581">
        <v>2511171.7893756158</v>
      </c>
      <c r="V61" s="581">
        <v>11368935.790892599</v>
      </c>
      <c r="W61" s="581">
        <f t="shared" si="51"/>
        <v>61673610.117112443</v>
      </c>
      <c r="X61" s="581">
        <f t="shared" si="52"/>
        <v>0</v>
      </c>
      <c r="Y61" s="581">
        <f t="shared" si="53"/>
        <v>0</v>
      </c>
      <c r="Z61" s="581">
        <f t="shared" si="54"/>
        <v>0</v>
      </c>
      <c r="AA61" s="581">
        <f t="shared" si="55"/>
        <v>0</v>
      </c>
      <c r="AB61" s="581">
        <f t="shared" si="56"/>
        <v>0</v>
      </c>
      <c r="AC61" s="581"/>
      <c r="AE61" s="582" t="s">
        <v>1047</v>
      </c>
      <c r="AF61" s="547">
        <f t="shared" si="72"/>
        <v>2.5110000000000001</v>
      </c>
      <c r="AG61" s="547">
        <f t="shared" si="57"/>
        <v>11.369</v>
      </c>
      <c r="AH61" s="547">
        <f t="shared" si="58"/>
        <v>61.673999999999999</v>
      </c>
      <c r="AI61" s="547">
        <f t="shared" si="59"/>
        <v>0</v>
      </c>
      <c r="AJ61" s="547">
        <f t="shared" si="60"/>
        <v>0</v>
      </c>
      <c r="AK61" s="547">
        <f t="shared" si="61"/>
        <v>0</v>
      </c>
      <c r="AL61" s="547">
        <f t="shared" si="62"/>
        <v>0</v>
      </c>
      <c r="AM61" s="547">
        <f t="shared" si="63"/>
        <v>0</v>
      </c>
    </row>
    <row r="62" spans="1:39" x14ac:dyDescent="0.2">
      <c r="A62" s="582" t="s">
        <v>2985</v>
      </c>
      <c r="B62" s="680"/>
      <c r="E62" s="583">
        <f>HLOOKUP($T41,CommissionedByClass,MATCH(E$38,Commissioned!$M$4:$M$14,0),FALSE)+HLOOKUP($T41,Commissioned_Extra,MATCH(E$38,'Commissioned Extra'!$I$4:$I$14,0),FALSE)</f>
        <v>19788995.574828137</v>
      </c>
      <c r="F62" s="583">
        <f>HLOOKUP($T41,CommissionedByClass,MATCH(F$38,Commissioned!$M$4:$M$14,0),FALSE)+HLOOKUP($T41,Commissioned_Extra,MATCH(F$38,'Commissioned Extra'!$I$4:$I$14,0),FALSE)</f>
        <v>14490266.748072019</v>
      </c>
      <c r="G62" s="583">
        <f>HLOOKUP($T41,CommissionedByClass,MATCH(G$38,Commissioned!$M$4:$M$14,0),FALSE)+HLOOKUP($T41,Commissioned_Extra,MATCH(G$38,'Commissioned Extra'!$I$4:$I$14,0),FALSE)</f>
        <v>4158401.5235918513</v>
      </c>
      <c r="H62" s="583">
        <f>HLOOKUP($T41,CommissionedByClass,MATCH(H$38,Commissioned!$M$4:$M$14,0),FALSE)+HLOOKUP($T41,Commissioned_Extra,MATCH(H$38,'Commissioned Extra'!$I$4:$I$14,0),FALSE)</f>
        <v>303219.64387308073</v>
      </c>
      <c r="I62" s="583">
        <f>HLOOKUP($T41,CommissionedByClass,MATCH(I$38,Commissioned!$M$4:$M$14,0),FALSE)+HLOOKUP($T41,Commissioned_Extra,MATCH(I$38,'Commissioned Extra'!$I$4:$I$14,0),FALSE)</f>
        <v>10820959.118986245</v>
      </c>
      <c r="N62" s="576">
        <f t="shared" ref="N62:R63" si="73">N$36/E$64*E62</f>
        <v>-83214.949392774157</v>
      </c>
      <c r="O62" s="576">
        <f t="shared" si="73"/>
        <v>-57484.67843894384</v>
      </c>
      <c r="P62" s="576">
        <f t="shared" si="73"/>
        <v>-15381.637423999484</v>
      </c>
      <c r="Q62" s="576">
        <f t="shared" si="73"/>
        <v>-1149.7989566535507</v>
      </c>
      <c r="R62" s="576">
        <f t="shared" si="73"/>
        <v>-41507.459218025397</v>
      </c>
      <c r="T62" s="582" t="s">
        <v>2632</v>
      </c>
      <c r="W62" s="581">
        <f t="shared" ref="W62:AB63" si="74">D62+M62</f>
        <v>0</v>
      </c>
      <c r="X62" s="581">
        <f t="shared" si="74"/>
        <v>19705780.625435364</v>
      </c>
      <c r="Y62" s="581">
        <f t="shared" si="74"/>
        <v>14432782.069633074</v>
      </c>
      <c r="Z62" s="581">
        <f t="shared" si="74"/>
        <v>4143019.8861678517</v>
      </c>
      <c r="AA62" s="581">
        <f t="shared" si="74"/>
        <v>302069.84491642716</v>
      </c>
      <c r="AB62" s="581">
        <f t="shared" si="74"/>
        <v>10779451.65976822</v>
      </c>
      <c r="AE62" s="582" t="s">
        <v>2632</v>
      </c>
      <c r="AH62" s="547">
        <f t="shared" ref="AH62:AM63" si="75">ROUND(W62/1000000,$AF$2)</f>
        <v>0</v>
      </c>
      <c r="AI62" s="547">
        <f t="shared" si="75"/>
        <v>19.706</v>
      </c>
      <c r="AJ62" s="547">
        <f t="shared" si="75"/>
        <v>14.433</v>
      </c>
      <c r="AK62" s="547">
        <f t="shared" si="75"/>
        <v>4.1429999999999998</v>
      </c>
      <c r="AL62" s="547">
        <f t="shared" si="75"/>
        <v>0.30199999999999999</v>
      </c>
      <c r="AM62" s="547">
        <f t="shared" si="75"/>
        <v>10.779</v>
      </c>
    </row>
    <row r="63" spans="1:39" x14ac:dyDescent="0.2">
      <c r="A63" s="547" t="s">
        <v>3051</v>
      </c>
      <c r="B63" s="680"/>
      <c r="C63" s="581">
        <f>HLOOKUP($T63,CommissionedByClass,MATCH(C$38,Commissioned!$M$4:$M$14,0),FALSE)+HLOOKUP($T63,Commissioned_Extra,MATCH(C$38,'Commissioned Extra'!$I$4:$I$14,0),FALSE)</f>
        <v>0</v>
      </c>
      <c r="D63" s="581">
        <f>HLOOKUP($T63,CommissionedByClass,MATCH(D$38,Commissioned!$M$4:$M$14,0),FALSE)+HLOOKUP($T63,Commissioned_Extra,MATCH(D$38,'Commissioned Extra'!$I$4:$I$14,0),FALSE)</f>
        <v>0</v>
      </c>
      <c r="E63" s="581">
        <f>HLOOKUP($T63,CommissionedByClass,MATCH(E$38,Commissioned!$M$4:$M$14,0),FALSE)+HLOOKUP($T63,Commissioned_Extra,MATCH(E$38,'Commissioned Extra'!$I$4:$I$14,0),FALSE)</f>
        <v>11205262.697244486</v>
      </c>
      <c r="F63" s="581">
        <f>HLOOKUP($T63,CommissionedByClass,MATCH(F$38,Commissioned!$M$4:$M$14,0),FALSE)+HLOOKUP($T63,Commissioned_Extra,MATCH(F$38,'Commissioned Extra'!$I$4:$I$14,0),FALSE)</f>
        <v>10525019.867078457</v>
      </c>
      <c r="G63" s="581">
        <f>HLOOKUP($T63,CommissionedByClass,MATCH(G$38,Commissioned!$M$4:$M$14,0),FALSE)+HLOOKUP($T63,Commissioned_Extra,MATCH(G$38,'Commissioned Extra'!$I$4:$I$14,0),FALSE)</f>
        <v>23699994.683355451</v>
      </c>
      <c r="H63" s="581">
        <f>HLOOKUP($T63,CommissionedByClass,MATCH(H$38,Commissioned!$M$4:$M$14,0),FALSE)+HLOOKUP($T63,Commissioned_Extra,MATCH(H$38,'Commissioned Extra'!$I$4:$I$14,0),FALSE)</f>
        <v>67132463.438355088</v>
      </c>
      <c r="I63" s="581">
        <f>HLOOKUP($T63,CommissionedByClass,MATCH(I$38,Commissioned!$M$4:$M$14,0),FALSE)+HLOOKUP($T63,Commissioned_Extra,MATCH(I$38,'Commissioned Extra'!$I$4:$I$14,0),FALSE)</f>
        <v>75223237.252579674</v>
      </c>
      <c r="N63" s="576">
        <f t="shared" si="73"/>
        <v>-47119.388387252089</v>
      </c>
      <c r="O63" s="576">
        <f t="shared" si="73"/>
        <v>-41754.054162115521</v>
      </c>
      <c r="P63" s="576">
        <f t="shared" si="73"/>
        <v>-87664.628608353014</v>
      </c>
      <c r="Q63" s="576">
        <f t="shared" si="73"/>
        <v>-254564.1022232465</v>
      </c>
      <c r="R63" s="576">
        <f t="shared" si="73"/>
        <v>-288544.24253677548</v>
      </c>
      <c r="T63" s="584" t="s">
        <v>3051</v>
      </c>
      <c r="W63" s="581">
        <f t="shared" si="74"/>
        <v>0</v>
      </c>
      <c r="X63" s="581">
        <f t="shared" si="74"/>
        <v>11158143.308857234</v>
      </c>
      <c r="Y63" s="581">
        <f t="shared" si="74"/>
        <v>10483265.812916342</v>
      </c>
      <c r="Z63" s="581">
        <f t="shared" si="74"/>
        <v>23612330.054747097</v>
      </c>
      <c r="AA63" s="581">
        <f t="shared" si="74"/>
        <v>66877899.336131841</v>
      </c>
      <c r="AB63" s="581">
        <f t="shared" si="74"/>
        <v>74934693.010042906</v>
      </c>
      <c r="AE63" s="584" t="s">
        <v>3051</v>
      </c>
      <c r="AH63" s="547">
        <f t="shared" si="75"/>
        <v>0</v>
      </c>
      <c r="AI63" s="547">
        <f t="shared" si="75"/>
        <v>11.157999999999999</v>
      </c>
      <c r="AJ63" s="547">
        <f t="shared" si="75"/>
        <v>10.483000000000001</v>
      </c>
      <c r="AK63" s="547">
        <f t="shared" si="75"/>
        <v>23.611999999999998</v>
      </c>
      <c r="AL63" s="547">
        <f t="shared" si="75"/>
        <v>66.878</v>
      </c>
      <c r="AM63" s="547">
        <f t="shared" si="75"/>
        <v>74.935000000000002</v>
      </c>
    </row>
    <row r="64" spans="1:39" ht="13.5" thickBot="1" x14ac:dyDescent="0.25">
      <c r="A64" s="585" t="s">
        <v>639</v>
      </c>
      <c r="B64" s="674">
        <f>SUM(B39:B63)</f>
        <v>137062144.88064116</v>
      </c>
      <c r="C64" s="587">
        <f t="shared" ref="C64:I64" si="76">SUM(C39:C63)</f>
        <v>180190159.20338553</v>
      </c>
      <c r="D64" s="588">
        <f t="shared" si="76"/>
        <v>305444659.01879543</v>
      </c>
      <c r="E64" s="586">
        <f t="shared" si="76"/>
        <v>130793176.53350115</v>
      </c>
      <c r="F64" s="587">
        <f t="shared" si="76"/>
        <v>72738034.6651804</v>
      </c>
      <c r="G64" s="587">
        <f t="shared" si="76"/>
        <v>96369297.055624694</v>
      </c>
      <c r="H64" s="587">
        <f t="shared" si="76"/>
        <v>109456410.83062835</v>
      </c>
      <c r="I64" s="588">
        <f t="shared" si="76"/>
        <v>178436782.54508963</v>
      </c>
      <c r="K64" s="586">
        <f>SUM(K39:K63)</f>
        <v>-554212.24310628732</v>
      </c>
      <c r="L64" s="586">
        <f t="shared" ref="L64:R64" si="77">SUM(L39:L63)</f>
        <v>-1160416.4507418438</v>
      </c>
      <c r="M64" s="586">
        <f t="shared" si="77"/>
        <v>-849999.99999999988</v>
      </c>
      <c r="N64" s="586">
        <f t="shared" si="77"/>
        <v>-549999.99999999988</v>
      </c>
      <c r="O64" s="586">
        <f t="shared" si="77"/>
        <v>-288560.77018492331</v>
      </c>
      <c r="P64" s="586">
        <f t="shared" si="77"/>
        <v>-356463.31353662955</v>
      </c>
      <c r="Q64" s="586">
        <f t="shared" si="77"/>
        <v>-415055.12428072561</v>
      </c>
      <c r="R64" s="586">
        <f t="shared" si="77"/>
        <v>-684454.80599688669</v>
      </c>
      <c r="T64" s="585" t="s">
        <v>639</v>
      </c>
      <c r="U64" s="586">
        <f>SUM(U39:U63)</f>
        <v>136507932.63753486</v>
      </c>
      <c r="V64" s="587">
        <f t="shared" ref="V64:AB64" si="78">SUM(V39:V63)</f>
        <v>179029742.7526437</v>
      </c>
      <c r="W64" s="588">
        <f t="shared" si="78"/>
        <v>304594659.01879543</v>
      </c>
      <c r="X64" s="589">
        <f t="shared" si="78"/>
        <v>130243176.53350116</v>
      </c>
      <c r="Y64" s="590">
        <f t="shared" si="78"/>
        <v>72449473.894995496</v>
      </c>
      <c r="Z64" s="590">
        <f t="shared" si="78"/>
        <v>96012833.742088079</v>
      </c>
      <c r="AA64" s="590">
        <f t="shared" si="78"/>
        <v>109041355.70634761</v>
      </c>
      <c r="AB64" s="591">
        <f t="shared" si="78"/>
        <v>177752327.73909274</v>
      </c>
      <c r="AC64" s="604" t="s">
        <v>3110</v>
      </c>
      <c r="AE64" s="585" t="s">
        <v>639</v>
      </c>
      <c r="AF64" s="593">
        <f>SUM(AF39:AF63)</f>
        <v>136.50799999999998</v>
      </c>
      <c r="AG64" s="593">
        <f t="shared" ref="AG64" si="79">SUM(AG39:AG63)</f>
        <v>179.03199999999998</v>
      </c>
      <c r="AH64" s="593">
        <f t="shared" ref="AH64" si="80">SUM(AH39:AH63)</f>
        <v>304.59800000000001</v>
      </c>
      <c r="AI64" s="593">
        <f t="shared" ref="AI64" si="81">SUM(AI39:AI63)</f>
        <v>130.24199999999996</v>
      </c>
      <c r="AJ64" s="593">
        <f t="shared" ref="AJ64" si="82">SUM(AJ39:AJ63)</f>
        <v>72.448999999999998</v>
      </c>
      <c r="AK64" s="593">
        <f t="shared" ref="AK64" si="83">SUM(AK39:AK63)</f>
        <v>96.012999999999991</v>
      </c>
      <c r="AL64" s="593">
        <f t="shared" ref="AL64" si="84">SUM(AL39:AL63)</f>
        <v>109.041</v>
      </c>
      <c r="AM64" s="593">
        <f t="shared" ref="AM64" si="85">SUM(AM39:AM63)</f>
        <v>177.75400000000002</v>
      </c>
    </row>
    <row r="65" spans="1:39" x14ac:dyDescent="0.2">
      <c r="B65" s="594"/>
      <c r="C65" s="595"/>
      <c r="D65" s="596">
        <f>D64+C64</f>
        <v>485634818.22218096</v>
      </c>
      <c r="E65" s="594"/>
      <c r="F65" s="595"/>
      <c r="G65" s="595"/>
      <c r="H65" s="595"/>
      <c r="I65" s="596">
        <f>SUM(E64:I64)</f>
        <v>587793701.63002419</v>
      </c>
      <c r="U65" s="594"/>
      <c r="V65" s="595"/>
      <c r="W65" s="596">
        <f>SUM(U64:W64)</f>
        <v>620132334.40897393</v>
      </c>
      <c r="X65" s="597"/>
      <c r="Y65" s="598"/>
      <c r="Z65" s="598"/>
      <c r="AA65" s="598"/>
      <c r="AB65" s="599">
        <f>SUM(X64:AB64)</f>
        <v>585499167.61602509</v>
      </c>
      <c r="AC65" s="605">
        <f>SUM(W64:AB64)</f>
        <v>890093826.63482046</v>
      </c>
      <c r="AM65" s="600"/>
    </row>
    <row r="66" spans="1:39" ht="12.75" customHeight="1" x14ac:dyDescent="0.25">
      <c r="A66" s="906" t="s">
        <v>3050</v>
      </c>
      <c r="C66" s="675" t="s">
        <v>2719</v>
      </c>
      <c r="D66" s="676">
        <f>Commissioned!D15+Commissioned!C15+'Commissioned Extra'!C15+'Commissioned Extra'!D15</f>
        <v>485634820.82137483</v>
      </c>
      <c r="H66" s="675" t="s">
        <v>2292</v>
      </c>
      <c r="I66" s="676">
        <f>SUM(Commissioned!E15:I15)</f>
        <v>582056677.4612987</v>
      </c>
      <c r="AA66" s="606"/>
      <c r="AB66" s="878" t="s">
        <v>3156</v>
      </c>
      <c r="AC66" s="605">
        <f>SUM(Commissioned!D15:I15)+SUM('Commissioned Extra'!D15:E15)</f>
        <v>893238360.64881968</v>
      </c>
    </row>
    <row r="67" spans="1:39" ht="15" x14ac:dyDescent="0.25">
      <c r="A67" s="906"/>
      <c r="AA67" s="606"/>
      <c r="AB67" s="878" t="s">
        <v>3157</v>
      </c>
      <c r="AC67" s="605">
        <f>SUM(M64:R64)</f>
        <v>-3144534.013999165</v>
      </c>
    </row>
    <row r="68" spans="1:39" x14ac:dyDescent="0.2">
      <c r="A68" s="655"/>
      <c r="AC68" s="607">
        <f>AC67+AC66</f>
        <v>890093826.63482046</v>
      </c>
    </row>
    <row r="70" spans="1:39" x14ac:dyDescent="0.2">
      <c r="B70" s="677" t="s">
        <v>2996</v>
      </c>
      <c r="C70" s="677"/>
      <c r="D70" s="678"/>
      <c r="E70" s="675"/>
      <c r="K70" s="677" t="s">
        <v>2997</v>
      </c>
      <c r="L70" s="675"/>
      <c r="M70" s="675"/>
      <c r="U70" s="608" t="s">
        <v>2998</v>
      </c>
      <c r="V70" s="608"/>
      <c r="W70" s="609"/>
      <c r="X70" s="601"/>
    </row>
    <row r="71" spans="1:39" x14ac:dyDescent="0.2">
      <c r="B71" s="573" t="s">
        <v>2742</v>
      </c>
      <c r="K71" s="573" t="s">
        <v>2742</v>
      </c>
      <c r="U71" s="573" t="s">
        <v>2742</v>
      </c>
    </row>
    <row r="72" spans="1:39" x14ac:dyDescent="0.2">
      <c r="A72" s="579" t="s">
        <v>2274</v>
      </c>
      <c r="B72" s="580" t="s">
        <v>2276</v>
      </c>
      <c r="C72" s="580" t="s">
        <v>2277</v>
      </c>
      <c r="D72" s="580" t="s">
        <v>2278</v>
      </c>
      <c r="E72" s="580" t="s">
        <v>2279</v>
      </c>
      <c r="F72" s="580" t="s">
        <v>2280</v>
      </c>
      <c r="G72" s="580" t="s">
        <v>2281</v>
      </c>
      <c r="H72" s="580" t="s">
        <v>2282</v>
      </c>
      <c r="I72" s="580" t="s">
        <v>2283</v>
      </c>
      <c r="K72" s="580" t="s">
        <v>2276</v>
      </c>
      <c r="L72" s="580" t="s">
        <v>2277</v>
      </c>
      <c r="M72" s="580" t="s">
        <v>2278</v>
      </c>
      <c r="N72" s="580" t="s">
        <v>2279</v>
      </c>
      <c r="O72" s="580" t="s">
        <v>2280</v>
      </c>
      <c r="P72" s="580" t="s">
        <v>2281</v>
      </c>
      <c r="Q72" s="580" t="s">
        <v>2282</v>
      </c>
      <c r="R72" s="580" t="s">
        <v>2283</v>
      </c>
      <c r="T72" s="579" t="s">
        <v>2274</v>
      </c>
      <c r="U72" s="580" t="s">
        <v>2276</v>
      </c>
      <c r="V72" s="580" t="s">
        <v>2277</v>
      </c>
      <c r="W72" s="580" t="s">
        <v>2278</v>
      </c>
      <c r="X72" s="580" t="s">
        <v>2279</v>
      </c>
      <c r="Y72" s="580" t="s">
        <v>2280</v>
      </c>
      <c r="Z72" s="580" t="s">
        <v>2281</v>
      </c>
      <c r="AA72" s="580" t="s">
        <v>2282</v>
      </c>
      <c r="AB72" s="580" t="s">
        <v>2283</v>
      </c>
    </row>
    <row r="73" spans="1:39" x14ac:dyDescent="0.2">
      <c r="A73" s="39" t="s">
        <v>1031</v>
      </c>
      <c r="B73" s="600">
        <f t="shared" ref="B73:I82" si="86">B8/1000000</f>
        <v>1.0891384995669675</v>
      </c>
      <c r="C73" s="600">
        <f t="shared" si="86"/>
        <v>0.615975688655654</v>
      </c>
      <c r="D73" s="600">
        <f t="shared" si="86"/>
        <v>8.2578953132698985</v>
      </c>
      <c r="E73" s="600">
        <f t="shared" si="86"/>
        <v>1.5992755166384411</v>
      </c>
      <c r="F73" s="600">
        <f t="shared" si="86"/>
        <v>0.70278327902565296</v>
      </c>
      <c r="G73" s="600">
        <f t="shared" si="86"/>
        <v>1.0935672851927241</v>
      </c>
      <c r="H73" s="600">
        <f t="shared" si="86"/>
        <v>0.8232526714906695</v>
      </c>
      <c r="I73" s="600">
        <f t="shared" si="86"/>
        <v>0.34815868705335029</v>
      </c>
      <c r="K73" s="600">
        <f t="shared" ref="K73:R82" si="87">K8/1000000</f>
        <v>-1.4753758374911732E-2</v>
      </c>
      <c r="L73" s="600">
        <f t="shared" si="87"/>
        <v>-4.5974369467669165E-3</v>
      </c>
      <c r="M73" s="600">
        <f t="shared" si="87"/>
        <v>-3.1850110846560094E-2</v>
      </c>
      <c r="N73" s="600">
        <f t="shared" si="87"/>
        <v>-1.1082937736477933E-2</v>
      </c>
      <c r="O73" s="600">
        <f t="shared" si="87"/>
        <v>-3.0661692512323844E-3</v>
      </c>
      <c r="P73" s="600">
        <f t="shared" si="87"/>
        <v>-4.8810065051571871E-3</v>
      </c>
      <c r="Q73" s="600">
        <f t="shared" si="87"/>
        <v>-3.2947496969544265E-3</v>
      </c>
      <c r="R73" s="600">
        <f t="shared" si="87"/>
        <v>-1.875078111460016E-3</v>
      </c>
      <c r="T73" s="39" t="s">
        <v>1031</v>
      </c>
      <c r="U73" s="600">
        <f t="shared" ref="U73:AB82" si="88">U8/1000000</f>
        <v>1.074384741192056</v>
      </c>
      <c r="V73" s="600">
        <f t="shared" si="88"/>
        <v>0.61137825170888704</v>
      </c>
      <c r="W73" s="600">
        <f t="shared" si="88"/>
        <v>8.2260452024233377</v>
      </c>
      <c r="X73" s="600">
        <f t="shared" si="88"/>
        <v>1.5881925789019633</v>
      </c>
      <c r="Y73" s="600">
        <f t="shared" si="88"/>
        <v>0.69971710977442048</v>
      </c>
      <c r="Z73" s="600">
        <f t="shared" si="88"/>
        <v>1.0886862786875671</v>
      </c>
      <c r="AA73" s="600">
        <f t="shared" si="88"/>
        <v>0.81995792179371507</v>
      </c>
      <c r="AB73" s="600">
        <f t="shared" si="88"/>
        <v>0.34628360894189025</v>
      </c>
    </row>
    <row r="74" spans="1:39" x14ac:dyDescent="0.2">
      <c r="A74" s="39" t="s">
        <v>1032</v>
      </c>
      <c r="B74" s="600">
        <f t="shared" si="86"/>
        <v>4.0664706825406425</v>
      </c>
      <c r="C74" s="600">
        <f t="shared" si="86"/>
        <v>1.3473812753616088</v>
      </c>
      <c r="D74" s="600">
        <f t="shared" si="86"/>
        <v>8.2927859073526857</v>
      </c>
      <c r="E74" s="600">
        <f t="shared" si="86"/>
        <v>2.9378504706278177</v>
      </c>
      <c r="F74" s="600">
        <f t="shared" si="86"/>
        <v>0.96364859240423906</v>
      </c>
      <c r="G74" s="600">
        <f t="shared" si="86"/>
        <v>0.68715973977027744</v>
      </c>
      <c r="H74" s="600">
        <f t="shared" si="86"/>
        <v>0.76967204447096227</v>
      </c>
      <c r="I74" s="600">
        <f t="shared" si="86"/>
        <v>1.7153090103600343E-2</v>
      </c>
      <c r="K74" s="600">
        <f t="shared" si="87"/>
        <v>-1.5922851724203674E-2</v>
      </c>
      <c r="L74" s="600">
        <f t="shared" si="87"/>
        <v>-2.1351041800145524E-2</v>
      </c>
      <c r="M74" s="600">
        <f t="shared" si="87"/>
        <v>-3.1984681369300119E-2</v>
      </c>
      <c r="N74" s="600">
        <f t="shared" si="87"/>
        <v>-2.0359227354076703E-2</v>
      </c>
      <c r="O74" s="600">
        <f t="shared" si="87"/>
        <v>-4.2042970730887218E-3</v>
      </c>
      <c r="P74" s="600">
        <f t="shared" si="87"/>
        <v>-3.0670551371786408E-3</v>
      </c>
      <c r="Q74" s="600">
        <f t="shared" si="87"/>
        <v>-3.0803140069782784E-3</v>
      </c>
      <c r="R74" s="600">
        <f t="shared" si="87"/>
        <v>-9.2381390995519946E-5</v>
      </c>
      <c r="T74" s="39" t="s">
        <v>1032</v>
      </c>
      <c r="U74" s="600">
        <f t="shared" si="88"/>
        <v>4.0505478308164387</v>
      </c>
      <c r="V74" s="600">
        <f t="shared" si="88"/>
        <v>1.3260302335614631</v>
      </c>
      <c r="W74" s="600">
        <f t="shared" si="88"/>
        <v>8.2608012259833856</v>
      </c>
      <c r="X74" s="600">
        <f t="shared" si="88"/>
        <v>2.9174912432737412</v>
      </c>
      <c r="Y74" s="600">
        <f t="shared" si="88"/>
        <v>0.95944429533115039</v>
      </c>
      <c r="Z74" s="600">
        <f t="shared" si="88"/>
        <v>0.6840926846330988</v>
      </c>
      <c r="AA74" s="600">
        <f t="shared" si="88"/>
        <v>0.76659173046398399</v>
      </c>
      <c r="AB74" s="600">
        <f t="shared" si="88"/>
        <v>1.706070871260482E-2</v>
      </c>
    </row>
    <row r="75" spans="1:39" x14ac:dyDescent="0.2">
      <c r="A75" s="39" t="s">
        <v>1033</v>
      </c>
      <c r="B75" s="600">
        <f t="shared" si="86"/>
        <v>16.822625023976844</v>
      </c>
      <c r="C75" s="600">
        <f t="shared" si="86"/>
        <v>6.2811621739118051</v>
      </c>
      <c r="D75" s="600">
        <f t="shared" si="86"/>
        <v>11.842330927555508</v>
      </c>
      <c r="E75" s="600">
        <f t="shared" si="86"/>
        <v>0</v>
      </c>
      <c r="F75" s="600">
        <f t="shared" si="86"/>
        <v>0</v>
      </c>
      <c r="G75" s="600">
        <f t="shared" si="86"/>
        <v>0</v>
      </c>
      <c r="H75" s="600">
        <f t="shared" si="86"/>
        <v>0</v>
      </c>
      <c r="I75" s="600">
        <f t="shared" si="86"/>
        <v>0</v>
      </c>
      <c r="K75" s="600">
        <f t="shared" si="87"/>
        <v>-4.6855789495939389E-2</v>
      </c>
      <c r="L75" s="600">
        <f t="shared" si="87"/>
        <v>-7.0936139079944227E-2</v>
      </c>
      <c r="M75" s="600">
        <f t="shared" si="87"/>
        <v>-4.5675022316907662E-2</v>
      </c>
      <c r="N75" s="600">
        <f t="shared" si="87"/>
        <v>0</v>
      </c>
      <c r="O75" s="600">
        <f t="shared" si="87"/>
        <v>0</v>
      </c>
      <c r="P75" s="600">
        <f t="shared" si="87"/>
        <v>0</v>
      </c>
      <c r="Q75" s="600">
        <f t="shared" si="87"/>
        <v>0</v>
      </c>
      <c r="R75" s="600">
        <f t="shared" si="87"/>
        <v>0</v>
      </c>
      <c r="T75" s="39" t="s">
        <v>1033</v>
      </c>
      <c r="U75" s="600">
        <f t="shared" si="88"/>
        <v>16.775769234480904</v>
      </c>
      <c r="V75" s="600">
        <f t="shared" si="88"/>
        <v>6.2102260348318614</v>
      </c>
      <c r="W75" s="600">
        <f t="shared" si="88"/>
        <v>11.7966559052386</v>
      </c>
      <c r="X75" s="600">
        <f t="shared" si="88"/>
        <v>0</v>
      </c>
      <c r="Y75" s="600">
        <f t="shared" si="88"/>
        <v>0</v>
      </c>
      <c r="Z75" s="600">
        <f t="shared" si="88"/>
        <v>0</v>
      </c>
      <c r="AA75" s="600">
        <f t="shared" si="88"/>
        <v>0</v>
      </c>
      <c r="AB75" s="600">
        <f t="shared" si="88"/>
        <v>0</v>
      </c>
    </row>
    <row r="76" spans="1:39" x14ac:dyDescent="0.2">
      <c r="A76" s="582" t="s">
        <v>1034</v>
      </c>
      <c r="B76" s="600">
        <f t="shared" si="86"/>
        <v>11.153432824150267</v>
      </c>
      <c r="C76" s="600">
        <f t="shared" si="86"/>
        <v>16.889385616020547</v>
      </c>
      <c r="D76" s="600">
        <f t="shared" si="86"/>
        <v>26.723469852778596</v>
      </c>
      <c r="E76" s="600">
        <f t="shared" si="86"/>
        <v>17.708828858887305</v>
      </c>
      <c r="F76" s="600">
        <f t="shared" si="86"/>
        <v>12.364589730340017</v>
      </c>
      <c r="G76" s="600">
        <f t="shared" si="86"/>
        <v>13.994553759171088</v>
      </c>
      <c r="H76" s="600">
        <f t="shared" si="86"/>
        <v>12.5538125620174</v>
      </c>
      <c r="I76" s="600">
        <f t="shared" si="86"/>
        <v>10.567381988730725</v>
      </c>
      <c r="K76" s="600">
        <f t="shared" si="87"/>
        <v>-0.15248349275928363</v>
      </c>
      <c r="L76" s="600">
        <f t="shared" si="87"/>
        <v>-0.31008299399096145</v>
      </c>
      <c r="M76" s="600">
        <f t="shared" si="87"/>
        <v>-0.10307050946116622</v>
      </c>
      <c r="N76" s="600">
        <f t="shared" si="87"/>
        <v>-0.12272172342232054</v>
      </c>
      <c r="O76" s="600">
        <f t="shared" si="87"/>
        <v>-5.3945399622816616E-2</v>
      </c>
      <c r="P76" s="600">
        <f t="shared" si="87"/>
        <v>-6.2463013351069595E-2</v>
      </c>
      <c r="Q76" s="600">
        <f t="shared" si="87"/>
        <v>-5.0241768495491945E-2</v>
      </c>
      <c r="R76" s="600">
        <f t="shared" si="87"/>
        <v>-5.6912745249034918E-2</v>
      </c>
      <c r="T76" s="582" t="s">
        <v>1034</v>
      </c>
      <c r="U76" s="600">
        <f t="shared" si="88"/>
        <v>11.000949331390983</v>
      </c>
      <c r="V76" s="600">
        <f t="shared" si="88"/>
        <v>16.579302622029587</v>
      </c>
      <c r="W76" s="600">
        <f t="shared" si="88"/>
        <v>26.62039934331743</v>
      </c>
      <c r="X76" s="600">
        <f t="shared" si="88"/>
        <v>17.586107135464985</v>
      </c>
      <c r="Y76" s="600">
        <f t="shared" si="88"/>
        <v>12.310644330717201</v>
      </c>
      <c r="Z76" s="600">
        <f t="shared" si="88"/>
        <v>13.93209074582002</v>
      </c>
      <c r="AA76" s="600">
        <f t="shared" si="88"/>
        <v>12.503570793521908</v>
      </c>
      <c r="AB76" s="600">
        <f t="shared" si="88"/>
        <v>10.51046924348169</v>
      </c>
    </row>
    <row r="77" spans="1:39" x14ac:dyDescent="0.2">
      <c r="A77" s="39" t="s">
        <v>1035</v>
      </c>
      <c r="B77" s="600">
        <f t="shared" si="86"/>
        <v>3.3827994839807598</v>
      </c>
      <c r="C77" s="600">
        <f t="shared" si="86"/>
        <v>1.1762815487277944</v>
      </c>
      <c r="D77" s="600">
        <f t="shared" si="86"/>
        <v>0.94795698570984022</v>
      </c>
      <c r="E77" s="600">
        <f t="shared" si="86"/>
        <v>4.9688915061598246E-3</v>
      </c>
      <c r="F77" s="600">
        <f t="shared" si="86"/>
        <v>1.6679193651919998E-4</v>
      </c>
      <c r="G77" s="600">
        <f t="shared" si="86"/>
        <v>0</v>
      </c>
      <c r="H77" s="600">
        <f t="shared" si="86"/>
        <v>0</v>
      </c>
      <c r="I77" s="600">
        <f t="shared" si="86"/>
        <v>0</v>
      </c>
      <c r="K77" s="600">
        <f t="shared" si="87"/>
        <v>-3.4145605178070256E-3</v>
      </c>
      <c r="L77" s="600">
        <f t="shared" si="87"/>
        <v>-2.7239061430627482E-3</v>
      </c>
      <c r="M77" s="600">
        <f t="shared" si="87"/>
        <v>-3.6562022073726177E-3</v>
      </c>
      <c r="N77" s="600">
        <f t="shared" si="87"/>
        <v>-3.4434288907164843E-5</v>
      </c>
      <c r="O77" s="600">
        <f t="shared" si="87"/>
        <v>-7.2769561025655442E-7</v>
      </c>
      <c r="P77" s="600">
        <f t="shared" si="87"/>
        <v>0</v>
      </c>
      <c r="Q77" s="600">
        <f t="shared" si="87"/>
        <v>0</v>
      </c>
      <c r="R77" s="600">
        <f t="shared" si="87"/>
        <v>0</v>
      </c>
      <c r="T77" s="39" t="s">
        <v>1035</v>
      </c>
      <c r="U77" s="600">
        <f t="shared" si="88"/>
        <v>3.3793849234629532</v>
      </c>
      <c r="V77" s="600">
        <f t="shared" si="88"/>
        <v>1.1735576425847318</v>
      </c>
      <c r="W77" s="600">
        <f t="shared" si="88"/>
        <v>0.9443007835024676</v>
      </c>
      <c r="X77" s="600">
        <f t="shared" si="88"/>
        <v>4.9344572172526592E-3</v>
      </c>
      <c r="Y77" s="600">
        <f t="shared" si="88"/>
        <v>1.6606424090894346E-4</v>
      </c>
      <c r="Z77" s="600">
        <f t="shared" si="88"/>
        <v>0</v>
      </c>
      <c r="AA77" s="600">
        <f t="shared" si="88"/>
        <v>0</v>
      </c>
      <c r="AB77" s="600">
        <f t="shared" si="88"/>
        <v>0</v>
      </c>
    </row>
    <row r="78" spans="1:39" x14ac:dyDescent="0.2">
      <c r="A78" s="582" t="s">
        <v>854</v>
      </c>
      <c r="B78" s="600">
        <f t="shared" si="86"/>
        <v>2.4060095393721519</v>
      </c>
      <c r="C78" s="600">
        <f t="shared" si="86"/>
        <v>5.9239067243050298</v>
      </c>
      <c r="D78" s="600">
        <f t="shared" si="86"/>
        <v>0.81269624477011815</v>
      </c>
      <c r="E78" s="600">
        <f t="shared" si="86"/>
        <v>5.4520958367770919E-2</v>
      </c>
      <c r="F78" s="600">
        <f t="shared" si="86"/>
        <v>8.307500406743662E-2</v>
      </c>
      <c r="G78" s="600">
        <f t="shared" si="86"/>
        <v>1.2715369196003617E-2</v>
      </c>
      <c r="H78" s="600">
        <f t="shared" si="86"/>
        <v>0</v>
      </c>
      <c r="I78" s="600">
        <f t="shared" si="86"/>
        <v>0</v>
      </c>
      <c r="K78" s="600">
        <f t="shared" si="87"/>
        <v>-7.6307933879443445E-3</v>
      </c>
      <c r="L78" s="600">
        <f t="shared" si="87"/>
        <v>-1.3660484239253215E-2</v>
      </c>
      <c r="M78" s="600">
        <f t="shared" si="87"/>
        <v>-3.1345112160621308E-3</v>
      </c>
      <c r="N78" s="600">
        <f t="shared" si="87"/>
        <v>-3.7782882351203903E-4</v>
      </c>
      <c r="O78" s="600">
        <f t="shared" si="87"/>
        <v>-3.6244747224312032E-4</v>
      </c>
      <c r="P78" s="600">
        <f t="shared" si="87"/>
        <v>-5.6753526373305142E-5</v>
      </c>
      <c r="Q78" s="600">
        <f t="shared" si="87"/>
        <v>0</v>
      </c>
      <c r="R78" s="600">
        <f t="shared" si="87"/>
        <v>0</v>
      </c>
      <c r="T78" s="582" t="s">
        <v>854</v>
      </c>
      <c r="U78" s="600">
        <f t="shared" si="88"/>
        <v>2.3983787459842074</v>
      </c>
      <c r="V78" s="600">
        <f t="shared" si="88"/>
        <v>5.9102462400657769</v>
      </c>
      <c r="W78" s="600">
        <f t="shared" si="88"/>
        <v>0.80956173355405603</v>
      </c>
      <c r="X78" s="600">
        <f t="shared" si="88"/>
        <v>5.4143129544258872E-2</v>
      </c>
      <c r="Y78" s="600">
        <f t="shared" si="88"/>
        <v>8.2712556595193498E-2</v>
      </c>
      <c r="Z78" s="600">
        <f t="shared" si="88"/>
        <v>1.2658615669630313E-2</v>
      </c>
      <c r="AA78" s="600">
        <f t="shared" si="88"/>
        <v>0</v>
      </c>
      <c r="AB78" s="600">
        <f t="shared" si="88"/>
        <v>0</v>
      </c>
    </row>
    <row r="79" spans="1:39" x14ac:dyDescent="0.2">
      <c r="A79" s="582" t="s">
        <v>1036</v>
      </c>
      <c r="B79" s="600">
        <f t="shared" si="86"/>
        <v>0.64644481399999998</v>
      </c>
      <c r="C79" s="600">
        <f t="shared" si="86"/>
        <v>9.7872375772981079E-2</v>
      </c>
      <c r="D79" s="600">
        <f t="shared" si="86"/>
        <v>2.2284217324139401</v>
      </c>
      <c r="E79" s="600">
        <f t="shared" si="86"/>
        <v>0.48921239543664502</v>
      </c>
      <c r="F79" s="600">
        <f t="shared" si="86"/>
        <v>0</v>
      </c>
      <c r="G79" s="600">
        <f t="shared" si="86"/>
        <v>0</v>
      </c>
      <c r="H79" s="600">
        <f t="shared" si="86"/>
        <v>0</v>
      </c>
      <c r="I79" s="600">
        <f t="shared" si="86"/>
        <v>0</v>
      </c>
      <c r="K79" s="600">
        <f t="shared" si="87"/>
        <v>-2.1994809662608896E-3</v>
      </c>
      <c r="L79" s="600">
        <f t="shared" si="87"/>
        <v>-2.3201036979529598E-3</v>
      </c>
      <c r="M79" s="600">
        <f t="shared" si="87"/>
        <v>-8.5948630368581341E-3</v>
      </c>
      <c r="N79" s="600">
        <f t="shared" si="87"/>
        <v>-3.3902291769800949E-3</v>
      </c>
      <c r="O79" s="600">
        <f t="shared" si="87"/>
        <v>0</v>
      </c>
      <c r="P79" s="600">
        <f t="shared" si="87"/>
        <v>0</v>
      </c>
      <c r="Q79" s="600">
        <f t="shared" si="87"/>
        <v>0</v>
      </c>
      <c r="R79" s="600">
        <f t="shared" si="87"/>
        <v>0</v>
      </c>
      <c r="T79" s="582" t="s">
        <v>1036</v>
      </c>
      <c r="U79" s="600">
        <f t="shared" si="88"/>
        <v>0.6442453330337391</v>
      </c>
      <c r="V79" s="600">
        <f t="shared" si="88"/>
        <v>9.5552272075028116E-2</v>
      </c>
      <c r="W79" s="600">
        <f t="shared" si="88"/>
        <v>2.2198268693770822</v>
      </c>
      <c r="X79" s="600">
        <f t="shared" si="88"/>
        <v>0.4858221662596649</v>
      </c>
      <c r="Y79" s="600">
        <f t="shared" si="88"/>
        <v>0</v>
      </c>
      <c r="Z79" s="600">
        <f t="shared" si="88"/>
        <v>0</v>
      </c>
      <c r="AA79" s="600">
        <f t="shared" si="88"/>
        <v>0</v>
      </c>
      <c r="AB79" s="600">
        <f t="shared" si="88"/>
        <v>0</v>
      </c>
    </row>
    <row r="80" spans="1:39" x14ac:dyDescent="0.2">
      <c r="A80" s="582" t="s">
        <v>1037</v>
      </c>
      <c r="B80" s="600">
        <f t="shared" si="86"/>
        <v>1.2484976044330327</v>
      </c>
      <c r="C80" s="600">
        <f t="shared" si="86"/>
        <v>6.4353445511164091</v>
      </c>
      <c r="D80" s="600">
        <f t="shared" si="86"/>
        <v>7.6268956331818059</v>
      </c>
      <c r="E80" s="600">
        <f t="shared" si="86"/>
        <v>0.56927682539654001</v>
      </c>
      <c r="F80" s="600">
        <f t="shared" si="86"/>
        <v>1.8978377136069702</v>
      </c>
      <c r="G80" s="600">
        <f t="shared" si="86"/>
        <v>2.8562591750313513</v>
      </c>
      <c r="H80" s="600">
        <f t="shared" si="86"/>
        <v>1.8866714034098264</v>
      </c>
      <c r="I80" s="600">
        <f t="shared" si="86"/>
        <v>0.90569593137225957</v>
      </c>
      <c r="K80" s="600">
        <f t="shared" si="87"/>
        <v>-1.2812287792661459E-2</v>
      </c>
      <c r="L80" s="600">
        <f t="shared" si="87"/>
        <v>-0.18716516758065577</v>
      </c>
      <c r="M80" s="600">
        <f t="shared" si="87"/>
        <v>-2.9416390268551015E-2</v>
      </c>
      <c r="N80" s="600">
        <f t="shared" si="87"/>
        <v>-3.9450735942930396E-3</v>
      </c>
      <c r="O80" s="600">
        <f t="shared" si="87"/>
        <v>-8.2800655834591314E-3</v>
      </c>
      <c r="P80" s="600">
        <f t="shared" si="87"/>
        <v>-1.2748570483512564E-2</v>
      </c>
      <c r="Q80" s="600">
        <f t="shared" si="87"/>
        <v>-7.5506709542546065E-3</v>
      </c>
      <c r="R80" s="600">
        <f t="shared" si="87"/>
        <v>-4.8778062409635765E-3</v>
      </c>
      <c r="T80" s="582" t="s">
        <v>1037</v>
      </c>
      <c r="U80" s="600">
        <f t="shared" si="88"/>
        <v>1.2356853166403712</v>
      </c>
      <c r="V80" s="600">
        <f t="shared" si="88"/>
        <v>6.2481793835357529</v>
      </c>
      <c r="W80" s="600">
        <f t="shared" si="88"/>
        <v>7.5974792429132547</v>
      </c>
      <c r="X80" s="600">
        <f t="shared" si="88"/>
        <v>0.56533175180224693</v>
      </c>
      <c r="Y80" s="600">
        <f t="shared" si="88"/>
        <v>1.889557648023511</v>
      </c>
      <c r="Z80" s="600">
        <f t="shared" si="88"/>
        <v>2.8435106045478387</v>
      </c>
      <c r="AA80" s="600">
        <f t="shared" si="88"/>
        <v>1.8791207324555717</v>
      </c>
      <c r="AB80" s="600">
        <f t="shared" si="88"/>
        <v>0.90081812513129589</v>
      </c>
    </row>
    <row r="81" spans="1:28" x14ac:dyDescent="0.2">
      <c r="A81" s="582" t="s">
        <v>41</v>
      </c>
      <c r="B81" s="600">
        <f t="shared" si="86"/>
        <v>0</v>
      </c>
      <c r="C81" s="600">
        <f t="shared" si="86"/>
        <v>0</v>
      </c>
      <c r="D81" s="600">
        <f t="shared" si="86"/>
        <v>0</v>
      </c>
      <c r="E81" s="600">
        <f t="shared" si="86"/>
        <v>0</v>
      </c>
      <c r="F81" s="600">
        <f t="shared" si="86"/>
        <v>0</v>
      </c>
      <c r="G81" s="600">
        <f t="shared" si="86"/>
        <v>0</v>
      </c>
      <c r="H81" s="600">
        <f t="shared" si="86"/>
        <v>0</v>
      </c>
      <c r="I81" s="600">
        <f t="shared" si="86"/>
        <v>0</v>
      </c>
      <c r="K81" s="600">
        <f t="shared" si="87"/>
        <v>0</v>
      </c>
      <c r="L81" s="600">
        <f t="shared" si="87"/>
        <v>0</v>
      </c>
      <c r="M81" s="600">
        <f t="shared" si="87"/>
        <v>0</v>
      </c>
      <c r="N81" s="600">
        <f t="shared" si="87"/>
        <v>0</v>
      </c>
      <c r="O81" s="600">
        <f t="shared" si="87"/>
        <v>0</v>
      </c>
      <c r="P81" s="600">
        <f t="shared" si="87"/>
        <v>0</v>
      </c>
      <c r="Q81" s="600">
        <f t="shared" si="87"/>
        <v>0</v>
      </c>
      <c r="R81" s="600">
        <f t="shared" si="87"/>
        <v>0</v>
      </c>
      <c r="T81" s="582" t="s">
        <v>41</v>
      </c>
      <c r="U81" s="600">
        <f t="shared" si="88"/>
        <v>0</v>
      </c>
      <c r="V81" s="600">
        <f t="shared" si="88"/>
        <v>0</v>
      </c>
      <c r="W81" s="600">
        <f t="shared" si="88"/>
        <v>0</v>
      </c>
      <c r="X81" s="600">
        <f t="shared" si="88"/>
        <v>0</v>
      </c>
      <c r="Y81" s="600">
        <f t="shared" si="88"/>
        <v>0</v>
      </c>
      <c r="Z81" s="600">
        <f t="shared" si="88"/>
        <v>0</v>
      </c>
      <c r="AA81" s="600">
        <f t="shared" si="88"/>
        <v>0</v>
      </c>
      <c r="AB81" s="600">
        <f t="shared" si="88"/>
        <v>0</v>
      </c>
    </row>
    <row r="82" spans="1:28" x14ac:dyDescent="0.2">
      <c r="A82" s="582" t="s">
        <v>1038</v>
      </c>
      <c r="B82" s="600">
        <f t="shared" si="86"/>
        <v>40.072596813453345</v>
      </c>
      <c r="C82" s="600">
        <f t="shared" si="86"/>
        <v>38.300581557388931</v>
      </c>
      <c r="D82" s="600">
        <f t="shared" si="86"/>
        <v>32.823605898929408</v>
      </c>
      <c r="E82" s="600">
        <f t="shared" si="86"/>
        <v>17.22731988449485</v>
      </c>
      <c r="F82" s="600">
        <f t="shared" si="86"/>
        <v>13.490942429794625</v>
      </c>
      <c r="G82" s="600">
        <f t="shared" si="86"/>
        <v>19.172028542230127</v>
      </c>
      <c r="H82" s="600">
        <f t="shared" si="86"/>
        <v>17.620057726068492</v>
      </c>
      <c r="I82" s="600">
        <f t="shared" si="86"/>
        <v>12.798383948739207</v>
      </c>
      <c r="K82" s="600">
        <f t="shared" si="87"/>
        <v>-0.17862294929701089</v>
      </c>
      <c r="L82" s="600">
        <f t="shared" si="87"/>
        <v>-0.35503082252495738</v>
      </c>
      <c r="M82" s="600">
        <f t="shared" si="87"/>
        <v>-0.12659829733912453</v>
      </c>
      <c r="N82" s="600">
        <f t="shared" si="87"/>
        <v>-0.11938487875282675</v>
      </c>
      <c r="O82" s="600">
        <f t="shared" si="87"/>
        <v>-5.8859557537755063E-2</v>
      </c>
      <c r="P82" s="600">
        <f t="shared" si="87"/>
        <v>-8.5572051485787379E-2</v>
      </c>
      <c r="Q82" s="600">
        <f t="shared" si="87"/>
        <v>-7.0517450915969032E-2</v>
      </c>
      <c r="R82" s="600">
        <f t="shared" si="87"/>
        <v>-6.8928251675836424E-2</v>
      </c>
      <c r="T82" s="582" t="s">
        <v>1038</v>
      </c>
      <c r="U82" s="600">
        <f t="shared" si="88"/>
        <v>39.893973864156337</v>
      </c>
      <c r="V82" s="600">
        <f t="shared" si="88"/>
        <v>37.945550734863971</v>
      </c>
      <c r="W82" s="600">
        <f t="shared" si="88"/>
        <v>32.697007601590286</v>
      </c>
      <c r="X82" s="600">
        <f t="shared" si="88"/>
        <v>17.107935005742021</v>
      </c>
      <c r="Y82" s="600">
        <f t="shared" si="88"/>
        <v>13.432082872256869</v>
      </c>
      <c r="Z82" s="600">
        <f t="shared" si="88"/>
        <v>19.086456490744336</v>
      </c>
      <c r="AA82" s="600">
        <f t="shared" si="88"/>
        <v>17.549540275152523</v>
      </c>
      <c r="AB82" s="600">
        <f t="shared" si="88"/>
        <v>12.729455697063372</v>
      </c>
    </row>
    <row r="83" spans="1:28" x14ac:dyDescent="0.2">
      <c r="A83" s="582" t="s">
        <v>1039</v>
      </c>
      <c r="B83" s="600">
        <f t="shared" ref="B83:I92" si="89">B18/1000000</f>
        <v>2.3929655212078824</v>
      </c>
      <c r="C83" s="600">
        <f t="shared" si="89"/>
        <v>0.35164463809005675</v>
      </c>
      <c r="D83" s="600">
        <f t="shared" si="89"/>
        <v>4.1976388691801736</v>
      </c>
      <c r="E83" s="600">
        <f t="shared" si="89"/>
        <v>2.2767981843535083</v>
      </c>
      <c r="F83" s="600">
        <f t="shared" si="89"/>
        <v>0.34781441531427898</v>
      </c>
      <c r="G83" s="600">
        <f t="shared" si="89"/>
        <v>1.1419786908281904</v>
      </c>
      <c r="H83" s="600">
        <f t="shared" si="89"/>
        <v>0.97758377431641097</v>
      </c>
      <c r="I83" s="600">
        <f t="shared" si="89"/>
        <v>0</v>
      </c>
      <c r="K83" s="600">
        <f t="shared" ref="K83:R92" si="90">K18/1000000</f>
        <v>-8.1013964669494898E-3</v>
      </c>
      <c r="L83" s="600">
        <f t="shared" si="90"/>
        <v>-4.3334342823429031E-3</v>
      </c>
      <c r="M83" s="600">
        <f t="shared" si="90"/>
        <v>-1.6189992510849363E-2</v>
      </c>
      <c r="N83" s="600">
        <f t="shared" si="90"/>
        <v>-1.5778152202789379E-2</v>
      </c>
      <c r="O83" s="600">
        <f t="shared" si="90"/>
        <v>-1.5174775740973267E-3</v>
      </c>
      <c r="P83" s="600">
        <f t="shared" si="90"/>
        <v>-5.0970850117383996E-3</v>
      </c>
      <c r="Q83" s="600">
        <f t="shared" si="90"/>
        <v>-3.9124001120390706E-3</v>
      </c>
      <c r="R83" s="600">
        <f t="shared" si="90"/>
        <v>0</v>
      </c>
      <c r="T83" s="582" t="s">
        <v>1039</v>
      </c>
      <c r="U83" s="600">
        <f t="shared" ref="U83:AB92" si="91">U18/1000000</f>
        <v>2.384864124740933</v>
      </c>
      <c r="V83" s="600">
        <f t="shared" si="91"/>
        <v>0.34731120380771385</v>
      </c>
      <c r="W83" s="600">
        <f t="shared" si="91"/>
        <v>4.1814488766693243</v>
      </c>
      <c r="X83" s="600">
        <f t="shared" si="91"/>
        <v>2.2610200321507192</v>
      </c>
      <c r="Y83" s="600">
        <f t="shared" si="91"/>
        <v>0.34629693774018161</v>
      </c>
      <c r="Z83" s="600">
        <f t="shared" si="91"/>
        <v>1.1368816058164521</v>
      </c>
      <c r="AA83" s="600">
        <f t="shared" si="91"/>
        <v>0.97367137420437189</v>
      </c>
      <c r="AB83" s="600">
        <f t="shared" si="91"/>
        <v>0</v>
      </c>
    </row>
    <row r="84" spans="1:28" x14ac:dyDescent="0.2">
      <c r="A84" s="582" t="s">
        <v>1040</v>
      </c>
      <c r="B84" s="600">
        <f t="shared" si="89"/>
        <v>18.003906087613903</v>
      </c>
      <c r="C84" s="600">
        <f t="shared" si="89"/>
        <v>20.705814328148715</v>
      </c>
      <c r="D84" s="600">
        <f t="shared" si="89"/>
        <v>17.673381070009167</v>
      </c>
      <c r="E84" s="600">
        <f t="shared" si="89"/>
        <v>14.850294843846035</v>
      </c>
      <c r="F84" s="600">
        <f t="shared" si="89"/>
        <v>11.853445564764586</v>
      </c>
      <c r="G84" s="600">
        <f t="shared" si="89"/>
        <v>5.3222721611029176</v>
      </c>
      <c r="H84" s="600">
        <f t="shared" si="89"/>
        <v>1.4262287058565513</v>
      </c>
      <c r="I84" s="600">
        <f t="shared" si="89"/>
        <v>0.93503805694177433</v>
      </c>
      <c r="K84" s="600">
        <f t="shared" si="90"/>
        <v>-6.0664014703873545E-2</v>
      </c>
      <c r="L84" s="600">
        <f t="shared" si="90"/>
        <v>-0.18447737176603823</v>
      </c>
      <c r="M84" s="600">
        <f t="shared" si="90"/>
        <v>-6.8164965134487332E-2</v>
      </c>
      <c r="N84" s="600">
        <f t="shared" si="90"/>
        <v>-0.10291215704260274</v>
      </c>
      <c r="O84" s="600">
        <f t="shared" si="90"/>
        <v>-5.1715331591592133E-2</v>
      </c>
      <c r="P84" s="600">
        <f t="shared" si="90"/>
        <v>-2.3755323876557009E-2</v>
      </c>
      <c r="Q84" s="600">
        <f t="shared" si="90"/>
        <v>-5.7079275405203878E-3</v>
      </c>
      <c r="R84" s="600">
        <f t="shared" si="90"/>
        <v>-5.0358341157374651E-3</v>
      </c>
      <c r="T84" s="582" t="s">
        <v>1040</v>
      </c>
      <c r="U84" s="600">
        <f t="shared" si="91"/>
        <v>17.943242072910028</v>
      </c>
      <c r="V84" s="600">
        <f t="shared" si="91"/>
        <v>20.521336956382676</v>
      </c>
      <c r="W84" s="600">
        <f t="shared" si="91"/>
        <v>17.605216104874682</v>
      </c>
      <c r="X84" s="600">
        <f t="shared" si="91"/>
        <v>14.747382686803432</v>
      </c>
      <c r="Y84" s="600">
        <f t="shared" si="91"/>
        <v>11.801730233172995</v>
      </c>
      <c r="Z84" s="600">
        <f t="shared" si="91"/>
        <v>5.2985168372263614</v>
      </c>
      <c r="AA84" s="600">
        <f t="shared" si="91"/>
        <v>1.4205207783160307</v>
      </c>
      <c r="AB84" s="600">
        <f t="shared" si="91"/>
        <v>0.93000222282603684</v>
      </c>
    </row>
    <row r="85" spans="1:28" x14ac:dyDescent="0.2">
      <c r="A85" s="582" t="s">
        <v>1041</v>
      </c>
      <c r="B85" s="600">
        <f t="shared" si="89"/>
        <v>1.494395504627956</v>
      </c>
      <c r="C85" s="600">
        <f t="shared" si="89"/>
        <v>0.26860814209663608</v>
      </c>
      <c r="D85" s="600">
        <f t="shared" si="89"/>
        <v>0.39370221690992219</v>
      </c>
      <c r="E85" s="600">
        <f t="shared" si="89"/>
        <v>0.80995468166213835</v>
      </c>
      <c r="F85" s="600">
        <f t="shared" si="89"/>
        <v>1.632900063153117</v>
      </c>
      <c r="G85" s="600">
        <f t="shared" si="89"/>
        <v>0.97648792678466823</v>
      </c>
      <c r="H85" s="600">
        <f t="shared" si="89"/>
        <v>3.8829745351429086E-2</v>
      </c>
      <c r="I85" s="600">
        <f t="shared" si="89"/>
        <v>3.1684331074694587E-2</v>
      </c>
      <c r="K85" s="600">
        <f t="shared" si="90"/>
        <v>-5.0106063395245004E-3</v>
      </c>
      <c r="L85" s="600">
        <f t="shared" si="90"/>
        <v>-3.3154580415313832E-3</v>
      </c>
      <c r="M85" s="600">
        <f t="shared" si="90"/>
        <v>-1.518481256230916E-3</v>
      </c>
      <c r="N85" s="600">
        <f t="shared" si="90"/>
        <v>-5.6129648786836907E-3</v>
      </c>
      <c r="O85" s="600">
        <f t="shared" si="90"/>
        <v>-7.1241705848735055E-3</v>
      </c>
      <c r="P85" s="600">
        <f t="shared" si="90"/>
        <v>-4.358436821748417E-3</v>
      </c>
      <c r="Q85" s="600">
        <f t="shared" si="90"/>
        <v>-1.554010040414287E-4</v>
      </c>
      <c r="R85" s="600">
        <f t="shared" si="90"/>
        <v>-1.706422900925876E-4</v>
      </c>
      <c r="T85" s="582" t="s">
        <v>1041</v>
      </c>
      <c r="U85" s="600">
        <f t="shared" si="91"/>
        <v>1.4893848982884317</v>
      </c>
      <c r="V85" s="600">
        <f t="shared" si="91"/>
        <v>0.2652926840551047</v>
      </c>
      <c r="W85" s="600">
        <f t="shared" si="91"/>
        <v>0.3921837356536913</v>
      </c>
      <c r="X85" s="600">
        <f t="shared" si="91"/>
        <v>0.80434171678345467</v>
      </c>
      <c r="Y85" s="600">
        <f t="shared" si="91"/>
        <v>1.6257758925682435</v>
      </c>
      <c r="Z85" s="600">
        <f t="shared" si="91"/>
        <v>0.97212948996291981</v>
      </c>
      <c r="AA85" s="600">
        <f t="shared" si="91"/>
        <v>3.8674344347387653E-2</v>
      </c>
      <c r="AB85" s="600">
        <f t="shared" si="91"/>
        <v>3.1513688784601999E-2</v>
      </c>
    </row>
    <row r="86" spans="1:28" x14ac:dyDescent="0.2">
      <c r="A86" s="582" t="s">
        <v>1042</v>
      </c>
      <c r="B86" s="600">
        <f t="shared" si="89"/>
        <v>-4.1357442799999991</v>
      </c>
      <c r="C86" s="600">
        <f t="shared" si="89"/>
        <v>0</v>
      </c>
      <c r="D86" s="600">
        <f t="shared" si="89"/>
        <v>0</v>
      </c>
      <c r="E86" s="600">
        <f t="shared" si="89"/>
        <v>0</v>
      </c>
      <c r="F86" s="600">
        <f t="shared" si="89"/>
        <v>0</v>
      </c>
      <c r="G86" s="600">
        <f t="shared" si="89"/>
        <v>0</v>
      </c>
      <c r="H86" s="600">
        <f t="shared" si="89"/>
        <v>0</v>
      </c>
      <c r="I86" s="600">
        <f t="shared" si="89"/>
        <v>0</v>
      </c>
      <c r="K86" s="600">
        <f t="shared" si="90"/>
        <v>0</v>
      </c>
      <c r="L86" s="600">
        <f t="shared" si="90"/>
        <v>0</v>
      </c>
      <c r="M86" s="600">
        <f t="shared" si="90"/>
        <v>0</v>
      </c>
      <c r="N86" s="600">
        <f t="shared" si="90"/>
        <v>0</v>
      </c>
      <c r="O86" s="600">
        <f t="shared" si="90"/>
        <v>0</v>
      </c>
      <c r="P86" s="600">
        <f t="shared" si="90"/>
        <v>0</v>
      </c>
      <c r="Q86" s="600">
        <f t="shared" si="90"/>
        <v>0</v>
      </c>
      <c r="R86" s="600">
        <f t="shared" si="90"/>
        <v>0</v>
      </c>
      <c r="T86" s="582" t="s">
        <v>1042</v>
      </c>
      <c r="U86" s="600">
        <f t="shared" si="91"/>
        <v>-4.1357442799999991</v>
      </c>
      <c r="V86" s="600">
        <f t="shared" si="91"/>
        <v>0</v>
      </c>
      <c r="W86" s="600">
        <f t="shared" si="91"/>
        <v>0</v>
      </c>
      <c r="X86" s="600">
        <f t="shared" si="91"/>
        <v>0</v>
      </c>
      <c r="Y86" s="600">
        <f t="shared" si="91"/>
        <v>0</v>
      </c>
      <c r="Z86" s="600">
        <f t="shared" si="91"/>
        <v>0</v>
      </c>
      <c r="AA86" s="600">
        <f t="shared" si="91"/>
        <v>0</v>
      </c>
      <c r="AB86" s="600">
        <f t="shared" si="91"/>
        <v>0</v>
      </c>
    </row>
    <row r="87" spans="1:28" x14ac:dyDescent="0.2">
      <c r="A87" s="582" t="s">
        <v>1043</v>
      </c>
      <c r="B87" s="600">
        <f t="shared" si="89"/>
        <v>29.544653896240288</v>
      </c>
      <c r="C87" s="600">
        <f t="shared" si="89"/>
        <v>17.502627433148298</v>
      </c>
      <c r="D87" s="600">
        <f t="shared" si="89"/>
        <v>27.926795923199041</v>
      </c>
      <c r="E87" s="600">
        <f t="shared" si="89"/>
        <v>15.422028291641926</v>
      </c>
      <c r="F87" s="600">
        <f t="shared" si="89"/>
        <v>16.58417655696746</v>
      </c>
      <c r="G87" s="600">
        <f t="shared" si="89"/>
        <v>13.921317773347836</v>
      </c>
      <c r="H87" s="600">
        <f t="shared" si="89"/>
        <v>13.784448734530965</v>
      </c>
      <c r="I87" s="600">
        <f t="shared" si="89"/>
        <v>7.7410024793730026</v>
      </c>
      <c r="K87" s="600">
        <f t="shared" si="90"/>
        <v>-9.5006060493610794E-2</v>
      </c>
      <c r="L87" s="600">
        <f t="shared" si="90"/>
        <v>-0.16493534383344277</v>
      </c>
      <c r="M87" s="600">
        <f t="shared" si="90"/>
        <v>-0.1077116519403957</v>
      </c>
      <c r="N87" s="600">
        <f t="shared" si="90"/>
        <v>-0.10687425496623167</v>
      </c>
      <c r="O87" s="600">
        <f t="shared" si="90"/>
        <v>-7.2355011471646677E-2</v>
      </c>
      <c r="P87" s="600">
        <f t="shared" si="90"/>
        <v>-6.2136133306233673E-2</v>
      </c>
      <c r="Q87" s="600">
        <f t="shared" si="90"/>
        <v>-5.5166912739613813E-2</v>
      </c>
      <c r="R87" s="600">
        <f t="shared" si="90"/>
        <v>-4.1690714175992453E-2</v>
      </c>
      <c r="T87" s="582" t="s">
        <v>1043</v>
      </c>
      <c r="U87" s="600">
        <f t="shared" si="91"/>
        <v>29.449647835746674</v>
      </c>
      <c r="V87" s="600">
        <f t="shared" si="91"/>
        <v>17.337692089314857</v>
      </c>
      <c r="W87" s="600">
        <f t="shared" si="91"/>
        <v>27.819084271258649</v>
      </c>
      <c r="X87" s="600">
        <f t="shared" si="91"/>
        <v>15.315154036675695</v>
      </c>
      <c r="Y87" s="600">
        <f t="shared" si="91"/>
        <v>16.511821545495817</v>
      </c>
      <c r="Z87" s="600">
        <f t="shared" si="91"/>
        <v>13.859181640041603</v>
      </c>
      <c r="AA87" s="600">
        <f t="shared" si="91"/>
        <v>13.729281821791352</v>
      </c>
      <c r="AB87" s="600">
        <f t="shared" si="91"/>
        <v>7.6993117651970095</v>
      </c>
    </row>
    <row r="88" spans="1:28" x14ac:dyDescent="0.2">
      <c r="A88" s="582" t="s">
        <v>1044</v>
      </c>
      <c r="B88" s="600">
        <f t="shared" si="89"/>
        <v>9.8271950727591957</v>
      </c>
      <c r="C88" s="600">
        <f t="shared" si="89"/>
        <v>11.993740119694982</v>
      </c>
      <c r="D88" s="600">
        <f t="shared" si="89"/>
        <v>6.3344978047102805</v>
      </c>
      <c r="E88" s="600">
        <f t="shared" si="89"/>
        <v>1.0885283219242969</v>
      </c>
      <c r="F88" s="600">
        <f t="shared" si="89"/>
        <v>0.83222846936680095</v>
      </c>
      <c r="G88" s="600">
        <f t="shared" si="89"/>
        <v>1.0311708093840062</v>
      </c>
      <c r="H88" s="600">
        <f t="shared" si="89"/>
        <v>10.017396830279157</v>
      </c>
      <c r="I88" s="600">
        <f t="shared" si="89"/>
        <v>0.1138196063946363</v>
      </c>
      <c r="K88" s="600">
        <f t="shared" si="90"/>
        <v>-1.9185872865417973E-2</v>
      </c>
      <c r="L88" s="600">
        <f t="shared" si="90"/>
        <v>-7.9512018844796348E-2</v>
      </c>
      <c r="M88" s="600">
        <f t="shared" si="90"/>
        <v>-2.4431704397258197E-2</v>
      </c>
      <c r="N88" s="600">
        <f t="shared" si="90"/>
        <v>-7.5434729605800633E-3</v>
      </c>
      <c r="O88" s="600">
        <f t="shared" si="90"/>
        <v>-3.6309249507336869E-3</v>
      </c>
      <c r="P88" s="600">
        <f t="shared" si="90"/>
        <v>-4.6025073140739774E-3</v>
      </c>
      <c r="Q88" s="600">
        <f t="shared" si="90"/>
        <v>-4.009074773006497E-2</v>
      </c>
      <c r="R88" s="600">
        <f t="shared" si="90"/>
        <v>-6.1299821185525493E-4</v>
      </c>
      <c r="T88" s="582" t="s">
        <v>1044</v>
      </c>
      <c r="U88" s="600">
        <f t="shared" si="91"/>
        <v>9.8080091998937782</v>
      </c>
      <c r="V88" s="600">
        <f t="shared" si="91"/>
        <v>11.914228100850185</v>
      </c>
      <c r="W88" s="600">
        <f t="shared" si="91"/>
        <v>6.3100661003130218</v>
      </c>
      <c r="X88" s="600">
        <f t="shared" si="91"/>
        <v>1.0809848489637168</v>
      </c>
      <c r="Y88" s="600">
        <f t="shared" si="91"/>
        <v>0.82859754441606726</v>
      </c>
      <c r="Z88" s="600">
        <f t="shared" si="91"/>
        <v>1.0265683020699321</v>
      </c>
      <c r="AA88" s="600">
        <f t="shared" si="91"/>
        <v>9.9773060825490916</v>
      </c>
      <c r="AB88" s="600">
        <f t="shared" si="91"/>
        <v>0.11320660818278104</v>
      </c>
    </row>
    <row r="89" spans="1:28" x14ac:dyDescent="0.2">
      <c r="A89" s="582" t="s">
        <v>1045</v>
      </c>
      <c r="B89" s="600">
        <f t="shared" si="89"/>
        <v>1.7612008425531707</v>
      </c>
      <c r="C89" s="600">
        <f t="shared" si="89"/>
        <v>0.53595588154408635</v>
      </c>
      <c r="D89" s="600">
        <f t="shared" si="89"/>
        <v>1.6452734750393807</v>
      </c>
      <c r="E89" s="600">
        <f t="shared" si="89"/>
        <v>0.34904201798978901</v>
      </c>
      <c r="F89" s="600">
        <f t="shared" si="89"/>
        <v>1.3002631108796212E-2</v>
      </c>
      <c r="G89" s="600">
        <f t="shared" si="89"/>
        <v>3.1969772047798661E-2</v>
      </c>
      <c r="H89" s="600">
        <f t="shared" si="89"/>
        <v>4.9274907416433075E-2</v>
      </c>
      <c r="I89" s="600">
        <f t="shared" si="89"/>
        <v>7.7452064710923085E-2</v>
      </c>
      <c r="K89" s="600">
        <f t="shared" si="90"/>
        <v>-1.3372234141276218E-2</v>
      </c>
      <c r="L89" s="600">
        <f t="shared" si="90"/>
        <v>-1.614599813395436E-2</v>
      </c>
      <c r="M89" s="600">
        <f t="shared" si="90"/>
        <v>-6.3457019694476606E-3</v>
      </c>
      <c r="N89" s="600">
        <f t="shared" si="90"/>
        <v>-2.4188521068130627E-3</v>
      </c>
      <c r="O89" s="600">
        <f t="shared" si="90"/>
        <v>-5.6729106796881151E-5</v>
      </c>
      <c r="P89" s="600">
        <f t="shared" si="90"/>
        <v>-1.4269324571665224E-4</v>
      </c>
      <c r="Q89" s="600">
        <f t="shared" si="90"/>
        <v>-1.9720371630715114E-4</v>
      </c>
      <c r="R89" s="600">
        <f t="shared" si="90"/>
        <v>-4.171335561263259E-4</v>
      </c>
      <c r="T89" s="582" t="s">
        <v>1045</v>
      </c>
      <c r="U89" s="600">
        <f t="shared" si="91"/>
        <v>1.7478286084118944</v>
      </c>
      <c r="V89" s="600">
        <f t="shared" si="91"/>
        <v>0.51980988341013201</v>
      </c>
      <c r="W89" s="600">
        <f t="shared" si="91"/>
        <v>1.638927773069933</v>
      </c>
      <c r="X89" s="600">
        <f t="shared" si="91"/>
        <v>0.34662316588297598</v>
      </c>
      <c r="Y89" s="600">
        <f t="shared" si="91"/>
        <v>1.2945902001999332E-2</v>
      </c>
      <c r="Z89" s="600">
        <f t="shared" si="91"/>
        <v>3.1827078802082007E-2</v>
      </c>
      <c r="AA89" s="600">
        <f t="shared" si="91"/>
        <v>4.9077703700125923E-2</v>
      </c>
      <c r="AB89" s="600">
        <f t="shared" si="91"/>
        <v>7.703493115479676E-2</v>
      </c>
    </row>
    <row r="90" spans="1:28" x14ac:dyDescent="0.2">
      <c r="A90" s="582" t="s">
        <v>2271</v>
      </c>
      <c r="B90" s="600">
        <f t="shared" si="89"/>
        <v>0</v>
      </c>
      <c r="C90" s="600">
        <f t="shared" si="89"/>
        <v>0</v>
      </c>
      <c r="D90" s="600">
        <f t="shared" si="89"/>
        <v>0</v>
      </c>
      <c r="E90" s="600">
        <f t="shared" si="89"/>
        <v>0</v>
      </c>
      <c r="F90" s="600">
        <f t="shared" si="89"/>
        <v>0</v>
      </c>
      <c r="G90" s="600">
        <f t="shared" si="89"/>
        <v>0</v>
      </c>
      <c r="H90" s="600">
        <f t="shared" si="89"/>
        <v>0</v>
      </c>
      <c r="I90" s="600">
        <f t="shared" si="89"/>
        <v>0</v>
      </c>
      <c r="K90" s="600">
        <f t="shared" si="90"/>
        <v>0</v>
      </c>
      <c r="L90" s="600">
        <f t="shared" si="90"/>
        <v>0</v>
      </c>
      <c r="M90" s="600">
        <f t="shared" si="90"/>
        <v>0</v>
      </c>
      <c r="N90" s="600">
        <f t="shared" si="90"/>
        <v>0</v>
      </c>
      <c r="O90" s="600">
        <f t="shared" si="90"/>
        <v>0</v>
      </c>
      <c r="P90" s="600">
        <f t="shared" si="90"/>
        <v>0</v>
      </c>
      <c r="Q90" s="600">
        <f t="shared" si="90"/>
        <v>0</v>
      </c>
      <c r="R90" s="600">
        <f t="shared" si="90"/>
        <v>0</v>
      </c>
      <c r="T90" s="582" t="s">
        <v>2271</v>
      </c>
      <c r="U90" s="600">
        <f t="shared" si="91"/>
        <v>0</v>
      </c>
      <c r="V90" s="600">
        <f t="shared" si="91"/>
        <v>0</v>
      </c>
      <c r="W90" s="600">
        <f t="shared" si="91"/>
        <v>0</v>
      </c>
      <c r="X90" s="600">
        <f t="shared" si="91"/>
        <v>0</v>
      </c>
      <c r="Y90" s="600">
        <f t="shared" si="91"/>
        <v>0</v>
      </c>
      <c r="Z90" s="600">
        <f t="shared" si="91"/>
        <v>0</v>
      </c>
      <c r="AA90" s="600">
        <f t="shared" si="91"/>
        <v>0</v>
      </c>
      <c r="AB90" s="600">
        <f t="shared" si="91"/>
        <v>0</v>
      </c>
    </row>
    <row r="91" spans="1:28" x14ac:dyDescent="0.2">
      <c r="A91" s="582" t="s">
        <v>2272</v>
      </c>
      <c r="B91" s="600">
        <f t="shared" si="89"/>
        <v>0</v>
      </c>
      <c r="C91" s="600">
        <f t="shared" si="89"/>
        <v>0</v>
      </c>
      <c r="D91" s="600">
        <f t="shared" si="89"/>
        <v>0</v>
      </c>
      <c r="E91" s="600">
        <f t="shared" si="89"/>
        <v>0</v>
      </c>
      <c r="F91" s="600">
        <f t="shared" si="89"/>
        <v>0</v>
      </c>
      <c r="G91" s="600">
        <f t="shared" si="89"/>
        <v>0</v>
      </c>
      <c r="H91" s="600">
        <f t="shared" si="89"/>
        <v>0</v>
      </c>
      <c r="I91" s="600">
        <f t="shared" si="89"/>
        <v>0</v>
      </c>
      <c r="K91" s="600">
        <f t="shared" si="90"/>
        <v>0</v>
      </c>
      <c r="L91" s="600">
        <f t="shared" si="90"/>
        <v>0</v>
      </c>
      <c r="M91" s="600">
        <f t="shared" si="90"/>
        <v>0</v>
      </c>
      <c r="N91" s="600">
        <f t="shared" si="90"/>
        <v>0</v>
      </c>
      <c r="O91" s="600">
        <f t="shared" si="90"/>
        <v>0</v>
      </c>
      <c r="P91" s="600">
        <f t="shared" si="90"/>
        <v>0</v>
      </c>
      <c r="Q91" s="600">
        <f t="shared" si="90"/>
        <v>0</v>
      </c>
      <c r="R91" s="600">
        <f t="shared" si="90"/>
        <v>0</v>
      </c>
      <c r="T91" s="582" t="s">
        <v>2272</v>
      </c>
      <c r="U91" s="600">
        <f t="shared" si="91"/>
        <v>0</v>
      </c>
      <c r="V91" s="600">
        <f t="shared" si="91"/>
        <v>0</v>
      </c>
      <c r="W91" s="600">
        <f t="shared" si="91"/>
        <v>0</v>
      </c>
      <c r="X91" s="600">
        <f t="shared" si="91"/>
        <v>0</v>
      </c>
      <c r="Y91" s="600">
        <f t="shared" si="91"/>
        <v>0</v>
      </c>
      <c r="Z91" s="600">
        <f t="shared" si="91"/>
        <v>0</v>
      </c>
      <c r="AA91" s="600">
        <f t="shared" si="91"/>
        <v>0</v>
      </c>
      <c r="AB91" s="600">
        <f t="shared" si="91"/>
        <v>0</v>
      </c>
    </row>
    <row r="92" spans="1:28" x14ac:dyDescent="0.2">
      <c r="A92" s="582" t="s">
        <v>2273</v>
      </c>
      <c r="B92" s="600">
        <f t="shared" si="89"/>
        <v>0</v>
      </c>
      <c r="C92" s="600">
        <f t="shared" si="89"/>
        <v>0</v>
      </c>
      <c r="D92" s="600">
        <f t="shared" si="89"/>
        <v>0</v>
      </c>
      <c r="E92" s="600">
        <f t="shared" si="89"/>
        <v>0</v>
      </c>
      <c r="F92" s="600">
        <f t="shared" si="89"/>
        <v>0</v>
      </c>
      <c r="G92" s="600">
        <f t="shared" si="89"/>
        <v>0</v>
      </c>
      <c r="H92" s="600">
        <f t="shared" si="89"/>
        <v>0</v>
      </c>
      <c r="I92" s="600">
        <f t="shared" si="89"/>
        <v>0</v>
      </c>
      <c r="K92" s="600">
        <f t="shared" si="90"/>
        <v>0</v>
      </c>
      <c r="L92" s="600">
        <f t="shared" si="90"/>
        <v>0</v>
      </c>
      <c r="M92" s="600">
        <f t="shared" si="90"/>
        <v>0</v>
      </c>
      <c r="N92" s="600">
        <f t="shared" si="90"/>
        <v>0</v>
      </c>
      <c r="O92" s="600">
        <f t="shared" si="90"/>
        <v>0</v>
      </c>
      <c r="P92" s="600">
        <f t="shared" si="90"/>
        <v>0</v>
      </c>
      <c r="Q92" s="600">
        <f t="shared" si="90"/>
        <v>0</v>
      </c>
      <c r="R92" s="600">
        <f t="shared" si="90"/>
        <v>0</v>
      </c>
      <c r="T92" s="582" t="s">
        <v>2273</v>
      </c>
      <c r="U92" s="600">
        <f t="shared" si="91"/>
        <v>0</v>
      </c>
      <c r="V92" s="600">
        <f t="shared" si="91"/>
        <v>0</v>
      </c>
      <c r="W92" s="600">
        <f t="shared" si="91"/>
        <v>0</v>
      </c>
      <c r="X92" s="600">
        <f t="shared" si="91"/>
        <v>0</v>
      </c>
      <c r="Y92" s="600">
        <f t="shared" si="91"/>
        <v>0</v>
      </c>
      <c r="Z92" s="600">
        <f t="shared" si="91"/>
        <v>0</v>
      </c>
      <c r="AA92" s="600">
        <f t="shared" si="91"/>
        <v>0</v>
      </c>
      <c r="AB92" s="600">
        <f t="shared" si="91"/>
        <v>0</v>
      </c>
    </row>
    <row r="93" spans="1:28" x14ac:dyDescent="0.2">
      <c r="A93" s="582" t="s">
        <v>1059</v>
      </c>
      <c r="B93" s="600">
        <f t="shared" ref="B93:I97" si="92">B28/1000000</f>
        <v>0</v>
      </c>
      <c r="C93" s="600">
        <f t="shared" si="92"/>
        <v>0</v>
      </c>
      <c r="D93" s="600">
        <f t="shared" si="92"/>
        <v>0</v>
      </c>
      <c r="E93" s="600">
        <f t="shared" si="92"/>
        <v>0</v>
      </c>
      <c r="F93" s="600">
        <f t="shared" si="92"/>
        <v>0</v>
      </c>
      <c r="G93" s="600">
        <f t="shared" si="92"/>
        <v>0</v>
      </c>
      <c r="H93" s="600">
        <f t="shared" si="92"/>
        <v>0</v>
      </c>
      <c r="I93" s="600">
        <f t="shared" si="92"/>
        <v>0</v>
      </c>
      <c r="K93" s="600">
        <f t="shared" ref="K93:R96" si="93">K28/1000000</f>
        <v>0</v>
      </c>
      <c r="L93" s="600">
        <f t="shared" si="93"/>
        <v>0</v>
      </c>
      <c r="M93" s="600">
        <f t="shared" si="93"/>
        <v>0</v>
      </c>
      <c r="N93" s="600">
        <f t="shared" si="93"/>
        <v>0</v>
      </c>
      <c r="O93" s="600">
        <f t="shared" si="93"/>
        <v>0</v>
      </c>
      <c r="P93" s="600">
        <f t="shared" si="93"/>
        <v>0</v>
      </c>
      <c r="Q93" s="600">
        <f t="shared" si="93"/>
        <v>0</v>
      </c>
      <c r="R93" s="600">
        <f t="shared" si="93"/>
        <v>0</v>
      </c>
      <c r="T93" s="582" t="s">
        <v>1059</v>
      </c>
      <c r="U93" s="600">
        <f t="shared" ref="U93:AB97" si="94">U28/1000000</f>
        <v>0</v>
      </c>
      <c r="V93" s="600">
        <f t="shared" si="94"/>
        <v>0</v>
      </c>
      <c r="W93" s="600">
        <f t="shared" si="94"/>
        <v>0</v>
      </c>
      <c r="X93" s="600">
        <f t="shared" si="94"/>
        <v>0</v>
      </c>
      <c r="Y93" s="600">
        <f t="shared" si="94"/>
        <v>0</v>
      </c>
      <c r="Z93" s="600">
        <f t="shared" si="94"/>
        <v>0</v>
      </c>
      <c r="AA93" s="600">
        <f t="shared" si="94"/>
        <v>0</v>
      </c>
      <c r="AB93" s="600">
        <f t="shared" si="94"/>
        <v>0</v>
      </c>
    </row>
    <row r="94" spans="1:28" x14ac:dyDescent="0.2">
      <c r="A94" s="582" t="s">
        <v>1060</v>
      </c>
      <c r="B94" s="600">
        <f t="shared" si="92"/>
        <v>0</v>
      </c>
      <c r="C94" s="600">
        <f t="shared" si="92"/>
        <v>0</v>
      </c>
      <c r="D94" s="600">
        <f t="shared" si="92"/>
        <v>0</v>
      </c>
      <c r="E94" s="600">
        <f t="shared" si="92"/>
        <v>0</v>
      </c>
      <c r="F94" s="600">
        <f t="shared" si="92"/>
        <v>0</v>
      </c>
      <c r="G94" s="600">
        <f t="shared" si="92"/>
        <v>0</v>
      </c>
      <c r="H94" s="600">
        <f t="shared" si="92"/>
        <v>0</v>
      </c>
      <c r="I94" s="600">
        <f t="shared" si="92"/>
        <v>0</v>
      </c>
      <c r="K94" s="600">
        <f t="shared" si="93"/>
        <v>0</v>
      </c>
      <c r="L94" s="600">
        <f t="shared" si="93"/>
        <v>0</v>
      </c>
      <c r="M94" s="600">
        <f t="shared" si="93"/>
        <v>0</v>
      </c>
      <c r="N94" s="600">
        <f t="shared" si="93"/>
        <v>0</v>
      </c>
      <c r="O94" s="600">
        <f t="shared" si="93"/>
        <v>0</v>
      </c>
      <c r="P94" s="600">
        <f t="shared" si="93"/>
        <v>0</v>
      </c>
      <c r="Q94" s="600">
        <f t="shared" si="93"/>
        <v>0</v>
      </c>
      <c r="R94" s="600">
        <f t="shared" si="93"/>
        <v>0</v>
      </c>
      <c r="T94" s="582" t="s">
        <v>1060</v>
      </c>
      <c r="U94" s="600">
        <f t="shared" si="94"/>
        <v>0</v>
      </c>
      <c r="V94" s="600">
        <f t="shared" si="94"/>
        <v>0</v>
      </c>
      <c r="W94" s="600">
        <f t="shared" si="94"/>
        <v>0</v>
      </c>
      <c r="X94" s="600">
        <f t="shared" si="94"/>
        <v>0</v>
      </c>
      <c r="Y94" s="600">
        <f t="shared" si="94"/>
        <v>0</v>
      </c>
      <c r="Z94" s="600">
        <f t="shared" si="94"/>
        <v>0</v>
      </c>
      <c r="AA94" s="600">
        <f t="shared" si="94"/>
        <v>0</v>
      </c>
      <c r="AB94" s="600">
        <f t="shared" si="94"/>
        <v>0</v>
      </c>
    </row>
    <row r="95" spans="1:28" x14ac:dyDescent="0.2">
      <c r="A95" s="582" t="s">
        <v>1047</v>
      </c>
      <c r="B95" s="600">
        <f t="shared" si="92"/>
        <v>27.253501089523606</v>
      </c>
      <c r="C95" s="600">
        <f t="shared" si="92"/>
        <v>23.368360796016475</v>
      </c>
      <c r="D95" s="600">
        <f t="shared" si="92"/>
        <v>9.6765588798211244</v>
      </c>
      <c r="E95" s="600">
        <f t="shared" si="92"/>
        <v>2.3770986605010008E-2</v>
      </c>
      <c r="F95" s="600">
        <f t="shared" si="92"/>
        <v>0</v>
      </c>
      <c r="G95" s="600">
        <f t="shared" si="92"/>
        <v>0</v>
      </c>
      <c r="H95" s="600">
        <f t="shared" si="92"/>
        <v>0</v>
      </c>
      <c r="I95" s="600">
        <f t="shared" si="92"/>
        <v>0</v>
      </c>
      <c r="K95" s="600">
        <f t="shared" si="93"/>
        <v>-4.522518327122927E-2</v>
      </c>
      <c r="L95" s="600">
        <f t="shared" si="93"/>
        <v>-8.0890279094211759E-2</v>
      </c>
      <c r="M95" s="600">
        <f t="shared" si="93"/>
        <v>-3.7321794627295866E-2</v>
      </c>
      <c r="N95" s="600">
        <f t="shared" si="93"/>
        <v>-1.6473231893884946E-4</v>
      </c>
      <c r="O95" s="600">
        <f t="shared" si="93"/>
        <v>0</v>
      </c>
      <c r="P95" s="600">
        <f t="shared" si="93"/>
        <v>0</v>
      </c>
      <c r="Q95" s="600">
        <f t="shared" si="93"/>
        <v>0</v>
      </c>
      <c r="R95" s="600">
        <f t="shared" si="93"/>
        <v>0</v>
      </c>
      <c r="T95" s="582" t="s">
        <v>1047</v>
      </c>
      <c r="U95" s="600">
        <f t="shared" si="94"/>
        <v>27.208275906252378</v>
      </c>
      <c r="V95" s="600">
        <f t="shared" si="94"/>
        <v>23.287470516922262</v>
      </c>
      <c r="W95" s="600">
        <f t="shared" si="94"/>
        <v>9.6392370851938285</v>
      </c>
      <c r="X95" s="600">
        <f t="shared" si="94"/>
        <v>2.3606254286071163E-2</v>
      </c>
      <c r="Y95" s="600">
        <f t="shared" si="94"/>
        <v>0</v>
      </c>
      <c r="Z95" s="600">
        <f t="shared" si="94"/>
        <v>0</v>
      </c>
      <c r="AA95" s="600">
        <f t="shared" si="94"/>
        <v>0</v>
      </c>
      <c r="AB95" s="600">
        <f t="shared" si="94"/>
        <v>0</v>
      </c>
    </row>
    <row r="96" spans="1:28" x14ac:dyDescent="0.2">
      <c r="A96" s="582" t="s">
        <v>2743</v>
      </c>
      <c r="B96" s="600">
        <f t="shared" si="92"/>
        <v>0</v>
      </c>
      <c r="C96" s="600">
        <f t="shared" si="92"/>
        <v>0</v>
      </c>
      <c r="D96" s="600">
        <f t="shared" si="92"/>
        <v>0</v>
      </c>
      <c r="E96" s="600">
        <f t="shared" si="92"/>
        <v>13.897740965147904</v>
      </c>
      <c r="F96" s="600">
        <f t="shared" si="92"/>
        <v>4.2042195642138527</v>
      </c>
      <c r="G96" s="600">
        <f t="shared" si="92"/>
        <v>4.1424111874557745</v>
      </c>
      <c r="H96" s="600">
        <f t="shared" si="92"/>
        <v>3.6695580568078014</v>
      </c>
      <c r="I96" s="600">
        <f t="shared" si="92"/>
        <v>2.1945669554080376</v>
      </c>
      <c r="K96" s="600">
        <f t="shared" si="93"/>
        <v>0</v>
      </c>
      <c r="L96" s="600">
        <f t="shared" si="93"/>
        <v>0</v>
      </c>
      <c r="M96" s="600">
        <f t="shared" si="93"/>
        <v>0</v>
      </c>
      <c r="N96" s="600">
        <f t="shared" si="93"/>
        <v>-9.6310983437167846E-2</v>
      </c>
      <c r="O96" s="600">
        <f t="shared" si="93"/>
        <v>-1.8342566105292311E-2</v>
      </c>
      <c r="P96" s="600">
        <f t="shared" si="93"/>
        <v>-1.8489155835933989E-2</v>
      </c>
      <c r="Q96" s="600">
        <f t="shared" si="93"/>
        <v>-1.4685983677079639E-2</v>
      </c>
      <c r="R96" s="600">
        <f t="shared" si="93"/>
        <v>-1.1819278436066996E-2</v>
      </c>
      <c r="T96" s="582" t="s">
        <v>2743</v>
      </c>
      <c r="U96" s="600">
        <f t="shared" si="94"/>
        <v>0</v>
      </c>
      <c r="V96" s="600">
        <f t="shared" si="94"/>
        <v>0</v>
      </c>
      <c r="W96" s="600">
        <f t="shared" si="94"/>
        <v>0</v>
      </c>
      <c r="X96" s="600">
        <f t="shared" si="94"/>
        <v>13.801429981710736</v>
      </c>
      <c r="Y96" s="600">
        <f t="shared" si="94"/>
        <v>4.1858769981085606</v>
      </c>
      <c r="Z96" s="600">
        <f t="shared" si="94"/>
        <v>4.1239220316198404</v>
      </c>
      <c r="AA96" s="600">
        <f t="shared" si="94"/>
        <v>3.654872073130722</v>
      </c>
      <c r="AB96" s="600">
        <f t="shared" si="94"/>
        <v>2.1827476769719705</v>
      </c>
    </row>
    <row r="97" spans="1:28" x14ac:dyDescent="0.2">
      <c r="A97" s="584" t="s">
        <v>3051</v>
      </c>
      <c r="B97" s="600">
        <f t="shared" si="92"/>
        <v>0</v>
      </c>
      <c r="C97" s="600">
        <f t="shared" si="92"/>
        <v>0</v>
      </c>
      <c r="D97" s="600">
        <f t="shared" si="92"/>
        <v>7.9947349320768595</v>
      </c>
      <c r="E97" s="600">
        <f t="shared" si="92"/>
        <v>10.233104340337219</v>
      </c>
      <c r="F97" s="600">
        <f t="shared" si="92"/>
        <v>40.300997954878042</v>
      </c>
      <c r="G97" s="600">
        <f t="shared" si="92"/>
        <v>52.90439656067872</v>
      </c>
      <c r="H97" s="600">
        <f t="shared" si="92"/>
        <v>47.397219017840918</v>
      </c>
      <c r="I97" s="600">
        <f t="shared" si="92"/>
        <v>24.691725608178665</v>
      </c>
      <c r="T97" s="584" t="s">
        <v>3051</v>
      </c>
      <c r="U97" s="600">
        <f t="shared" si="94"/>
        <v>0</v>
      </c>
      <c r="V97" s="600">
        <f t="shared" si="94"/>
        <v>0</v>
      </c>
      <c r="W97" s="600">
        <f t="shared" si="94"/>
        <v>7.9638998119747262</v>
      </c>
      <c r="X97" s="600">
        <f t="shared" si="94"/>
        <v>10.162189193400421</v>
      </c>
      <c r="Y97" s="600">
        <f t="shared" si="94"/>
        <v>40.125168955510631</v>
      </c>
      <c r="Z97" s="600">
        <f t="shared" si="94"/>
        <v>52.668264127621725</v>
      </c>
      <c r="AA97" s="600">
        <f t="shared" si="94"/>
        <v>47.207530021493355</v>
      </c>
      <c r="AB97" s="600">
        <f t="shared" si="94"/>
        <v>24.558743390748088</v>
      </c>
    </row>
    <row r="98" spans="1:28" ht="13.5" thickBot="1" x14ac:dyDescent="0.25">
      <c r="A98" s="585" t="s">
        <v>639</v>
      </c>
      <c r="B98" s="610">
        <f t="shared" ref="B98:I98" si="95">SUM(B73:B97)</f>
        <v>167.03008902000002</v>
      </c>
      <c r="C98" s="610">
        <f t="shared" si="95"/>
        <v>151.79464285</v>
      </c>
      <c r="D98" s="610">
        <f t="shared" si="95"/>
        <v>175.39864166690774</v>
      </c>
      <c r="E98" s="610">
        <f t="shared" si="95"/>
        <v>99.542516434863373</v>
      </c>
      <c r="F98" s="610">
        <f t="shared" si="95"/>
        <v>105.2718287609424</v>
      </c>
      <c r="G98" s="610">
        <f t="shared" si="95"/>
        <v>117.28828875222149</v>
      </c>
      <c r="H98" s="610">
        <f t="shared" si="95"/>
        <v>111.01400617985701</v>
      </c>
      <c r="I98" s="610">
        <f t="shared" si="95"/>
        <v>60.422062748080876</v>
      </c>
      <c r="K98" s="610">
        <f t="shared" ref="K98:R98" si="96">SUM(K73:K97)</f>
        <v>-0.68126133259790478</v>
      </c>
      <c r="L98" s="610">
        <f t="shared" si="96"/>
        <v>-1.5014780000000179</v>
      </c>
      <c r="M98" s="610">
        <f t="shared" si="96"/>
        <v>-0.64566487989786758</v>
      </c>
      <c r="N98" s="610">
        <f t="shared" si="96"/>
        <v>-0.61891190306320165</v>
      </c>
      <c r="O98" s="610">
        <f t="shared" si="96"/>
        <v>-0.28346087562123784</v>
      </c>
      <c r="P98" s="610">
        <f t="shared" si="96"/>
        <v>-0.2873697859010807</v>
      </c>
      <c r="Q98" s="610">
        <f t="shared" si="96"/>
        <v>-0.25460153058931478</v>
      </c>
      <c r="R98" s="610">
        <f t="shared" si="96"/>
        <v>-0.19243286345416155</v>
      </c>
      <c r="T98" s="585" t="s">
        <v>639</v>
      </c>
      <c r="U98" s="610">
        <f t="shared" ref="U98:AB98" si="97">SUM(U73:U97)</f>
        <v>166.34882768740212</v>
      </c>
      <c r="V98" s="610">
        <f t="shared" si="97"/>
        <v>150.29316484999998</v>
      </c>
      <c r="W98" s="610">
        <f t="shared" si="97"/>
        <v>174.72214166690773</v>
      </c>
      <c r="X98" s="610">
        <f t="shared" si="97"/>
        <v>98.852689384863368</v>
      </c>
      <c r="Y98" s="610">
        <f t="shared" si="97"/>
        <v>104.81253888595374</v>
      </c>
      <c r="Z98" s="610">
        <f t="shared" si="97"/>
        <v>116.7647865332634</v>
      </c>
      <c r="AA98" s="610">
        <f t="shared" si="97"/>
        <v>110.56971565292014</v>
      </c>
      <c r="AB98" s="610">
        <f t="shared" si="97"/>
        <v>60.096647667196137</v>
      </c>
    </row>
    <row r="99" spans="1:28" x14ac:dyDescent="0.2">
      <c r="A99" s="584"/>
      <c r="T99" s="584"/>
    </row>
    <row r="100" spans="1:28" x14ac:dyDescent="0.2">
      <c r="A100" s="584"/>
      <c r="E100" s="576"/>
      <c r="F100" s="576"/>
      <c r="G100" s="576"/>
      <c r="N100" s="576"/>
      <c r="O100" s="576"/>
      <c r="P100" s="576"/>
      <c r="T100" s="584"/>
      <c r="X100" s="576"/>
      <c r="Y100" s="576"/>
      <c r="Z100" s="576"/>
    </row>
    <row r="101" spans="1:28" x14ac:dyDescent="0.2">
      <c r="A101" s="584"/>
      <c r="B101" s="677" t="s">
        <v>2739</v>
      </c>
      <c r="C101" s="677"/>
      <c r="D101" s="678"/>
      <c r="E101" s="676"/>
      <c r="F101" s="676"/>
      <c r="G101" s="676"/>
      <c r="H101" s="676"/>
      <c r="I101" s="676"/>
      <c r="J101" s="675"/>
      <c r="K101" s="677" t="s">
        <v>2740</v>
      </c>
      <c r="L101" s="576"/>
      <c r="M101" s="576"/>
      <c r="N101" s="576"/>
      <c r="O101" s="576"/>
      <c r="P101" s="576"/>
      <c r="Q101" s="576"/>
      <c r="R101" s="576"/>
      <c r="T101" s="584"/>
      <c r="U101" s="608" t="s">
        <v>2741</v>
      </c>
      <c r="V101" s="608"/>
      <c r="W101" s="609"/>
      <c r="X101" s="576"/>
      <c r="Y101" s="576"/>
      <c r="Z101" s="576"/>
      <c r="AA101" s="576"/>
      <c r="AB101" s="576"/>
    </row>
    <row r="102" spans="1:28" x14ac:dyDescent="0.2">
      <c r="A102" s="584"/>
      <c r="B102" s="573" t="s">
        <v>2744</v>
      </c>
      <c r="K102" s="573" t="s">
        <v>2744</v>
      </c>
      <c r="T102" s="584"/>
      <c r="U102" s="573" t="s">
        <v>2744</v>
      </c>
    </row>
    <row r="103" spans="1:28" x14ac:dyDescent="0.2">
      <c r="A103" s="602" t="s">
        <v>2275</v>
      </c>
      <c r="B103" s="580" t="s">
        <v>2276</v>
      </c>
      <c r="C103" s="580" t="s">
        <v>2277</v>
      </c>
      <c r="D103" s="580" t="s">
        <v>2278</v>
      </c>
      <c r="E103" s="580" t="s">
        <v>2279</v>
      </c>
      <c r="F103" s="580" t="s">
        <v>2280</v>
      </c>
      <c r="G103" s="580" t="s">
        <v>2281</v>
      </c>
      <c r="H103" s="580" t="s">
        <v>2282</v>
      </c>
      <c r="I103" s="580" t="s">
        <v>2283</v>
      </c>
      <c r="K103" s="580" t="s">
        <v>2276</v>
      </c>
      <c r="L103" s="580" t="s">
        <v>2277</v>
      </c>
      <c r="M103" s="580" t="s">
        <v>2278</v>
      </c>
      <c r="N103" s="580" t="s">
        <v>2279</v>
      </c>
      <c r="O103" s="580" t="s">
        <v>2280</v>
      </c>
      <c r="P103" s="580" t="s">
        <v>2281</v>
      </c>
      <c r="Q103" s="580" t="s">
        <v>2282</v>
      </c>
      <c r="R103" s="580" t="s">
        <v>2283</v>
      </c>
      <c r="T103" s="602" t="s">
        <v>2275</v>
      </c>
      <c r="U103" s="580" t="s">
        <v>2276</v>
      </c>
      <c r="V103" s="580" t="s">
        <v>2277</v>
      </c>
      <c r="W103" s="580" t="s">
        <v>2278</v>
      </c>
      <c r="X103" s="580" t="s">
        <v>2279</v>
      </c>
      <c r="Y103" s="580" t="s">
        <v>2280</v>
      </c>
      <c r="Z103" s="580" t="s">
        <v>2281</v>
      </c>
      <c r="AA103" s="580" t="s">
        <v>2282</v>
      </c>
      <c r="AB103" s="580" t="s">
        <v>2283</v>
      </c>
    </row>
    <row r="104" spans="1:28" x14ac:dyDescent="0.2">
      <c r="A104" s="39" t="s">
        <v>1031</v>
      </c>
      <c r="B104" s="600">
        <f t="shared" ref="B104:I113" si="98">B39/1000000</f>
        <v>0.73686402010707863</v>
      </c>
      <c r="C104" s="600">
        <f t="shared" si="98"/>
        <v>0.82024463806628123</v>
      </c>
      <c r="D104" s="600">
        <f t="shared" si="98"/>
        <v>6.4828150542355187</v>
      </c>
      <c r="E104" s="600">
        <f t="shared" si="98"/>
        <v>3.318183312486823</v>
      </c>
      <c r="F104" s="600">
        <f t="shared" si="98"/>
        <v>0.64361638995981296</v>
      </c>
      <c r="G104" s="600">
        <f t="shared" si="98"/>
        <v>1.1318903218357252</v>
      </c>
      <c r="H104" s="600">
        <f t="shared" si="98"/>
        <v>1.1104512861734119</v>
      </c>
      <c r="I104" s="600">
        <f t="shared" si="98"/>
        <v>0.13457499865764258</v>
      </c>
      <c r="K104" s="600">
        <f t="shared" ref="K104:R113" si="99">K39/1000000</f>
        <v>-2.6955123515253654E-3</v>
      </c>
      <c r="L104" s="600">
        <f t="shared" si="99"/>
        <v>-3.6145843287216269E-3</v>
      </c>
      <c r="M104" s="600">
        <f t="shared" si="99"/>
        <v>-1.8040560322127325E-2</v>
      </c>
      <c r="N104" s="600">
        <f t="shared" si="99"/>
        <v>-1.3953333577767338E-2</v>
      </c>
      <c r="O104" s="600">
        <f t="shared" si="99"/>
        <v>-2.5533057367488738E-3</v>
      </c>
      <c r="P104" s="600">
        <f t="shared" si="99"/>
        <v>-4.1867834155593781E-3</v>
      </c>
      <c r="Q104" s="600">
        <f t="shared" si="99"/>
        <v>-4.210794900844925E-3</v>
      </c>
      <c r="R104" s="600">
        <f t="shared" si="99"/>
        <v>-5.1620805578565299E-4</v>
      </c>
      <c r="T104" s="39" t="s">
        <v>1031</v>
      </c>
      <c r="U104" s="600">
        <f t="shared" ref="U104:AB113" si="100">U39/1000000</f>
        <v>0.7341685077555532</v>
      </c>
      <c r="V104" s="600">
        <f t="shared" si="100"/>
        <v>0.81663005373755959</v>
      </c>
      <c r="W104" s="600">
        <f t="shared" si="100"/>
        <v>6.4647744939133913</v>
      </c>
      <c r="X104" s="600">
        <f t="shared" si="100"/>
        <v>3.3042299789090559</v>
      </c>
      <c r="Y104" s="600">
        <f t="shared" si="100"/>
        <v>0.64106308422306413</v>
      </c>
      <c r="Z104" s="600">
        <f t="shared" si="100"/>
        <v>1.1277035384201659</v>
      </c>
      <c r="AA104" s="600">
        <f t="shared" si="100"/>
        <v>1.1062404912725667</v>
      </c>
      <c r="AB104" s="600">
        <f t="shared" si="100"/>
        <v>0.13405879060185691</v>
      </c>
    </row>
    <row r="105" spans="1:28" x14ac:dyDescent="0.2">
      <c r="A105" s="39" t="s">
        <v>1032</v>
      </c>
      <c r="B105" s="600">
        <f t="shared" si="98"/>
        <v>5.9182031278142651</v>
      </c>
      <c r="C105" s="600">
        <f t="shared" si="98"/>
        <v>2.9701586631514774</v>
      </c>
      <c r="D105" s="600">
        <f t="shared" si="98"/>
        <v>1.8660653243665639</v>
      </c>
      <c r="E105" s="600">
        <f t="shared" si="98"/>
        <v>9.9951487270071482</v>
      </c>
      <c r="F105" s="600">
        <f t="shared" si="98"/>
        <v>1.9198345823784619</v>
      </c>
      <c r="G105" s="600">
        <f t="shared" si="98"/>
        <v>1.2424753412087186</v>
      </c>
      <c r="H105" s="600">
        <f t="shared" si="98"/>
        <v>0.82043075460669557</v>
      </c>
      <c r="I105" s="600">
        <f t="shared" si="98"/>
        <v>5.688851023122557E-2</v>
      </c>
      <c r="K105" s="600">
        <f t="shared" si="99"/>
        <v>-2.1129139439186082E-2</v>
      </c>
      <c r="L105" s="600">
        <f t="shared" si="99"/>
        <v>-2.104771396854287E-2</v>
      </c>
      <c r="M105" s="600">
        <f t="shared" si="99"/>
        <v>-5.1929391425828662E-3</v>
      </c>
      <c r="N105" s="600">
        <f t="shared" si="99"/>
        <v>-4.2030723204018627E-2</v>
      </c>
      <c r="O105" s="600">
        <f t="shared" si="99"/>
        <v>-7.6162209807955298E-3</v>
      </c>
      <c r="P105" s="600">
        <f t="shared" si="99"/>
        <v>-4.5958296952106296E-3</v>
      </c>
      <c r="Q105" s="600">
        <f t="shared" si="99"/>
        <v>-3.1110465456786686E-3</v>
      </c>
      <c r="R105" s="600">
        <f t="shared" si="99"/>
        <v>-2.1821517782594048E-4</v>
      </c>
      <c r="T105" s="39" t="s">
        <v>1032</v>
      </c>
      <c r="U105" s="600">
        <f t="shared" si="100"/>
        <v>5.8970739883750785</v>
      </c>
      <c r="V105" s="600">
        <f t="shared" si="100"/>
        <v>2.9491109491829346</v>
      </c>
      <c r="W105" s="600">
        <f t="shared" si="100"/>
        <v>1.860872385223981</v>
      </c>
      <c r="X105" s="600">
        <f t="shared" si="100"/>
        <v>9.9531180038031302</v>
      </c>
      <c r="Y105" s="600">
        <f t="shared" si="100"/>
        <v>1.9122183613976664</v>
      </c>
      <c r="Z105" s="600">
        <f t="shared" si="100"/>
        <v>1.2378795115135082</v>
      </c>
      <c r="AA105" s="600">
        <f t="shared" si="100"/>
        <v>0.81731970806101695</v>
      </c>
      <c r="AB105" s="600">
        <f t="shared" si="100"/>
        <v>5.6670295053399627E-2</v>
      </c>
    </row>
    <row r="106" spans="1:28" x14ac:dyDescent="0.2">
      <c r="A106" s="39" t="s">
        <v>1033</v>
      </c>
      <c r="B106" s="600">
        <f t="shared" si="98"/>
        <v>9.5106287204785485</v>
      </c>
      <c r="C106" s="600">
        <f t="shared" si="98"/>
        <v>11.262795270504832</v>
      </c>
      <c r="D106" s="600">
        <f t="shared" si="98"/>
        <v>10.667206172593657</v>
      </c>
      <c r="E106" s="600">
        <f t="shared" si="98"/>
        <v>0</v>
      </c>
      <c r="F106" s="600">
        <f t="shared" si="98"/>
        <v>0</v>
      </c>
      <c r="G106" s="600">
        <f t="shared" si="98"/>
        <v>0</v>
      </c>
      <c r="H106" s="600">
        <f t="shared" si="98"/>
        <v>0</v>
      </c>
      <c r="I106" s="600">
        <f t="shared" si="98"/>
        <v>0</v>
      </c>
      <c r="K106" s="600">
        <f t="shared" si="99"/>
        <v>-3.2876341161388906E-2</v>
      </c>
      <c r="L106" s="600">
        <f t="shared" si="99"/>
        <v>-8.3165959173398099E-2</v>
      </c>
      <c r="M106" s="600">
        <f t="shared" si="99"/>
        <v>-2.9685001780131521E-2</v>
      </c>
      <c r="N106" s="600">
        <f t="shared" si="99"/>
        <v>0</v>
      </c>
      <c r="O106" s="600">
        <f t="shared" si="99"/>
        <v>0</v>
      </c>
      <c r="P106" s="600">
        <f t="shared" si="99"/>
        <v>0</v>
      </c>
      <c r="Q106" s="600">
        <f t="shared" si="99"/>
        <v>0</v>
      </c>
      <c r="R106" s="600">
        <f t="shared" si="99"/>
        <v>0</v>
      </c>
      <c r="T106" s="39" t="s">
        <v>1033</v>
      </c>
      <c r="U106" s="600">
        <f t="shared" si="100"/>
        <v>9.4777523793171596</v>
      </c>
      <c r="V106" s="600">
        <f t="shared" si="100"/>
        <v>11.179629311331434</v>
      </c>
      <c r="W106" s="600">
        <f t="shared" si="100"/>
        <v>10.637521170813525</v>
      </c>
      <c r="X106" s="600">
        <f t="shared" si="100"/>
        <v>0</v>
      </c>
      <c r="Y106" s="600">
        <f t="shared" si="100"/>
        <v>0</v>
      </c>
      <c r="Z106" s="600">
        <f t="shared" si="100"/>
        <v>0</v>
      </c>
      <c r="AA106" s="600">
        <f t="shared" si="100"/>
        <v>0</v>
      </c>
      <c r="AB106" s="600">
        <f t="shared" si="100"/>
        <v>0</v>
      </c>
    </row>
    <row r="107" spans="1:28" x14ac:dyDescent="0.2">
      <c r="A107" s="582" t="s">
        <v>1034</v>
      </c>
      <c r="B107" s="600">
        <f t="shared" si="98"/>
        <v>11.114250367338375</v>
      </c>
      <c r="C107" s="600">
        <f t="shared" si="98"/>
        <v>13.438115827949551</v>
      </c>
      <c r="D107" s="600">
        <f t="shared" si="98"/>
        <v>32.817033677726172</v>
      </c>
      <c r="E107" s="600">
        <f t="shared" si="98"/>
        <v>23.84022498127073</v>
      </c>
      <c r="F107" s="600">
        <f t="shared" si="98"/>
        <v>10.47619310545177</v>
      </c>
      <c r="G107" s="600">
        <f t="shared" si="98"/>
        <v>14.281909056483771</v>
      </c>
      <c r="H107" s="600">
        <f t="shared" si="98"/>
        <v>10.229058940565835</v>
      </c>
      <c r="I107" s="600">
        <f t="shared" si="98"/>
        <v>14.413829001032237</v>
      </c>
      <c r="K107" s="600">
        <f t="shared" si="99"/>
        <v>-5.1616266080256552E-2</v>
      </c>
      <c r="L107" s="600">
        <f t="shared" si="99"/>
        <v>-0.15847087044502794</v>
      </c>
      <c r="M107" s="600">
        <f t="shared" si="99"/>
        <v>-9.1324165613747968E-2</v>
      </c>
      <c r="N107" s="600">
        <f t="shared" si="99"/>
        <v>-0.10025082414249938</v>
      </c>
      <c r="O107" s="600">
        <f t="shared" si="99"/>
        <v>-4.1560352366273937E-2</v>
      </c>
      <c r="P107" s="600">
        <f t="shared" si="99"/>
        <v>-5.282778624985169E-2</v>
      </c>
      <c r="Q107" s="600">
        <f t="shared" si="99"/>
        <v>-3.8788256417625934E-2</v>
      </c>
      <c r="R107" s="600">
        <f t="shared" si="99"/>
        <v>-5.5289130367954568E-2</v>
      </c>
      <c r="T107" s="582" t="s">
        <v>1034</v>
      </c>
      <c r="U107" s="600">
        <f t="shared" si="100"/>
        <v>11.062634101258118</v>
      </c>
      <c r="V107" s="600">
        <f t="shared" si="100"/>
        <v>13.279644957504521</v>
      </c>
      <c r="W107" s="600">
        <f t="shared" si="100"/>
        <v>32.725709512112431</v>
      </c>
      <c r="X107" s="600">
        <f t="shared" si="100"/>
        <v>23.739974157128231</v>
      </c>
      <c r="Y107" s="600">
        <f t="shared" si="100"/>
        <v>10.434632753085497</v>
      </c>
      <c r="Z107" s="600">
        <f t="shared" si="100"/>
        <v>14.22908127023392</v>
      </c>
      <c r="AA107" s="600">
        <f t="shared" si="100"/>
        <v>10.19027068414821</v>
      </c>
      <c r="AB107" s="600">
        <f t="shared" si="100"/>
        <v>14.358539870664282</v>
      </c>
    </row>
    <row r="108" spans="1:28" x14ac:dyDescent="0.2">
      <c r="A108" s="39" t="s">
        <v>1035</v>
      </c>
      <c r="B108" s="600">
        <f t="shared" si="98"/>
        <v>3.4976604570683469</v>
      </c>
      <c r="C108" s="600">
        <f t="shared" si="98"/>
        <v>6.1110941655286899</v>
      </c>
      <c r="D108" s="600">
        <f t="shared" si="98"/>
        <v>1.9629224368361526</v>
      </c>
      <c r="E108" s="600">
        <f t="shared" si="98"/>
        <v>1.0025896194240897E-2</v>
      </c>
      <c r="F108" s="600">
        <f t="shared" si="98"/>
        <v>0</v>
      </c>
      <c r="G108" s="600">
        <f t="shared" si="98"/>
        <v>0</v>
      </c>
      <c r="H108" s="600">
        <f t="shared" si="98"/>
        <v>0</v>
      </c>
      <c r="I108" s="600">
        <f t="shared" si="98"/>
        <v>0</v>
      </c>
      <c r="K108" s="600">
        <f t="shared" si="99"/>
        <v>-1.4264922333157156E-2</v>
      </c>
      <c r="L108" s="600">
        <f t="shared" si="99"/>
        <v>-6.5266468631438911E-3</v>
      </c>
      <c r="M108" s="600">
        <f t="shared" si="99"/>
        <v>-5.4624758431544886E-3</v>
      </c>
      <c r="N108" s="600">
        <f t="shared" si="99"/>
        <v>-4.2160019757759179E-5</v>
      </c>
      <c r="O108" s="600">
        <f t="shared" si="99"/>
        <v>0</v>
      </c>
      <c r="P108" s="600">
        <f t="shared" si="99"/>
        <v>0</v>
      </c>
      <c r="Q108" s="600">
        <f t="shared" si="99"/>
        <v>0</v>
      </c>
      <c r="R108" s="600">
        <f t="shared" si="99"/>
        <v>0</v>
      </c>
      <c r="T108" s="39" t="s">
        <v>1035</v>
      </c>
      <c r="U108" s="600">
        <f t="shared" si="100"/>
        <v>3.4833955347351897</v>
      </c>
      <c r="V108" s="600">
        <f t="shared" si="100"/>
        <v>6.1045675186655455</v>
      </c>
      <c r="W108" s="600">
        <f t="shared" si="100"/>
        <v>1.9574599609929979</v>
      </c>
      <c r="X108" s="600">
        <f t="shared" si="100"/>
        <v>9.983736174483138E-3</v>
      </c>
      <c r="Y108" s="600">
        <f t="shared" si="100"/>
        <v>0</v>
      </c>
      <c r="Z108" s="600">
        <f t="shared" si="100"/>
        <v>0</v>
      </c>
      <c r="AA108" s="600">
        <f t="shared" si="100"/>
        <v>0</v>
      </c>
      <c r="AB108" s="600">
        <f t="shared" si="100"/>
        <v>0</v>
      </c>
    </row>
    <row r="109" spans="1:28" x14ac:dyDescent="0.2">
      <c r="A109" s="582" t="s">
        <v>854</v>
      </c>
      <c r="B109" s="600">
        <f t="shared" si="98"/>
        <v>0.95595140000000001</v>
      </c>
      <c r="C109" s="600">
        <f t="shared" si="98"/>
        <v>0.893363806461698</v>
      </c>
      <c r="D109" s="600">
        <f t="shared" si="98"/>
        <v>12.829582893385565</v>
      </c>
      <c r="E109" s="600">
        <f t="shared" si="98"/>
        <v>1.3408097136373772E-2</v>
      </c>
      <c r="F109" s="600">
        <f t="shared" si="98"/>
        <v>0.11179937033901895</v>
      </c>
      <c r="G109" s="600">
        <f t="shared" si="98"/>
        <v>4.3420100793439401E-2</v>
      </c>
      <c r="H109" s="600">
        <f t="shared" si="98"/>
        <v>0</v>
      </c>
      <c r="I109" s="600">
        <f t="shared" si="98"/>
        <v>0</v>
      </c>
      <c r="K109" s="600">
        <f t="shared" si="99"/>
        <v>0</v>
      </c>
      <c r="L109" s="600">
        <f t="shared" si="99"/>
        <v>-6.1556381360680099E-3</v>
      </c>
      <c r="M109" s="600">
        <f t="shared" si="99"/>
        <v>-3.5702524622329986E-2</v>
      </c>
      <c r="N109" s="600">
        <f t="shared" si="99"/>
        <v>-5.6382554659620903E-5</v>
      </c>
      <c r="O109" s="600">
        <f t="shared" si="99"/>
        <v>-4.4352191476875347E-4</v>
      </c>
      <c r="P109" s="600">
        <f t="shared" si="99"/>
        <v>-1.6060792675482604E-4</v>
      </c>
      <c r="Q109" s="600">
        <f t="shared" si="99"/>
        <v>0</v>
      </c>
      <c r="R109" s="600">
        <f t="shared" si="99"/>
        <v>0</v>
      </c>
      <c r="T109" s="582" t="s">
        <v>854</v>
      </c>
      <c r="U109" s="600">
        <f t="shared" si="100"/>
        <v>0.95595140000000001</v>
      </c>
      <c r="V109" s="600">
        <f t="shared" si="100"/>
        <v>0.88720816832562999</v>
      </c>
      <c r="W109" s="600">
        <f t="shared" si="100"/>
        <v>12.793880368763235</v>
      </c>
      <c r="X109" s="600">
        <f t="shared" si="100"/>
        <v>1.335171458171415E-2</v>
      </c>
      <c r="Y109" s="600">
        <f t="shared" si="100"/>
        <v>0.11135584842425018</v>
      </c>
      <c r="Z109" s="600">
        <f t="shared" si="100"/>
        <v>4.3259492866684575E-2</v>
      </c>
      <c r="AA109" s="600">
        <f t="shared" si="100"/>
        <v>0</v>
      </c>
      <c r="AB109" s="600">
        <f t="shared" si="100"/>
        <v>0</v>
      </c>
    </row>
    <row r="110" spans="1:28" x14ac:dyDescent="0.2">
      <c r="A110" s="582" t="s">
        <v>1036</v>
      </c>
      <c r="B110" s="600">
        <f t="shared" si="98"/>
        <v>0</v>
      </c>
      <c r="C110" s="600">
        <f t="shared" si="98"/>
        <v>1.6576655722094955</v>
      </c>
      <c r="D110" s="600">
        <f t="shared" si="98"/>
        <v>9.687050577971072E-4</v>
      </c>
      <c r="E110" s="600">
        <f t="shared" si="98"/>
        <v>2.8754890527144203</v>
      </c>
      <c r="F110" s="600">
        <f t="shared" si="98"/>
        <v>0</v>
      </c>
      <c r="G110" s="600">
        <f t="shared" si="98"/>
        <v>0</v>
      </c>
      <c r="H110" s="600">
        <f t="shared" si="98"/>
        <v>0</v>
      </c>
      <c r="I110" s="600">
        <f t="shared" si="98"/>
        <v>1.8551970630222006</v>
      </c>
      <c r="K110" s="600">
        <f t="shared" si="99"/>
        <v>0</v>
      </c>
      <c r="L110" s="600">
        <f t="shared" si="99"/>
        <v>-1.796208843370364E-2</v>
      </c>
      <c r="M110" s="600">
        <f t="shared" si="99"/>
        <v>-2.6957397185225411E-6</v>
      </c>
      <c r="N110" s="600">
        <f t="shared" si="99"/>
        <v>-1.2091754485279617E-2</v>
      </c>
      <c r="O110" s="600">
        <f t="shared" si="99"/>
        <v>0</v>
      </c>
      <c r="P110" s="600">
        <f t="shared" si="99"/>
        <v>0</v>
      </c>
      <c r="Q110" s="600">
        <f t="shared" si="99"/>
        <v>0</v>
      </c>
      <c r="R110" s="600">
        <f t="shared" si="99"/>
        <v>-7.1162376262640008E-3</v>
      </c>
      <c r="T110" s="582" t="s">
        <v>1036</v>
      </c>
      <c r="U110" s="600">
        <f t="shared" si="100"/>
        <v>0</v>
      </c>
      <c r="V110" s="600">
        <f t="shared" si="100"/>
        <v>1.639703483775792</v>
      </c>
      <c r="W110" s="600">
        <f t="shared" si="100"/>
        <v>9.6600931807858462E-4</v>
      </c>
      <c r="X110" s="600">
        <f t="shared" si="100"/>
        <v>2.8633972982291409</v>
      </c>
      <c r="Y110" s="600">
        <f t="shared" si="100"/>
        <v>0</v>
      </c>
      <c r="Z110" s="600">
        <f t="shared" si="100"/>
        <v>0</v>
      </c>
      <c r="AA110" s="600">
        <f t="shared" si="100"/>
        <v>0</v>
      </c>
      <c r="AB110" s="600">
        <f t="shared" si="100"/>
        <v>1.8480808253959364</v>
      </c>
    </row>
    <row r="111" spans="1:28" x14ac:dyDescent="0.2">
      <c r="A111" s="582" t="s">
        <v>1037</v>
      </c>
      <c r="B111" s="600">
        <f t="shared" si="98"/>
        <v>3.3663372228809552</v>
      </c>
      <c r="C111" s="600">
        <f t="shared" si="98"/>
        <v>3.5690141510131541</v>
      </c>
      <c r="D111" s="600">
        <f t="shared" si="98"/>
        <v>11.813532397852274</v>
      </c>
      <c r="E111" s="600">
        <f t="shared" si="98"/>
        <v>0.56318396193716336</v>
      </c>
      <c r="F111" s="600">
        <f t="shared" si="98"/>
        <v>0.48779740031712598</v>
      </c>
      <c r="G111" s="600">
        <f t="shared" si="98"/>
        <v>0.54621018352596384</v>
      </c>
      <c r="H111" s="600">
        <f t="shared" si="98"/>
        <v>4.0325477865457193</v>
      </c>
      <c r="I111" s="600">
        <f t="shared" si="98"/>
        <v>2.9699679255932456</v>
      </c>
      <c r="K111" s="600">
        <f t="shared" si="99"/>
        <v>-1.104265259133419E-2</v>
      </c>
      <c r="L111" s="600">
        <f t="shared" si="99"/>
        <v>-4.591898381993547E-2</v>
      </c>
      <c r="M111" s="600">
        <f t="shared" si="99"/>
        <v>-3.2875030686185719E-2</v>
      </c>
      <c r="N111" s="600">
        <f t="shared" si="99"/>
        <v>-2.3682518253243944E-3</v>
      </c>
      <c r="O111" s="600">
        <f t="shared" si="99"/>
        <v>-1.9351525536487235E-3</v>
      </c>
      <c r="P111" s="600">
        <f t="shared" si="99"/>
        <v>-2.0203934017982077E-3</v>
      </c>
      <c r="Q111" s="600">
        <f t="shared" si="99"/>
        <v>-1.5291289107794788E-2</v>
      </c>
      <c r="R111" s="600">
        <f t="shared" si="99"/>
        <v>-1.1392319404858277E-2</v>
      </c>
      <c r="T111" s="582" t="s">
        <v>1037</v>
      </c>
      <c r="U111" s="600">
        <f t="shared" si="100"/>
        <v>3.3552945702896211</v>
      </c>
      <c r="V111" s="600">
        <f t="shared" si="100"/>
        <v>3.5230951671932185</v>
      </c>
      <c r="W111" s="600">
        <f t="shared" si="100"/>
        <v>11.780657367166087</v>
      </c>
      <c r="X111" s="600">
        <f t="shared" si="100"/>
        <v>0.56081571011183895</v>
      </c>
      <c r="Y111" s="600">
        <f t="shared" si="100"/>
        <v>0.48586224776347725</v>
      </c>
      <c r="Z111" s="600">
        <f t="shared" si="100"/>
        <v>0.54418979012416557</v>
      </c>
      <c r="AA111" s="600">
        <f t="shared" si="100"/>
        <v>4.0172564974379243</v>
      </c>
      <c r="AB111" s="600">
        <f t="shared" si="100"/>
        <v>2.9585756061883877</v>
      </c>
    </row>
    <row r="112" spans="1:28" x14ac:dyDescent="0.2">
      <c r="A112" s="582" t="s">
        <v>41</v>
      </c>
      <c r="B112" s="600">
        <f t="shared" si="98"/>
        <v>0</v>
      </c>
      <c r="C112" s="600">
        <f t="shared" si="98"/>
        <v>0</v>
      </c>
      <c r="D112" s="600">
        <f t="shared" si="98"/>
        <v>0</v>
      </c>
      <c r="E112" s="600">
        <f t="shared" si="98"/>
        <v>0</v>
      </c>
      <c r="F112" s="600">
        <f t="shared" si="98"/>
        <v>0</v>
      </c>
      <c r="G112" s="600">
        <f t="shared" si="98"/>
        <v>0</v>
      </c>
      <c r="H112" s="600">
        <f t="shared" si="98"/>
        <v>0</v>
      </c>
      <c r="I112" s="600">
        <f t="shared" si="98"/>
        <v>0</v>
      </c>
      <c r="K112" s="600">
        <f t="shared" si="99"/>
        <v>0</v>
      </c>
      <c r="L112" s="600">
        <f t="shared" si="99"/>
        <v>0</v>
      </c>
      <c r="M112" s="600">
        <f t="shared" si="99"/>
        <v>0</v>
      </c>
      <c r="N112" s="600">
        <f t="shared" si="99"/>
        <v>0</v>
      </c>
      <c r="O112" s="600">
        <f t="shared" si="99"/>
        <v>0</v>
      </c>
      <c r="P112" s="600">
        <f t="shared" si="99"/>
        <v>0</v>
      </c>
      <c r="Q112" s="600">
        <f t="shared" si="99"/>
        <v>0</v>
      </c>
      <c r="R112" s="600">
        <f t="shared" si="99"/>
        <v>0</v>
      </c>
      <c r="T112" s="582" t="s">
        <v>41</v>
      </c>
      <c r="U112" s="600">
        <f t="shared" si="100"/>
        <v>0</v>
      </c>
      <c r="V112" s="600">
        <f t="shared" si="100"/>
        <v>0</v>
      </c>
      <c r="W112" s="600">
        <f t="shared" si="100"/>
        <v>0</v>
      </c>
      <c r="X112" s="600">
        <f t="shared" si="100"/>
        <v>0</v>
      </c>
      <c r="Y112" s="600">
        <f t="shared" si="100"/>
        <v>0</v>
      </c>
      <c r="Z112" s="600">
        <f t="shared" si="100"/>
        <v>0</v>
      </c>
      <c r="AA112" s="600">
        <f t="shared" si="100"/>
        <v>0</v>
      </c>
      <c r="AB112" s="600">
        <f t="shared" si="100"/>
        <v>0</v>
      </c>
    </row>
    <row r="113" spans="1:28" x14ac:dyDescent="0.2">
      <c r="A113" s="582" t="s">
        <v>1038</v>
      </c>
      <c r="B113" s="600">
        <f t="shared" si="98"/>
        <v>18.468995132505995</v>
      </c>
      <c r="C113" s="600">
        <f t="shared" si="98"/>
        <v>53.338356513496095</v>
      </c>
      <c r="D113" s="600">
        <f t="shared" si="98"/>
        <v>89.474992714387966</v>
      </c>
      <c r="E113" s="600">
        <f t="shared" si="98"/>
        <v>23.761379675186109</v>
      </c>
      <c r="F113" s="600">
        <f t="shared" si="98"/>
        <v>7.4956622969985665</v>
      </c>
      <c r="G113" s="600">
        <f t="shared" si="98"/>
        <v>23.601106697499571</v>
      </c>
      <c r="H113" s="600">
        <f t="shared" si="98"/>
        <v>5.7246560167829985</v>
      </c>
      <c r="I113" s="600">
        <f t="shared" si="98"/>
        <v>31.985900414149569</v>
      </c>
      <c r="K113" s="600">
        <f t="shared" si="99"/>
        <v>-0.11900656813882292</v>
      </c>
      <c r="L113" s="600">
        <f t="shared" si="99"/>
        <v>-0.3018355425716564</v>
      </c>
      <c r="M113" s="600">
        <f t="shared" si="99"/>
        <v>-0.24899352979863312</v>
      </c>
      <c r="N113" s="600">
        <f t="shared" si="99"/>
        <v>-9.9919270773310934E-2</v>
      </c>
      <c r="O113" s="600">
        <f t="shared" si="99"/>
        <v>-2.9736218409313175E-2</v>
      </c>
      <c r="P113" s="600">
        <f t="shared" si="99"/>
        <v>-8.7298848840479393E-2</v>
      </c>
      <c r="Q113" s="600">
        <f t="shared" si="99"/>
        <v>-2.170770808652717E-2</v>
      </c>
      <c r="R113" s="600">
        <f t="shared" si="99"/>
        <v>-0.12269277079724474</v>
      </c>
      <c r="T113" s="582" t="s">
        <v>1038</v>
      </c>
      <c r="U113" s="600">
        <f t="shared" si="100"/>
        <v>18.34998856436717</v>
      </c>
      <c r="V113" s="600">
        <f t="shared" si="100"/>
        <v>53.036520970924435</v>
      </c>
      <c r="W113" s="600">
        <f t="shared" si="100"/>
        <v>89.225999184589341</v>
      </c>
      <c r="X113" s="600">
        <f t="shared" si="100"/>
        <v>23.6614604044128</v>
      </c>
      <c r="Y113" s="600">
        <f t="shared" si="100"/>
        <v>7.4659260785892529</v>
      </c>
      <c r="Z113" s="600">
        <f t="shared" si="100"/>
        <v>23.513807848659091</v>
      </c>
      <c r="AA113" s="600">
        <f t="shared" si="100"/>
        <v>5.7029483086964712</v>
      </c>
      <c r="AB113" s="600">
        <f t="shared" si="100"/>
        <v>31.863207643352322</v>
      </c>
    </row>
    <row r="114" spans="1:28" x14ac:dyDescent="0.2">
      <c r="A114" s="582" t="s">
        <v>1039</v>
      </c>
      <c r="B114" s="600">
        <f t="shared" ref="B114:I123" si="101">B49/1000000</f>
        <v>7.134828945497981</v>
      </c>
      <c r="C114" s="600">
        <f t="shared" si="101"/>
        <v>0</v>
      </c>
      <c r="D114" s="600">
        <f t="shared" si="101"/>
        <v>4.7086091930214291</v>
      </c>
      <c r="E114" s="600">
        <f t="shared" si="101"/>
        <v>3.5043303790620395</v>
      </c>
      <c r="F114" s="600">
        <f t="shared" si="101"/>
        <v>0.15927725201348392</v>
      </c>
      <c r="G114" s="600">
        <f t="shared" si="101"/>
        <v>0.22101676500099224</v>
      </c>
      <c r="H114" s="600">
        <f t="shared" si="101"/>
        <v>2.2671122478688619</v>
      </c>
      <c r="I114" s="600">
        <f t="shared" si="101"/>
        <v>0</v>
      </c>
      <c r="K114" s="600">
        <f t="shared" ref="K114:R123" si="102">K49/1000000</f>
        <v>-2.5301113889932631E-2</v>
      </c>
      <c r="L114" s="600">
        <f t="shared" si="102"/>
        <v>0</v>
      </c>
      <c r="M114" s="600">
        <f t="shared" si="102"/>
        <v>-1.3103250280837073E-2</v>
      </c>
      <c r="N114" s="600">
        <f t="shared" si="102"/>
        <v>-1.4736102903582626E-2</v>
      </c>
      <c r="O114" s="600">
        <f t="shared" si="102"/>
        <v>-6.3187253718790116E-4</v>
      </c>
      <c r="P114" s="600">
        <f t="shared" si="102"/>
        <v>-8.175256104018862E-4</v>
      </c>
      <c r="Q114" s="600">
        <f t="shared" si="102"/>
        <v>-8.5968153775261499E-3</v>
      </c>
      <c r="R114" s="600">
        <f t="shared" si="102"/>
        <v>0</v>
      </c>
      <c r="T114" s="582" t="s">
        <v>1039</v>
      </c>
      <c r="U114" s="600">
        <f t="shared" ref="U114:AB123" si="103">U49/1000000</f>
        <v>7.109527831608049</v>
      </c>
      <c r="V114" s="600">
        <f t="shared" si="103"/>
        <v>0</v>
      </c>
      <c r="W114" s="600">
        <f t="shared" si="103"/>
        <v>4.6955059427405912</v>
      </c>
      <c r="X114" s="600">
        <f t="shared" si="103"/>
        <v>3.4895942761584569</v>
      </c>
      <c r="Y114" s="600">
        <f t="shared" si="103"/>
        <v>0.15864537947629601</v>
      </c>
      <c r="Z114" s="600">
        <f t="shared" si="103"/>
        <v>0.22019923939059038</v>
      </c>
      <c r="AA114" s="600">
        <f t="shared" si="103"/>
        <v>2.2585154324913361</v>
      </c>
      <c r="AB114" s="600">
        <f t="shared" si="103"/>
        <v>0</v>
      </c>
    </row>
    <row r="115" spans="1:28" x14ac:dyDescent="0.2">
      <c r="A115" s="582" t="s">
        <v>1040</v>
      </c>
      <c r="B115" s="600">
        <f t="shared" si="101"/>
        <v>33.162308417136927</v>
      </c>
      <c r="C115" s="600">
        <f t="shared" si="101"/>
        <v>37.908538134807877</v>
      </c>
      <c r="D115" s="600">
        <f t="shared" si="101"/>
        <v>17.036132684857403</v>
      </c>
      <c r="E115" s="600">
        <f t="shared" si="101"/>
        <v>19.337452370591958</v>
      </c>
      <c r="F115" s="600">
        <f t="shared" si="101"/>
        <v>14.81894904888455</v>
      </c>
      <c r="G115" s="600">
        <f t="shared" si="101"/>
        <v>10.380543365815759</v>
      </c>
      <c r="H115" s="600">
        <f t="shared" si="101"/>
        <v>0.38731102592068467</v>
      </c>
      <c r="I115" s="600">
        <f t="shared" si="101"/>
        <v>2.2262892512486219</v>
      </c>
      <c r="K115" s="600">
        <f t="shared" si="102"/>
        <v>-0.11840244878697395</v>
      </c>
      <c r="L115" s="600">
        <f t="shared" si="102"/>
        <v>-0.26709133239117266</v>
      </c>
      <c r="M115" s="600">
        <f t="shared" si="102"/>
        <v>-4.7408629859976459E-2</v>
      </c>
      <c r="N115" s="600">
        <f t="shared" si="102"/>
        <v>-8.1316159494768378E-2</v>
      </c>
      <c r="O115" s="600">
        <f t="shared" si="102"/>
        <v>-5.8788601734441108E-2</v>
      </c>
      <c r="P115" s="600">
        <f t="shared" si="102"/>
        <v>-3.8396906458221296E-2</v>
      </c>
      <c r="Q115" s="600">
        <f t="shared" si="102"/>
        <v>-1.468670722700348E-3</v>
      </c>
      <c r="R115" s="600">
        <f t="shared" si="102"/>
        <v>-8.5396875903166348E-3</v>
      </c>
      <c r="T115" s="582" t="s">
        <v>1040</v>
      </c>
      <c r="U115" s="600">
        <f t="shared" si="103"/>
        <v>33.043905968349954</v>
      </c>
      <c r="V115" s="600">
        <f t="shared" si="103"/>
        <v>37.641446802416702</v>
      </c>
      <c r="W115" s="600">
        <f t="shared" si="103"/>
        <v>16.988724054997427</v>
      </c>
      <c r="X115" s="600">
        <f t="shared" si="103"/>
        <v>19.256136211097189</v>
      </c>
      <c r="Y115" s="600">
        <f t="shared" si="103"/>
        <v>14.76016044715011</v>
      </c>
      <c r="Z115" s="600">
        <f t="shared" si="103"/>
        <v>10.342146459357537</v>
      </c>
      <c r="AA115" s="600">
        <f t="shared" si="103"/>
        <v>0.38584235519798432</v>
      </c>
      <c r="AB115" s="600">
        <f t="shared" si="103"/>
        <v>2.2177495636583053</v>
      </c>
    </row>
    <row r="116" spans="1:28" x14ac:dyDescent="0.2">
      <c r="A116" s="582" t="s">
        <v>1041</v>
      </c>
      <c r="B116" s="600">
        <f t="shared" si="101"/>
        <v>0.27603360999999998</v>
      </c>
      <c r="C116" s="600">
        <f t="shared" si="101"/>
        <v>0.44476646872539549</v>
      </c>
      <c r="D116" s="600">
        <f t="shared" si="101"/>
        <v>0.71388332149659417</v>
      </c>
      <c r="E116" s="600">
        <f t="shared" si="101"/>
        <v>0.17830905221218318</v>
      </c>
      <c r="F116" s="600">
        <f t="shared" si="101"/>
        <v>0.23205544108495482</v>
      </c>
      <c r="G116" s="600">
        <f t="shared" si="101"/>
        <v>3.1843935693453469</v>
      </c>
      <c r="H116" s="600">
        <f t="shared" si="101"/>
        <v>5.7764415881311655E-2</v>
      </c>
      <c r="I116" s="600">
        <f t="shared" si="101"/>
        <v>4.9225731194309653E-2</v>
      </c>
      <c r="K116" s="600">
        <f t="shared" si="102"/>
        <v>-1.0539253622759134E-5</v>
      </c>
      <c r="L116" s="600">
        <f t="shared" si="102"/>
        <v>-6.6455822992982578E-3</v>
      </c>
      <c r="M116" s="600">
        <f t="shared" si="102"/>
        <v>-1.9866146136631765E-3</v>
      </c>
      <c r="N116" s="600">
        <f t="shared" si="102"/>
        <v>-7.4980959493388605E-4</v>
      </c>
      <c r="O116" s="600">
        <f t="shared" si="102"/>
        <v>-9.2059260486359164E-4</v>
      </c>
      <c r="P116" s="600">
        <f t="shared" si="102"/>
        <v>-1.1778849882845803E-2</v>
      </c>
      <c r="Q116" s="600">
        <f t="shared" si="102"/>
        <v>-2.1904077276680144E-4</v>
      </c>
      <c r="R116" s="600">
        <f t="shared" si="102"/>
        <v>-1.8882198958133643E-4</v>
      </c>
      <c r="T116" s="582" t="s">
        <v>1041</v>
      </c>
      <c r="U116" s="600">
        <f t="shared" si="103"/>
        <v>0.27602307074637722</v>
      </c>
      <c r="V116" s="600">
        <f t="shared" si="103"/>
        <v>0.43812088642609726</v>
      </c>
      <c r="W116" s="600">
        <f t="shared" si="103"/>
        <v>0.71189670688293094</v>
      </c>
      <c r="X116" s="600">
        <f t="shared" si="103"/>
        <v>0.17755924261724931</v>
      </c>
      <c r="Y116" s="600">
        <f t="shared" si="103"/>
        <v>0.23113484848009122</v>
      </c>
      <c r="Z116" s="600">
        <f t="shared" si="103"/>
        <v>3.1726147194625014</v>
      </c>
      <c r="AA116" s="600">
        <f t="shared" si="103"/>
        <v>5.7545375108544856E-2</v>
      </c>
      <c r="AB116" s="600">
        <f t="shared" si="103"/>
        <v>4.9036909204728314E-2</v>
      </c>
    </row>
    <row r="117" spans="1:28" x14ac:dyDescent="0.2">
      <c r="A117" s="582" t="s">
        <v>1042</v>
      </c>
      <c r="B117" s="600">
        <f t="shared" si="101"/>
        <v>-4.1357442799999991</v>
      </c>
      <c r="C117" s="600">
        <f t="shared" si="101"/>
        <v>0</v>
      </c>
      <c r="D117" s="600">
        <f t="shared" si="101"/>
        <v>0</v>
      </c>
      <c r="E117" s="600">
        <f t="shared" si="101"/>
        <v>0</v>
      </c>
      <c r="F117" s="600">
        <f t="shared" si="101"/>
        <v>0</v>
      </c>
      <c r="G117" s="600">
        <f t="shared" si="101"/>
        <v>0</v>
      </c>
      <c r="H117" s="600">
        <f t="shared" si="101"/>
        <v>0</v>
      </c>
      <c r="I117" s="600">
        <f t="shared" si="101"/>
        <v>0</v>
      </c>
      <c r="K117" s="600">
        <f t="shared" si="102"/>
        <v>0</v>
      </c>
      <c r="L117" s="600">
        <f t="shared" si="102"/>
        <v>0</v>
      </c>
      <c r="M117" s="600">
        <f t="shared" si="102"/>
        <v>0</v>
      </c>
      <c r="N117" s="600">
        <f t="shared" si="102"/>
        <v>0</v>
      </c>
      <c r="O117" s="600">
        <f t="shared" si="102"/>
        <v>0</v>
      </c>
      <c r="P117" s="600">
        <f t="shared" si="102"/>
        <v>0</v>
      </c>
      <c r="Q117" s="600">
        <f t="shared" si="102"/>
        <v>0</v>
      </c>
      <c r="R117" s="600">
        <f t="shared" si="102"/>
        <v>0</v>
      </c>
      <c r="T117" s="582" t="s">
        <v>1042</v>
      </c>
      <c r="U117" s="600">
        <f t="shared" si="103"/>
        <v>-4.1357442799999991</v>
      </c>
      <c r="V117" s="600">
        <f t="shared" si="103"/>
        <v>0</v>
      </c>
      <c r="W117" s="600">
        <f t="shared" si="103"/>
        <v>0</v>
      </c>
      <c r="X117" s="600">
        <f t="shared" si="103"/>
        <v>0</v>
      </c>
      <c r="Y117" s="600">
        <f t="shared" si="103"/>
        <v>0</v>
      </c>
      <c r="Z117" s="600">
        <f t="shared" si="103"/>
        <v>0</v>
      </c>
      <c r="AA117" s="600">
        <f t="shared" si="103"/>
        <v>0</v>
      </c>
      <c r="AB117" s="600">
        <f t="shared" si="103"/>
        <v>0</v>
      </c>
    </row>
    <row r="118" spans="1:28" x14ac:dyDescent="0.2">
      <c r="A118" s="582" t="s">
        <v>1043</v>
      </c>
      <c r="B118" s="600">
        <f t="shared" si="101"/>
        <v>31.318011495975732</v>
      </c>
      <c r="C118" s="600">
        <f t="shared" si="101"/>
        <v>27.590173444942071</v>
      </c>
      <c r="D118" s="600">
        <f t="shared" si="101"/>
        <v>34.137587001545747</v>
      </c>
      <c r="E118" s="600">
        <f t="shared" si="101"/>
        <v>11.138274056678446</v>
      </c>
      <c r="F118" s="600">
        <f t="shared" si="101"/>
        <v>11.140204080078117</v>
      </c>
      <c r="G118" s="600">
        <f t="shared" si="101"/>
        <v>13.142874480023938</v>
      </c>
      <c r="H118" s="600">
        <f t="shared" si="101"/>
        <v>6.3945944414106206</v>
      </c>
      <c r="I118" s="600">
        <f t="shared" si="101"/>
        <v>38.409216464182826</v>
      </c>
      <c r="K118" s="600">
        <f t="shared" si="102"/>
        <v>-0.10105310497032106</v>
      </c>
      <c r="L118" s="600">
        <f t="shared" si="102"/>
        <v>-0.16166512455943971</v>
      </c>
      <c r="M118" s="600">
        <f t="shared" si="102"/>
        <v>-9.4999038596803032E-2</v>
      </c>
      <c r="N118" s="600">
        <f t="shared" si="102"/>
        <v>-4.6837693628490079E-2</v>
      </c>
      <c r="O118" s="600">
        <f t="shared" si="102"/>
        <v>-4.419456594011336E-2</v>
      </c>
      <c r="P118" s="600">
        <f t="shared" si="102"/>
        <v>-4.8614576734342774E-2</v>
      </c>
      <c r="Q118" s="600">
        <f t="shared" si="102"/>
        <v>-2.4248092646774813E-2</v>
      </c>
      <c r="R118" s="600">
        <f t="shared" si="102"/>
        <v>-0.14733157832433769</v>
      </c>
      <c r="T118" s="582" t="s">
        <v>1043</v>
      </c>
      <c r="U118" s="600">
        <f t="shared" si="103"/>
        <v>31.216958391005413</v>
      </c>
      <c r="V118" s="600">
        <f t="shared" si="103"/>
        <v>27.428508320382633</v>
      </c>
      <c r="W118" s="600">
        <f t="shared" si="103"/>
        <v>34.04258796294895</v>
      </c>
      <c r="X118" s="600">
        <f t="shared" si="103"/>
        <v>11.091436363049956</v>
      </c>
      <c r="Y118" s="600">
        <f t="shared" si="103"/>
        <v>11.096009514138004</v>
      </c>
      <c r="Z118" s="600">
        <f t="shared" si="103"/>
        <v>13.094259903289593</v>
      </c>
      <c r="AA118" s="600">
        <f t="shared" si="103"/>
        <v>6.3703463487638459</v>
      </c>
      <c r="AB118" s="600">
        <f t="shared" si="103"/>
        <v>38.261884885858485</v>
      </c>
    </row>
    <row r="119" spans="1:28" x14ac:dyDescent="0.2">
      <c r="A119" s="582" t="s">
        <v>1044</v>
      </c>
      <c r="B119" s="600">
        <f t="shared" si="101"/>
        <v>13.212138807792638</v>
      </c>
      <c r="C119" s="600">
        <f t="shared" si="101"/>
        <v>8.7808160524207484</v>
      </c>
      <c r="D119" s="600">
        <f t="shared" si="101"/>
        <v>14.996660685185732</v>
      </c>
      <c r="E119" s="600">
        <f t="shared" si="101"/>
        <v>0.72040021658428055</v>
      </c>
      <c r="F119" s="600">
        <f t="shared" si="101"/>
        <v>0.23735908252406973</v>
      </c>
      <c r="G119" s="600">
        <f t="shared" si="101"/>
        <v>0.71038622696653198</v>
      </c>
      <c r="H119" s="600">
        <f t="shared" si="101"/>
        <v>10.98271603534141</v>
      </c>
      <c r="I119" s="600">
        <f t="shared" si="101"/>
        <v>0.16248756882168816</v>
      </c>
      <c r="K119" s="600">
        <f t="shared" si="102"/>
        <v>-4.2307987441062928E-2</v>
      </c>
      <c r="L119" s="600">
        <f t="shared" si="102"/>
        <v>-4.4195680536171421E-2</v>
      </c>
      <c r="M119" s="600">
        <f t="shared" si="102"/>
        <v>-4.1733129737336415E-2</v>
      </c>
      <c r="N119" s="600">
        <f t="shared" si="102"/>
        <v>-3.029363837033709E-3</v>
      </c>
      <c r="O119" s="600">
        <f t="shared" si="102"/>
        <v>-9.4163280570900003E-4</v>
      </c>
      <c r="P119" s="600">
        <f t="shared" si="102"/>
        <v>-2.6276691445524486E-3</v>
      </c>
      <c r="Q119" s="600">
        <f t="shared" si="102"/>
        <v>-4.1646099432606241E-2</v>
      </c>
      <c r="R119" s="600">
        <f t="shared" si="102"/>
        <v>-6.2327618671700186E-4</v>
      </c>
      <c r="T119" s="582" t="s">
        <v>1044</v>
      </c>
      <c r="U119" s="600">
        <f t="shared" si="103"/>
        <v>13.169830820351574</v>
      </c>
      <c r="V119" s="600">
        <f t="shared" si="103"/>
        <v>8.7366203718845767</v>
      </c>
      <c r="W119" s="600">
        <f t="shared" si="103"/>
        <v>14.954927555448396</v>
      </c>
      <c r="X119" s="600">
        <f t="shared" si="103"/>
        <v>0.71737085274724688</v>
      </c>
      <c r="Y119" s="600">
        <f t="shared" si="103"/>
        <v>0.23641744971836073</v>
      </c>
      <c r="Z119" s="600">
        <f t="shared" si="103"/>
        <v>0.70775855782197949</v>
      </c>
      <c r="AA119" s="600">
        <f t="shared" si="103"/>
        <v>10.941069935908804</v>
      </c>
      <c r="AB119" s="600">
        <f t="shared" si="103"/>
        <v>0.16186429263497115</v>
      </c>
    </row>
    <row r="120" spans="1:28" x14ac:dyDescent="0.2">
      <c r="A120" s="582" t="s">
        <v>1045</v>
      </c>
      <c r="B120" s="600">
        <f t="shared" si="101"/>
        <v>0</v>
      </c>
      <c r="C120" s="600">
        <f t="shared" si="101"/>
        <v>0</v>
      </c>
      <c r="D120" s="600">
        <f t="shared" si="101"/>
        <v>4.0909506384303365</v>
      </c>
      <c r="E120" s="600">
        <f t="shared" si="101"/>
        <v>0.54310848236662068</v>
      </c>
      <c r="F120" s="600">
        <f t="shared" si="101"/>
        <v>0</v>
      </c>
      <c r="G120" s="600">
        <f t="shared" si="101"/>
        <v>2.4674740177649888E-2</v>
      </c>
      <c r="H120" s="600">
        <f t="shared" si="101"/>
        <v>1.4084797302624153E-2</v>
      </c>
      <c r="I120" s="600">
        <f t="shared" si="101"/>
        <v>0.12900924539014655</v>
      </c>
      <c r="K120" s="600">
        <f t="shared" si="102"/>
        <v>0</v>
      </c>
      <c r="L120" s="600">
        <f t="shared" si="102"/>
        <v>0</v>
      </c>
      <c r="M120" s="600">
        <f t="shared" si="102"/>
        <v>-1.1384412658699692E-2</v>
      </c>
      <c r="N120" s="600">
        <f t="shared" si="102"/>
        <v>-2.283832178547406E-3</v>
      </c>
      <c r="O120" s="600">
        <f t="shared" si="102"/>
        <v>0</v>
      </c>
      <c r="P120" s="600">
        <f t="shared" si="102"/>
        <v>-9.1270144258742578E-5</v>
      </c>
      <c r="Q120" s="600">
        <f t="shared" si="102"/>
        <v>-5.3409089979713313E-5</v>
      </c>
      <c r="R120" s="600">
        <f t="shared" si="102"/>
        <v>-4.9485872120006715E-4</v>
      </c>
      <c r="T120" s="582" t="s">
        <v>1045</v>
      </c>
      <c r="U120" s="600">
        <f t="shared" si="103"/>
        <v>0</v>
      </c>
      <c r="V120" s="600">
        <f t="shared" si="103"/>
        <v>0</v>
      </c>
      <c r="W120" s="600">
        <f t="shared" si="103"/>
        <v>4.0795662257716359</v>
      </c>
      <c r="X120" s="600">
        <f t="shared" si="103"/>
        <v>0.54082465018807324</v>
      </c>
      <c r="Y120" s="600">
        <f t="shared" si="103"/>
        <v>0</v>
      </c>
      <c r="Z120" s="600">
        <f t="shared" si="103"/>
        <v>2.4583470033391147E-2</v>
      </c>
      <c r="AA120" s="600">
        <f t="shared" si="103"/>
        <v>1.4031388212644439E-2</v>
      </c>
      <c r="AB120" s="600">
        <f t="shared" si="103"/>
        <v>0.12851438666894649</v>
      </c>
    </row>
    <row r="121" spans="1:28" x14ac:dyDescent="0.2">
      <c r="A121" s="582" t="s">
        <v>2271</v>
      </c>
      <c r="B121" s="600">
        <f t="shared" si="101"/>
        <v>0</v>
      </c>
      <c r="C121" s="600">
        <f t="shared" si="101"/>
        <v>0</v>
      </c>
      <c r="D121" s="600">
        <f t="shared" si="101"/>
        <v>0</v>
      </c>
      <c r="E121" s="600">
        <f t="shared" si="101"/>
        <v>0</v>
      </c>
      <c r="F121" s="600">
        <f t="shared" si="101"/>
        <v>0</v>
      </c>
      <c r="G121" s="600">
        <f t="shared" si="101"/>
        <v>0</v>
      </c>
      <c r="H121" s="600">
        <f t="shared" si="101"/>
        <v>0</v>
      </c>
      <c r="I121" s="600">
        <f t="shared" si="101"/>
        <v>0</v>
      </c>
      <c r="K121" s="600">
        <f t="shared" si="102"/>
        <v>0</v>
      </c>
      <c r="L121" s="600">
        <f t="shared" si="102"/>
        <v>0</v>
      </c>
      <c r="M121" s="600">
        <f t="shared" si="102"/>
        <v>0</v>
      </c>
      <c r="N121" s="600">
        <f t="shared" si="102"/>
        <v>0</v>
      </c>
      <c r="O121" s="600">
        <f t="shared" si="102"/>
        <v>0</v>
      </c>
      <c r="P121" s="600">
        <f t="shared" si="102"/>
        <v>0</v>
      </c>
      <c r="Q121" s="600">
        <f t="shared" si="102"/>
        <v>0</v>
      </c>
      <c r="R121" s="600">
        <f t="shared" si="102"/>
        <v>0</v>
      </c>
      <c r="T121" s="582" t="s">
        <v>2271</v>
      </c>
      <c r="U121" s="600">
        <f t="shared" si="103"/>
        <v>0</v>
      </c>
      <c r="V121" s="600">
        <f t="shared" si="103"/>
        <v>0</v>
      </c>
      <c r="W121" s="600">
        <f t="shared" si="103"/>
        <v>0</v>
      </c>
      <c r="X121" s="600">
        <f t="shared" si="103"/>
        <v>0</v>
      </c>
      <c r="Y121" s="600">
        <f t="shared" si="103"/>
        <v>0</v>
      </c>
      <c r="Z121" s="600">
        <f t="shared" si="103"/>
        <v>0</v>
      </c>
      <c r="AA121" s="600">
        <f t="shared" si="103"/>
        <v>0</v>
      </c>
      <c r="AB121" s="600">
        <f t="shared" si="103"/>
        <v>0</v>
      </c>
    </row>
    <row r="122" spans="1:28" x14ac:dyDescent="0.2">
      <c r="A122" s="582" t="s">
        <v>2272</v>
      </c>
      <c r="B122" s="600">
        <f t="shared" si="101"/>
        <v>0</v>
      </c>
      <c r="C122" s="600">
        <f t="shared" si="101"/>
        <v>0</v>
      </c>
      <c r="D122" s="600">
        <f t="shared" si="101"/>
        <v>0</v>
      </c>
      <c r="E122" s="600">
        <f t="shared" si="101"/>
        <v>0</v>
      </c>
      <c r="F122" s="600">
        <f t="shared" si="101"/>
        <v>0</v>
      </c>
      <c r="G122" s="600">
        <f t="shared" si="101"/>
        <v>0</v>
      </c>
      <c r="H122" s="600">
        <f t="shared" si="101"/>
        <v>0</v>
      </c>
      <c r="I122" s="600">
        <f t="shared" si="101"/>
        <v>0</v>
      </c>
      <c r="K122" s="600">
        <f t="shared" si="102"/>
        <v>0</v>
      </c>
      <c r="L122" s="600">
        <f t="shared" si="102"/>
        <v>0</v>
      </c>
      <c r="M122" s="600">
        <f t="shared" si="102"/>
        <v>0</v>
      </c>
      <c r="N122" s="600">
        <f t="shared" si="102"/>
        <v>0</v>
      </c>
      <c r="O122" s="600">
        <f t="shared" si="102"/>
        <v>0</v>
      </c>
      <c r="P122" s="600">
        <f t="shared" si="102"/>
        <v>0</v>
      </c>
      <c r="Q122" s="600">
        <f t="shared" si="102"/>
        <v>0</v>
      </c>
      <c r="R122" s="600">
        <f t="shared" si="102"/>
        <v>0</v>
      </c>
      <c r="T122" s="582" t="s">
        <v>2272</v>
      </c>
      <c r="U122" s="600">
        <f t="shared" si="103"/>
        <v>0</v>
      </c>
      <c r="V122" s="600">
        <f t="shared" si="103"/>
        <v>0</v>
      </c>
      <c r="W122" s="600">
        <f t="shared" si="103"/>
        <v>0</v>
      </c>
      <c r="X122" s="600">
        <f t="shared" si="103"/>
        <v>0</v>
      </c>
      <c r="Y122" s="600">
        <f t="shared" si="103"/>
        <v>0</v>
      </c>
      <c r="Z122" s="600">
        <f t="shared" si="103"/>
        <v>0</v>
      </c>
      <c r="AA122" s="600">
        <f t="shared" si="103"/>
        <v>0</v>
      </c>
      <c r="AB122" s="600">
        <f t="shared" si="103"/>
        <v>0</v>
      </c>
    </row>
    <row r="123" spans="1:28" x14ac:dyDescent="0.2">
      <c r="A123" s="582" t="s">
        <v>2273</v>
      </c>
      <c r="B123" s="600">
        <f t="shared" si="101"/>
        <v>0</v>
      </c>
      <c r="C123" s="600">
        <f t="shared" si="101"/>
        <v>0</v>
      </c>
      <c r="D123" s="600">
        <f t="shared" si="101"/>
        <v>0</v>
      </c>
      <c r="E123" s="600">
        <f t="shared" si="101"/>
        <v>0</v>
      </c>
      <c r="F123" s="600">
        <f t="shared" si="101"/>
        <v>0</v>
      </c>
      <c r="G123" s="600">
        <f t="shared" si="101"/>
        <v>0</v>
      </c>
      <c r="H123" s="600">
        <f t="shared" si="101"/>
        <v>0</v>
      </c>
      <c r="I123" s="600">
        <f t="shared" si="101"/>
        <v>0</v>
      </c>
      <c r="K123" s="600">
        <f t="shared" si="102"/>
        <v>0</v>
      </c>
      <c r="L123" s="600">
        <f t="shared" si="102"/>
        <v>0</v>
      </c>
      <c r="M123" s="600">
        <f t="shared" si="102"/>
        <v>0</v>
      </c>
      <c r="N123" s="600">
        <f t="shared" si="102"/>
        <v>0</v>
      </c>
      <c r="O123" s="600">
        <f t="shared" si="102"/>
        <v>0</v>
      </c>
      <c r="P123" s="600">
        <f t="shared" si="102"/>
        <v>0</v>
      </c>
      <c r="Q123" s="600">
        <f t="shared" si="102"/>
        <v>0</v>
      </c>
      <c r="R123" s="600">
        <f t="shared" si="102"/>
        <v>0</v>
      </c>
      <c r="T123" s="582" t="s">
        <v>2273</v>
      </c>
      <c r="U123" s="600">
        <f t="shared" si="103"/>
        <v>0</v>
      </c>
      <c r="V123" s="600">
        <f t="shared" si="103"/>
        <v>0</v>
      </c>
      <c r="W123" s="600">
        <f t="shared" si="103"/>
        <v>0</v>
      </c>
      <c r="X123" s="600">
        <f t="shared" si="103"/>
        <v>0</v>
      </c>
      <c r="Y123" s="600">
        <f t="shared" si="103"/>
        <v>0</v>
      </c>
      <c r="Z123" s="600">
        <f t="shared" si="103"/>
        <v>0</v>
      </c>
      <c r="AA123" s="600">
        <f t="shared" si="103"/>
        <v>0</v>
      </c>
      <c r="AB123" s="600">
        <f t="shared" si="103"/>
        <v>0</v>
      </c>
    </row>
    <row r="124" spans="1:28" x14ac:dyDescent="0.2">
      <c r="A124" s="582" t="s">
        <v>1059</v>
      </c>
      <c r="B124" s="600">
        <f t="shared" ref="B124:I127" si="104">B59/1000000</f>
        <v>0</v>
      </c>
      <c r="C124" s="600">
        <f t="shared" si="104"/>
        <v>0</v>
      </c>
      <c r="D124" s="600">
        <f t="shared" si="104"/>
        <v>0</v>
      </c>
      <c r="E124" s="600">
        <f t="shared" si="104"/>
        <v>0</v>
      </c>
      <c r="F124" s="600">
        <f t="shared" si="104"/>
        <v>0</v>
      </c>
      <c r="G124" s="600">
        <f t="shared" si="104"/>
        <v>0</v>
      </c>
      <c r="H124" s="600">
        <f t="shared" si="104"/>
        <v>0</v>
      </c>
      <c r="I124" s="600">
        <f t="shared" si="104"/>
        <v>0</v>
      </c>
      <c r="K124" s="600">
        <f t="shared" ref="K124:R127" si="105">K59/1000000</f>
        <v>0</v>
      </c>
      <c r="L124" s="600">
        <f t="shared" si="105"/>
        <v>0</v>
      </c>
      <c r="M124" s="600">
        <f t="shared" si="105"/>
        <v>0</v>
      </c>
      <c r="N124" s="600">
        <f t="shared" si="105"/>
        <v>0</v>
      </c>
      <c r="O124" s="600">
        <f t="shared" si="105"/>
        <v>0</v>
      </c>
      <c r="P124" s="600">
        <f t="shared" si="105"/>
        <v>0</v>
      </c>
      <c r="Q124" s="600">
        <f t="shared" si="105"/>
        <v>0</v>
      </c>
      <c r="R124" s="600">
        <f t="shared" si="105"/>
        <v>0</v>
      </c>
      <c r="T124" s="582" t="s">
        <v>1059</v>
      </c>
      <c r="U124" s="600">
        <f t="shared" ref="U124:AB127" si="106">U59/1000000</f>
        <v>0</v>
      </c>
      <c r="V124" s="600">
        <f t="shared" si="106"/>
        <v>0</v>
      </c>
      <c r="W124" s="600">
        <f t="shared" si="106"/>
        <v>0</v>
      </c>
      <c r="X124" s="600">
        <f t="shared" si="106"/>
        <v>0</v>
      </c>
      <c r="Y124" s="600">
        <f t="shared" si="106"/>
        <v>0</v>
      </c>
      <c r="Z124" s="600">
        <f t="shared" si="106"/>
        <v>0</v>
      </c>
      <c r="AA124" s="600">
        <f t="shared" si="106"/>
        <v>0</v>
      </c>
      <c r="AB124" s="600">
        <f t="shared" si="106"/>
        <v>0</v>
      </c>
    </row>
    <row r="125" spans="1:28" x14ac:dyDescent="0.2">
      <c r="A125" s="582" t="s">
        <v>1060</v>
      </c>
      <c r="B125" s="600">
        <f t="shared" si="104"/>
        <v>0</v>
      </c>
      <c r="C125" s="600">
        <f t="shared" si="104"/>
        <v>0</v>
      </c>
      <c r="D125" s="600">
        <f t="shared" si="104"/>
        <v>0</v>
      </c>
      <c r="E125" s="600">
        <f t="shared" si="104"/>
        <v>0</v>
      </c>
      <c r="F125" s="600">
        <f t="shared" si="104"/>
        <v>0</v>
      </c>
      <c r="G125" s="600">
        <f t="shared" si="104"/>
        <v>0</v>
      </c>
      <c r="H125" s="600">
        <f t="shared" si="104"/>
        <v>0</v>
      </c>
      <c r="I125" s="600">
        <f t="shared" si="104"/>
        <v>0</v>
      </c>
      <c r="K125" s="600">
        <f t="shared" si="105"/>
        <v>0</v>
      </c>
      <c r="L125" s="600">
        <f t="shared" si="105"/>
        <v>0</v>
      </c>
      <c r="M125" s="600">
        <f t="shared" si="105"/>
        <v>0</v>
      </c>
      <c r="N125" s="600">
        <f t="shared" si="105"/>
        <v>0</v>
      </c>
      <c r="O125" s="600">
        <f t="shared" si="105"/>
        <v>0</v>
      </c>
      <c r="P125" s="600">
        <f t="shared" si="105"/>
        <v>0</v>
      </c>
      <c r="Q125" s="600">
        <f t="shared" si="105"/>
        <v>0</v>
      </c>
      <c r="R125" s="600">
        <f t="shared" si="105"/>
        <v>0</v>
      </c>
      <c r="T125" s="582" t="s">
        <v>1060</v>
      </c>
      <c r="U125" s="600">
        <f t="shared" si="106"/>
        <v>0</v>
      </c>
      <c r="V125" s="600">
        <f t="shared" si="106"/>
        <v>0</v>
      </c>
      <c r="W125" s="600">
        <f t="shared" si="106"/>
        <v>0</v>
      </c>
      <c r="X125" s="600">
        <f t="shared" si="106"/>
        <v>0</v>
      </c>
      <c r="Y125" s="600">
        <f t="shared" si="106"/>
        <v>0</v>
      </c>
      <c r="Z125" s="600">
        <f t="shared" si="106"/>
        <v>0</v>
      </c>
      <c r="AA125" s="600">
        <f t="shared" si="106"/>
        <v>0</v>
      </c>
      <c r="AB125" s="600">
        <f t="shared" si="106"/>
        <v>0</v>
      </c>
    </row>
    <row r="126" spans="1:28" x14ac:dyDescent="0.2">
      <c r="A126" s="582" t="s">
        <v>1047</v>
      </c>
      <c r="B126" s="600">
        <f t="shared" si="104"/>
        <v>2.5256774360443184</v>
      </c>
      <c r="C126" s="600">
        <f t="shared" si="104"/>
        <v>11.405056494108162</v>
      </c>
      <c r="D126" s="600">
        <f t="shared" si="104"/>
        <v>61.845716117816515</v>
      </c>
      <c r="E126" s="600">
        <f t="shared" si="104"/>
        <v>0</v>
      </c>
      <c r="F126" s="600">
        <f t="shared" si="104"/>
        <v>0</v>
      </c>
      <c r="G126" s="600">
        <f t="shared" si="104"/>
        <v>0</v>
      </c>
      <c r="H126" s="600">
        <f t="shared" si="104"/>
        <v>0</v>
      </c>
      <c r="I126" s="600">
        <f t="shared" si="104"/>
        <v>0</v>
      </c>
      <c r="K126" s="600">
        <f t="shared" si="105"/>
        <v>-1.450564666870283E-2</v>
      </c>
      <c r="L126" s="600">
        <f t="shared" si="105"/>
        <v>-3.6120703215563668E-2</v>
      </c>
      <c r="M126" s="600">
        <f t="shared" si="105"/>
        <v>-0.17210600070407264</v>
      </c>
      <c r="N126" s="600">
        <f t="shared" si="105"/>
        <v>0</v>
      </c>
      <c r="O126" s="600">
        <f t="shared" si="105"/>
        <v>0</v>
      </c>
      <c r="P126" s="600">
        <f t="shared" si="105"/>
        <v>0</v>
      </c>
      <c r="Q126" s="600">
        <f t="shared" si="105"/>
        <v>0</v>
      </c>
      <c r="R126" s="600">
        <f t="shared" si="105"/>
        <v>0</v>
      </c>
      <c r="T126" s="582" t="s">
        <v>1047</v>
      </c>
      <c r="U126" s="600">
        <f t="shared" si="106"/>
        <v>2.5111717893756156</v>
      </c>
      <c r="V126" s="600">
        <f t="shared" si="106"/>
        <v>11.3689357908926</v>
      </c>
      <c r="W126" s="600">
        <f t="shared" si="106"/>
        <v>61.673610117112446</v>
      </c>
      <c r="X126" s="600">
        <f t="shared" si="106"/>
        <v>0</v>
      </c>
      <c r="Y126" s="600">
        <f t="shared" si="106"/>
        <v>0</v>
      </c>
      <c r="Z126" s="600">
        <f t="shared" si="106"/>
        <v>0</v>
      </c>
      <c r="AA126" s="600">
        <f t="shared" si="106"/>
        <v>0</v>
      </c>
      <c r="AB126" s="600">
        <f t="shared" si="106"/>
        <v>0</v>
      </c>
    </row>
    <row r="127" spans="1:28" x14ac:dyDescent="0.2">
      <c r="A127" s="582" t="s">
        <v>2743</v>
      </c>
      <c r="B127" s="600">
        <f t="shared" si="104"/>
        <v>0</v>
      </c>
      <c r="C127" s="600">
        <f t="shared" si="104"/>
        <v>0</v>
      </c>
      <c r="D127" s="600">
        <f t="shared" si="104"/>
        <v>0</v>
      </c>
      <c r="E127" s="600">
        <f t="shared" si="104"/>
        <v>19.788995574828135</v>
      </c>
      <c r="F127" s="600">
        <f t="shared" si="104"/>
        <v>14.490266748072019</v>
      </c>
      <c r="G127" s="600">
        <f t="shared" si="104"/>
        <v>4.1584015235918512</v>
      </c>
      <c r="H127" s="600">
        <f t="shared" si="104"/>
        <v>0.3032196438730807</v>
      </c>
      <c r="I127" s="600">
        <f t="shared" si="104"/>
        <v>10.820959118986245</v>
      </c>
      <c r="K127" s="600">
        <f t="shared" si="105"/>
        <v>0</v>
      </c>
      <c r="L127" s="600">
        <f t="shared" si="105"/>
        <v>0</v>
      </c>
      <c r="M127" s="600">
        <f t="shared" si="105"/>
        <v>0</v>
      </c>
      <c r="N127" s="600">
        <f t="shared" si="105"/>
        <v>-8.3214949392774157E-2</v>
      </c>
      <c r="O127" s="600">
        <f t="shared" si="105"/>
        <v>-5.7484678438943837E-2</v>
      </c>
      <c r="P127" s="600">
        <f t="shared" si="105"/>
        <v>-1.5381637423999483E-2</v>
      </c>
      <c r="Q127" s="600">
        <f t="shared" si="105"/>
        <v>-1.1497989566535507E-3</v>
      </c>
      <c r="R127" s="600">
        <f t="shared" si="105"/>
        <v>-4.15074592180254E-2</v>
      </c>
      <c r="T127" s="582" t="s">
        <v>2743</v>
      </c>
      <c r="U127" s="600">
        <f t="shared" si="106"/>
        <v>0</v>
      </c>
      <c r="V127" s="600">
        <f t="shared" si="106"/>
        <v>0</v>
      </c>
      <c r="W127" s="600">
        <f t="shared" si="106"/>
        <v>0</v>
      </c>
      <c r="X127" s="600">
        <f t="shared" si="106"/>
        <v>19.705780625435363</v>
      </c>
      <c r="Y127" s="600">
        <f t="shared" si="106"/>
        <v>14.432782069633074</v>
      </c>
      <c r="Z127" s="600">
        <f t="shared" si="106"/>
        <v>4.1430198861678518</v>
      </c>
      <c r="AA127" s="600">
        <f t="shared" si="106"/>
        <v>0.30206984491642713</v>
      </c>
      <c r="AB127" s="600">
        <f t="shared" si="106"/>
        <v>10.77945165976822</v>
      </c>
    </row>
    <row r="128" spans="1:28" x14ac:dyDescent="0.2">
      <c r="A128" s="584" t="s">
        <v>3051</v>
      </c>
    </row>
    <row r="129" spans="1:28" ht="13.5" thickBot="1" x14ac:dyDescent="0.25">
      <c r="A129" s="585" t="s">
        <v>639</v>
      </c>
      <c r="B129" s="610">
        <f t="shared" ref="B129:I129" si="107">SUM(B104:B128)</f>
        <v>137.06214488064114</v>
      </c>
      <c r="C129" s="610">
        <f t="shared" si="107"/>
        <v>180.19015920338555</v>
      </c>
      <c r="D129" s="610">
        <f t="shared" si="107"/>
        <v>305.44465901879539</v>
      </c>
      <c r="E129" s="610">
        <f t="shared" si="107"/>
        <v>119.58791383625667</v>
      </c>
      <c r="F129" s="610">
        <f t="shared" si="107"/>
        <v>62.213014798101945</v>
      </c>
      <c r="G129" s="610">
        <f t="shared" si="107"/>
        <v>72.669302372269257</v>
      </c>
      <c r="H129" s="610">
        <f t="shared" si="107"/>
        <v>42.323947392273247</v>
      </c>
      <c r="I129" s="610">
        <f t="shared" si="107"/>
        <v>103.21354529250996</v>
      </c>
      <c r="K129" s="610">
        <f t="shared" ref="K129:R129" si="108">SUM(K104:K128)</f>
        <v>-0.55421224310628725</v>
      </c>
      <c r="L129" s="610">
        <f t="shared" si="108"/>
        <v>-1.1604164507418435</v>
      </c>
      <c r="M129" s="610">
        <f t="shared" si="108"/>
        <v>-0.85000000000000009</v>
      </c>
      <c r="N129" s="610">
        <f t="shared" si="108"/>
        <v>-0.50288061161274789</v>
      </c>
      <c r="O129" s="610">
        <f t="shared" si="108"/>
        <v>-0.24680671602280779</v>
      </c>
      <c r="P129" s="610">
        <f t="shared" si="108"/>
        <v>-0.26879868492827658</v>
      </c>
      <c r="Q129" s="610">
        <f t="shared" si="108"/>
        <v>-0.16049102205747909</v>
      </c>
      <c r="R129" s="610">
        <f t="shared" si="108"/>
        <v>-0.39591056346011133</v>
      </c>
      <c r="T129" s="585" t="s">
        <v>639</v>
      </c>
      <c r="U129" s="610">
        <f t="shared" ref="U129:AB129" si="109">SUM(U104:U128)</f>
        <v>136.50793263753488</v>
      </c>
      <c r="V129" s="610">
        <f t="shared" si="109"/>
        <v>179.0297427526437</v>
      </c>
      <c r="W129" s="610">
        <f t="shared" si="109"/>
        <v>304.59465901879537</v>
      </c>
      <c r="X129" s="610">
        <f t="shared" si="109"/>
        <v>119.08503322464392</v>
      </c>
      <c r="Y129" s="610">
        <f t="shared" si="109"/>
        <v>61.966208082079135</v>
      </c>
      <c r="Z129" s="610">
        <f t="shared" si="109"/>
        <v>72.400503687340972</v>
      </c>
      <c r="AA129" s="610">
        <f t="shared" si="109"/>
        <v>42.163456370215769</v>
      </c>
      <c r="AB129" s="610">
        <f t="shared" si="109"/>
        <v>102.81763472904984</v>
      </c>
    </row>
  </sheetData>
  <mergeCells count="2">
    <mergeCell ref="A66:A67"/>
    <mergeCell ref="A35:A36"/>
  </mergeCells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 filterMode="1">
    <tabColor rgb="FFFF0000"/>
    <pageSetUpPr fitToPage="1"/>
  </sheetPr>
  <dimension ref="A1:BS406"/>
  <sheetViews>
    <sheetView showGridLines="0" zoomScale="80" zoomScaleNormal="80" workbookViewId="0">
      <pane xSplit="4" ySplit="25" topLeftCell="E26" activePane="bottomRight" state="frozen"/>
      <selection activeCell="B6" sqref="B6"/>
      <selection pane="topRight" activeCell="B6" sqref="B6"/>
      <selection pane="bottomLeft" activeCell="B6" sqref="B6"/>
      <selection pane="bottomRight" activeCell="E225" sqref="E225"/>
    </sheetView>
  </sheetViews>
  <sheetFormatPr defaultColWidth="9.140625" defaultRowHeight="10.5" outlineLevelRow="1" outlineLevelCol="2" x14ac:dyDescent="0.15"/>
  <cols>
    <col min="1" max="1" width="14.5703125" style="1" customWidth="1"/>
    <col min="2" max="2" width="52.140625" style="1" customWidth="1"/>
    <col min="3" max="3" width="17.28515625" style="1" customWidth="1" outlineLevel="1"/>
    <col min="4" max="4" width="21.28515625" style="1" customWidth="1"/>
    <col min="5" max="5" width="14.28515625" style="1" customWidth="1" outlineLevel="1"/>
    <col min="6" max="12" width="12.140625" style="1" customWidth="1" outlineLevel="1"/>
    <col min="13" max="13" width="12.140625" style="88" customWidth="1" outlineLevel="1" collapsed="1"/>
    <col min="14" max="15" width="12.140625" style="88" customWidth="1" outlineLevel="1"/>
    <col min="16" max="16" width="14.42578125" style="88" customWidth="1"/>
    <col min="17" max="17" width="15.28515625" style="88" customWidth="1"/>
    <col min="18" max="19" width="13.85546875" style="88" bestFit="1" customWidth="1"/>
    <col min="20" max="20" width="14.28515625" style="88" bestFit="1" customWidth="1"/>
    <col min="21" max="21" width="13.85546875" style="88" bestFit="1" customWidth="1"/>
    <col min="22" max="23" width="14.28515625" style="88" bestFit="1" customWidth="1"/>
    <col min="24" max="24" width="10.7109375" style="88" customWidth="1" outlineLevel="1"/>
    <col min="25" max="25" width="12.140625" style="1" customWidth="1" outlineLevel="1"/>
    <col min="26" max="26" width="12.140625" style="1" hidden="1" customWidth="1" outlineLevel="2"/>
    <col min="27" max="27" width="12.85546875" style="1" hidden="1" customWidth="1" outlineLevel="2"/>
    <col min="28" max="28" width="13.42578125" style="1" hidden="1" customWidth="1" outlineLevel="2"/>
    <col min="29" max="29" width="14.85546875" style="24" hidden="1" customWidth="1" outlineLevel="2"/>
    <col min="30" max="30" width="9.140625" style="1" customWidth="1" outlineLevel="1" collapsed="1"/>
    <col min="31" max="31" width="9.85546875" style="1" customWidth="1" outlineLevel="1"/>
    <col min="32" max="32" width="9.140625" style="1" customWidth="1" outlineLevel="1"/>
    <col min="33" max="33" width="11.28515625" style="1" customWidth="1" outlineLevel="2"/>
    <col min="34" max="34" width="14.5703125" style="1" customWidth="1" outlineLevel="1"/>
    <col min="35" max="35" width="11.28515625" style="1" customWidth="1" outlineLevel="1"/>
    <col min="36" max="36" width="48" style="1" customWidth="1" outlineLevel="1"/>
    <col min="37" max="37" width="14.140625" style="1" customWidth="1" outlineLevel="2"/>
    <col min="38" max="55" width="13.140625" style="1" customWidth="1" outlineLevel="2"/>
    <col min="56" max="56" width="15" style="1" customWidth="1" outlineLevel="2" collapsed="1"/>
    <col min="57" max="57" width="13.140625" style="1" customWidth="1" outlineLevel="1"/>
    <col min="58" max="58" width="11.7109375" style="1" customWidth="1" outlineLevel="1"/>
    <col min="59" max="65" width="11.28515625" style="1" customWidth="1" outlineLevel="1"/>
    <col min="66" max="66" width="11" style="1" customWidth="1" outlineLevel="1"/>
    <col min="67" max="67" width="9.140625" style="1"/>
    <col min="68" max="68" width="11.28515625" style="1" customWidth="1"/>
    <col min="69" max="69" width="10.7109375" style="1" bestFit="1" customWidth="1"/>
    <col min="70" max="16384" width="9.140625" style="1"/>
  </cols>
  <sheetData>
    <row r="1" spans="1:69" ht="15" customHeight="1" x14ac:dyDescent="0.15">
      <c r="B1" s="912" t="s">
        <v>3049</v>
      </c>
      <c r="C1" s="912"/>
      <c r="D1" s="912"/>
      <c r="M1" s="1"/>
      <c r="O1" s="1"/>
      <c r="P1" s="1"/>
      <c r="Q1" s="1"/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/>
      <c r="AE1" s="26">
        <v>31</v>
      </c>
      <c r="AH1" s="26">
        <f>COLUMN()</f>
        <v>34</v>
      </c>
      <c r="AL1" s="35">
        <f>COLUMN()</f>
        <v>38</v>
      </c>
      <c r="AM1" s="35">
        <f>COLUMN()</f>
        <v>39</v>
      </c>
      <c r="AN1" s="35">
        <f>COLUMN()</f>
        <v>40</v>
      </c>
      <c r="AO1" s="35">
        <f>COLUMN()</f>
        <v>41</v>
      </c>
      <c r="AP1" s="35">
        <f>COLUMN()</f>
        <v>42</v>
      </c>
      <c r="AQ1" s="35">
        <f>COLUMN()</f>
        <v>43</v>
      </c>
      <c r="AR1" s="35">
        <f>COLUMN()</f>
        <v>44</v>
      </c>
      <c r="AS1" s="35">
        <f>COLUMN()</f>
        <v>45</v>
      </c>
      <c r="AT1" s="35">
        <f>COLUMN()</f>
        <v>46</v>
      </c>
      <c r="AU1" s="35">
        <f>COLUMN()</f>
        <v>47</v>
      </c>
      <c r="AV1" s="35">
        <f>COLUMN()</f>
        <v>48</v>
      </c>
      <c r="AW1" s="35">
        <f>COLUMN()</f>
        <v>49</v>
      </c>
      <c r="AX1" s="35">
        <f>COLUMN()</f>
        <v>50</v>
      </c>
      <c r="AY1" s="35">
        <f>COLUMN()</f>
        <v>51</v>
      </c>
      <c r="AZ1" s="35">
        <f>COLUMN()</f>
        <v>52</v>
      </c>
      <c r="BA1" s="35">
        <f>COLUMN()</f>
        <v>53</v>
      </c>
      <c r="BB1" s="35">
        <f>COLUMN()</f>
        <v>54</v>
      </c>
      <c r="BC1" s="35">
        <f>COLUMN()</f>
        <v>55</v>
      </c>
      <c r="BD1" s="35">
        <f>COLUMN()</f>
        <v>56</v>
      </c>
      <c r="BE1" s="35">
        <f>COLUMN()</f>
        <v>57</v>
      </c>
      <c r="BP1" s="26">
        <f>COLUMN()</f>
        <v>68</v>
      </c>
      <c r="BQ1" s="1" t="s">
        <v>3158</v>
      </c>
    </row>
    <row r="2" spans="1:69" ht="15" customHeight="1" x14ac:dyDescent="0.15">
      <c r="B2" s="912"/>
      <c r="C2" s="912"/>
      <c r="D2" s="912"/>
      <c r="N2" s="657"/>
      <c r="O2" s="1"/>
      <c r="P2" s="1"/>
      <c r="Q2" s="58">
        <v>7</v>
      </c>
      <c r="R2" s="103">
        <f>Q2+1</f>
        <v>8</v>
      </c>
      <c r="S2" s="58">
        <f t="shared" ref="S2:W2" si="0">R2+1</f>
        <v>9</v>
      </c>
      <c r="T2" s="58">
        <f t="shared" si="0"/>
        <v>10</v>
      </c>
      <c r="U2" s="58">
        <f t="shared" si="0"/>
        <v>11</v>
      </c>
      <c r="V2" s="58">
        <f t="shared" si="0"/>
        <v>12</v>
      </c>
      <c r="W2" s="103">
        <f t="shared" si="0"/>
        <v>13</v>
      </c>
      <c r="X2" s="58"/>
    </row>
    <row r="3" spans="1:69" ht="23.25" outlineLevel="1" thickBot="1" x14ac:dyDescent="0.2">
      <c r="A3" s="35"/>
      <c r="F3" s="61"/>
      <c r="G3" s="61"/>
      <c r="H3" s="61"/>
      <c r="I3" s="61"/>
      <c r="J3" s="61"/>
      <c r="K3" s="61"/>
      <c r="L3" s="61"/>
      <c r="M3" s="89"/>
      <c r="N3" s="658"/>
      <c r="O3" s="61"/>
      <c r="P3" s="61">
        <v>167030089.01999998</v>
      </c>
      <c r="Q3" s="61"/>
      <c r="R3" s="93"/>
      <c r="S3" s="89"/>
      <c r="T3" s="61"/>
      <c r="U3" s="61"/>
      <c r="V3" s="61"/>
      <c r="W3" s="93"/>
      <c r="X3" s="89"/>
      <c r="Y3" s="400" t="s">
        <v>2978</v>
      </c>
      <c r="AC3" s="1"/>
      <c r="AK3" s="24"/>
    </row>
    <row r="4" spans="1:69" ht="12.75" outlineLevel="1" x14ac:dyDescent="0.15">
      <c r="A4" s="35"/>
      <c r="F4" s="61"/>
      <c r="G4" s="61"/>
      <c r="H4" s="61"/>
      <c r="I4" s="61"/>
      <c r="J4" s="61"/>
      <c r="K4" s="61"/>
      <c r="L4" s="61"/>
      <c r="M4" s="89"/>
      <c r="N4" s="658"/>
      <c r="O4" s="61"/>
      <c r="P4" s="61">
        <f>P3-P7</f>
        <v>167030089.01999998</v>
      </c>
      <c r="Q4" s="61"/>
      <c r="R4" s="93"/>
      <c r="S4" s="89"/>
      <c r="T4" s="61"/>
      <c r="U4" s="61"/>
      <c r="V4" s="61"/>
      <c r="W4" s="93"/>
      <c r="X4" s="89"/>
      <c r="Y4" s="811"/>
      <c r="AA4" s="114" t="s">
        <v>3018</v>
      </c>
      <c r="AB4" s="522"/>
      <c r="AC4" s="1"/>
      <c r="AK4" s="24"/>
      <c r="AL4" s="817" t="s">
        <v>3015</v>
      </c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</row>
    <row r="5" spans="1:69" ht="55.5" customHeight="1" outlineLevel="1" x14ac:dyDescent="0.15">
      <c r="A5" s="35"/>
      <c r="F5" s="61"/>
      <c r="G5" s="61"/>
      <c r="H5" s="61"/>
      <c r="I5" s="61"/>
      <c r="J5" s="61"/>
      <c r="K5" s="61"/>
      <c r="L5" s="61"/>
      <c r="M5" s="89"/>
      <c r="N5" s="658"/>
      <c r="O5" s="61"/>
      <c r="P5" s="61"/>
      <c r="Q5" s="61"/>
      <c r="R5" s="93"/>
      <c r="S5" s="89"/>
      <c r="T5" s="61"/>
      <c r="U5" s="61"/>
      <c r="V5" s="61"/>
      <c r="W5" s="93"/>
      <c r="X5" s="89"/>
      <c r="Y5" s="811"/>
      <c r="AA5" s="523" t="s">
        <v>2990</v>
      </c>
      <c r="AB5" s="524" t="s">
        <v>3019</v>
      </c>
      <c r="AC5" s="1"/>
      <c r="AK5" s="24"/>
      <c r="AL5" s="17" t="s">
        <v>1031</v>
      </c>
      <c r="AM5" s="17" t="s">
        <v>1032</v>
      </c>
      <c r="AN5" s="17" t="s">
        <v>1033</v>
      </c>
      <c r="AO5" s="17" t="s">
        <v>1034</v>
      </c>
      <c r="AP5" s="17" t="s">
        <v>1035</v>
      </c>
      <c r="AQ5" s="17" t="s">
        <v>854</v>
      </c>
      <c r="AR5" s="17" t="s">
        <v>1036</v>
      </c>
      <c r="AS5" s="17" t="s">
        <v>1037</v>
      </c>
      <c r="AT5" s="17" t="s">
        <v>41</v>
      </c>
      <c r="AU5" s="17" t="s">
        <v>1038</v>
      </c>
      <c r="AV5" s="17" t="s">
        <v>1039</v>
      </c>
      <c r="AW5" s="17" t="s">
        <v>1040</v>
      </c>
      <c r="AX5" s="17" t="s">
        <v>1041</v>
      </c>
      <c r="AY5" s="17" t="s">
        <v>1042</v>
      </c>
      <c r="AZ5" s="17" t="s">
        <v>1043</v>
      </c>
      <c r="BA5" s="17" t="s">
        <v>1044</v>
      </c>
      <c r="BB5" s="17" t="s">
        <v>1045</v>
      </c>
      <c r="BC5" s="17" t="s">
        <v>1046</v>
      </c>
      <c r="BD5" s="18" t="s">
        <v>1047</v>
      </c>
      <c r="BE5" s="816" t="s">
        <v>3064</v>
      </c>
    </row>
    <row r="6" spans="1:69" ht="11.25" outlineLevel="1" x14ac:dyDescent="0.15">
      <c r="A6" s="35"/>
      <c r="F6" s="61"/>
      <c r="G6" s="61"/>
      <c r="H6" s="61"/>
      <c r="I6" s="61"/>
      <c r="J6" s="61"/>
      <c r="K6" s="61"/>
      <c r="L6" s="61"/>
      <c r="M6" s="89"/>
      <c r="N6" s="658"/>
      <c r="O6" s="61"/>
      <c r="P6" s="61"/>
      <c r="Q6" s="61"/>
      <c r="R6" s="93"/>
      <c r="S6" s="89"/>
      <c r="T6" s="61"/>
      <c r="U6" s="61"/>
      <c r="V6" s="61"/>
      <c r="W6" s="93"/>
      <c r="X6" s="89"/>
      <c r="Y6" s="811"/>
      <c r="AA6" s="523"/>
      <c r="AB6" s="524"/>
      <c r="AC6" s="1"/>
      <c r="AK6" s="24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8"/>
      <c r="BE6" s="816"/>
    </row>
    <row r="7" spans="1:69" outlineLevel="1" x14ac:dyDescent="0.15">
      <c r="B7" s="887"/>
      <c r="C7" s="888"/>
      <c r="D7" s="439">
        <v>2016</v>
      </c>
      <c r="E7" s="470"/>
      <c r="F7" s="99"/>
      <c r="G7" s="470"/>
      <c r="H7" s="470"/>
      <c r="I7" s="470"/>
      <c r="J7" s="470"/>
      <c r="K7" s="470"/>
      <c r="L7" s="99"/>
      <c r="M7" s="99"/>
      <c r="N7" s="659"/>
      <c r="O7" s="471"/>
      <c r="P7" s="47">
        <f>SUM($AL7:$BE7)</f>
        <v>0</v>
      </c>
      <c r="Q7" s="48"/>
      <c r="R7" s="104"/>
      <c r="S7" s="99"/>
      <c r="T7" s="48"/>
      <c r="U7" s="48"/>
      <c r="V7" s="48"/>
      <c r="W7" s="104"/>
      <c r="X7" s="41"/>
      <c r="Y7" s="56">
        <f t="shared" ref="Y7:Y14" si="1">SUM(P7:X7)</f>
        <v>0</v>
      </c>
      <c r="Z7" s="3"/>
      <c r="AA7" s="525"/>
      <c r="AB7" s="526"/>
      <c r="AC7" s="1"/>
      <c r="AK7" s="24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69" outlineLevel="1" x14ac:dyDescent="0.15">
      <c r="B8" s="42"/>
      <c r="C8" s="43"/>
      <c r="D8" s="42">
        <v>2017</v>
      </c>
      <c r="E8" s="40"/>
      <c r="F8" s="41"/>
      <c r="G8" s="40"/>
      <c r="H8" s="40"/>
      <c r="I8" s="40"/>
      <c r="J8" s="40"/>
      <c r="K8" s="40"/>
      <c r="L8" s="41"/>
      <c r="M8" s="41"/>
      <c r="N8" s="660"/>
      <c r="O8" s="472"/>
      <c r="P8" s="49"/>
      <c r="Q8" s="41">
        <f>SUM($AL8:$BE8)</f>
        <v>0</v>
      </c>
      <c r="R8" s="94"/>
      <c r="S8" s="41"/>
      <c r="T8" s="41"/>
      <c r="U8" s="41"/>
      <c r="V8" s="41"/>
      <c r="W8" s="94"/>
      <c r="X8" s="41"/>
      <c r="Y8" s="56">
        <f t="shared" si="1"/>
        <v>0</v>
      </c>
      <c r="Z8" s="3"/>
      <c r="AA8" s="525">
        <f>SUMIFS($AB$26:$AB$372,$AF$26:$AF$372,D8)</f>
        <v>75944362.710129082</v>
      </c>
      <c r="AB8" s="526">
        <f>VLOOKUP(D8,Commissioned!$B$5:$J$15,9,FALSE)</f>
        <v>75944362.710129097</v>
      </c>
      <c r="AC8" s="1"/>
      <c r="AK8" s="24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69" outlineLevel="1" x14ac:dyDescent="0.15">
      <c r="B9" s="42" t="s">
        <v>3113</v>
      </c>
      <c r="C9" s="43"/>
      <c r="D9" s="42">
        <v>2018</v>
      </c>
      <c r="E9" s="40"/>
      <c r="F9" s="41"/>
      <c r="G9" s="40"/>
      <c r="H9" s="40"/>
      <c r="I9" s="40"/>
      <c r="J9" s="40"/>
      <c r="K9" s="40"/>
      <c r="L9" s="41"/>
      <c r="M9" s="41"/>
      <c r="N9" s="660"/>
      <c r="O9" s="472"/>
      <c r="P9" s="49"/>
      <c r="Q9" s="41"/>
      <c r="R9" s="94">
        <f>SUM($AL9:$BE9)</f>
        <v>175398641.66690776</v>
      </c>
      <c r="S9" s="41"/>
      <c r="T9" s="41"/>
      <c r="U9" s="41"/>
      <c r="V9" s="41"/>
      <c r="W9" s="94"/>
      <c r="X9" s="41"/>
      <c r="Y9" s="56">
        <f t="shared" si="1"/>
        <v>175398641.66690776</v>
      </c>
      <c r="Z9" s="3"/>
      <c r="AA9" s="525">
        <f t="shared" ref="AA9:AA14" si="2">SUMIFS($AB$26:$AB$372,$AF$26:$AF$372,D9)</f>
        <v>289035860.35810894</v>
      </c>
      <c r="AB9" s="526">
        <f>VLOOKUP(D9,Commissioned!$B$5:$J$15,9,FALSE)</f>
        <v>289035860.35810888</v>
      </c>
      <c r="AC9" s="1"/>
      <c r="AK9" s="24" t="s">
        <v>2278</v>
      </c>
      <c r="AL9" s="3">
        <f t="shared" ref="AL9:BE9" si="3">SUMPRODUCT(AL$26:AL$372,$R$26:$R$372)</f>
        <v>8257895.3132698983</v>
      </c>
      <c r="AM9" s="3">
        <f t="shared" si="3"/>
        <v>8292785.9073526859</v>
      </c>
      <c r="AN9" s="3">
        <f t="shared" si="3"/>
        <v>11842330.927555509</v>
      </c>
      <c r="AO9" s="3">
        <f t="shared" si="3"/>
        <v>26723469.852778595</v>
      </c>
      <c r="AP9" s="3">
        <f t="shared" si="3"/>
        <v>947956.9857098402</v>
      </c>
      <c r="AQ9" s="3">
        <f t="shared" si="3"/>
        <v>812696.24477011815</v>
      </c>
      <c r="AR9" s="3">
        <f t="shared" si="3"/>
        <v>2228421.7324139401</v>
      </c>
      <c r="AS9" s="3">
        <f t="shared" si="3"/>
        <v>7626895.6331818057</v>
      </c>
      <c r="AT9" s="3">
        <f t="shared" si="3"/>
        <v>0</v>
      </c>
      <c r="AU9" s="3">
        <f t="shared" si="3"/>
        <v>32823605.89892941</v>
      </c>
      <c r="AV9" s="3">
        <f t="shared" si="3"/>
        <v>4197638.8691801736</v>
      </c>
      <c r="AW9" s="3">
        <f t="shared" si="3"/>
        <v>17673381.070009168</v>
      </c>
      <c r="AX9" s="3">
        <f t="shared" si="3"/>
        <v>393702.21690992219</v>
      </c>
      <c r="AY9" s="3">
        <f t="shared" si="3"/>
        <v>0</v>
      </c>
      <c r="AZ9" s="3">
        <f t="shared" si="3"/>
        <v>27926795.923199043</v>
      </c>
      <c r="BA9" s="3">
        <f t="shared" si="3"/>
        <v>6334497.8047102802</v>
      </c>
      <c r="BB9" s="3">
        <f t="shared" si="3"/>
        <v>1645273.4750393806</v>
      </c>
      <c r="BC9" s="3">
        <f t="shared" si="3"/>
        <v>0</v>
      </c>
      <c r="BD9" s="3">
        <f t="shared" si="3"/>
        <v>9676558.8798211236</v>
      </c>
      <c r="BE9" s="3">
        <f t="shared" si="3"/>
        <v>7994734.9320768593</v>
      </c>
      <c r="BF9" s="3">
        <f t="shared" ref="BF9:BF14" si="4">SUM(AL9:BE9)</f>
        <v>175398641.66690776</v>
      </c>
    </row>
    <row r="10" spans="1:69" outlineLevel="1" x14ac:dyDescent="0.15">
      <c r="B10" s="42"/>
      <c r="C10" s="43"/>
      <c r="D10" s="42">
        <v>2019</v>
      </c>
      <c r="E10" s="40"/>
      <c r="F10" s="41"/>
      <c r="G10" s="40"/>
      <c r="H10" s="40"/>
      <c r="I10" s="40"/>
      <c r="J10" s="40"/>
      <c r="K10" s="40"/>
      <c r="L10" s="41"/>
      <c r="M10" s="41"/>
      <c r="N10" s="660"/>
      <c r="O10" s="472"/>
      <c r="P10" s="49"/>
      <c r="Q10" s="41"/>
      <c r="R10" s="94"/>
      <c r="S10" s="41">
        <f>SUM($AL10:$BE10)</f>
        <v>99542516.434863344</v>
      </c>
      <c r="T10" s="41"/>
      <c r="U10" s="41"/>
      <c r="V10" s="41"/>
      <c r="W10" s="94"/>
      <c r="X10" s="41"/>
      <c r="Y10" s="56">
        <f t="shared" si="1"/>
        <v>99542516.434863344</v>
      </c>
      <c r="Z10" s="3"/>
      <c r="AA10" s="525">
        <f t="shared" si="2"/>
        <v>125056152.36477566</v>
      </c>
      <c r="AB10" s="526">
        <f>VLOOKUP(D10,Commissioned!$B$5:$J$15,9,FALSE)</f>
        <v>125056152.36477566</v>
      </c>
      <c r="AC10" s="1"/>
      <c r="AK10" s="24" t="s">
        <v>2279</v>
      </c>
      <c r="AL10" s="3">
        <f t="shared" ref="AL10:BE10" si="5">SUMPRODUCT(AL$26:AL$372,$S$26:$S$372)</f>
        <v>1599275.5166384412</v>
      </c>
      <c r="AM10" s="3">
        <f t="shared" si="5"/>
        <v>2937850.4706278178</v>
      </c>
      <c r="AN10" s="3">
        <f t="shared" si="5"/>
        <v>13897740.965147903</v>
      </c>
      <c r="AO10" s="3">
        <f t="shared" si="5"/>
        <v>17708828.858887304</v>
      </c>
      <c r="AP10" s="3">
        <f t="shared" si="5"/>
        <v>4968.8915061598245</v>
      </c>
      <c r="AQ10" s="3">
        <f t="shared" si="5"/>
        <v>54520.958367770916</v>
      </c>
      <c r="AR10" s="3">
        <f t="shared" si="5"/>
        <v>489212.39543664502</v>
      </c>
      <c r="AS10" s="3">
        <f t="shared" si="5"/>
        <v>569276.82539653999</v>
      </c>
      <c r="AT10" s="3">
        <f t="shared" si="5"/>
        <v>0</v>
      </c>
      <c r="AU10" s="3">
        <f t="shared" si="5"/>
        <v>17227319.884494849</v>
      </c>
      <c r="AV10" s="3">
        <f t="shared" si="5"/>
        <v>2276798.1843535085</v>
      </c>
      <c r="AW10" s="3">
        <f t="shared" si="5"/>
        <v>14850294.843846034</v>
      </c>
      <c r="AX10" s="3">
        <f t="shared" si="5"/>
        <v>809954.68166213832</v>
      </c>
      <c r="AY10" s="3">
        <f t="shared" si="5"/>
        <v>0</v>
      </c>
      <c r="AZ10" s="3">
        <f t="shared" si="5"/>
        <v>15422028.291641926</v>
      </c>
      <c r="BA10" s="3">
        <f t="shared" si="5"/>
        <v>1088528.3219242969</v>
      </c>
      <c r="BB10" s="3">
        <f t="shared" si="5"/>
        <v>349042.01798978902</v>
      </c>
      <c r="BC10" s="3">
        <f t="shared" si="5"/>
        <v>0</v>
      </c>
      <c r="BD10" s="3">
        <f t="shared" si="5"/>
        <v>23770.98660501001</v>
      </c>
      <c r="BE10" s="3">
        <f t="shared" si="5"/>
        <v>10233104.340337219</v>
      </c>
      <c r="BF10" s="3">
        <f t="shared" si="4"/>
        <v>99542516.434863344</v>
      </c>
    </row>
    <row r="11" spans="1:69" outlineLevel="1" x14ac:dyDescent="0.15">
      <c r="B11" s="910" t="s">
        <v>3159</v>
      </c>
      <c r="C11" s="911"/>
      <c r="D11" s="42">
        <v>2020</v>
      </c>
      <c r="E11" s="40"/>
      <c r="F11" s="41"/>
      <c r="G11" s="40"/>
      <c r="H11" s="40"/>
      <c r="I11" s="40"/>
      <c r="J11" s="40"/>
      <c r="K11" s="40"/>
      <c r="L11" s="41"/>
      <c r="M11" s="41"/>
      <c r="N11" s="660"/>
      <c r="O11" s="472"/>
      <c r="P11" s="49"/>
      <c r="Q11" s="41"/>
      <c r="R11" s="94"/>
      <c r="S11" s="41"/>
      <c r="T11" s="41">
        <f>SUM($AL11:$BE11)</f>
        <v>105271828.7609424</v>
      </c>
      <c r="U11" s="41"/>
      <c r="V11" s="41"/>
      <c r="W11" s="94"/>
      <c r="X11" s="41"/>
      <c r="Y11" s="56">
        <f t="shared" si="1"/>
        <v>105271828.7609424</v>
      </c>
      <c r="Z11" s="3"/>
      <c r="AA11" s="525">
        <f t="shared" si="2"/>
        <v>72738034.6651804</v>
      </c>
      <c r="AB11" s="526">
        <f>VLOOKUP(D11,Commissioned!$B$5:$J$15,9,FALSE)</f>
        <v>72738034.6651804</v>
      </c>
      <c r="AC11" s="1"/>
      <c r="AK11" s="24" t="s">
        <v>2280</v>
      </c>
      <c r="AL11" s="3">
        <f t="shared" ref="AL11:BE11" si="6">SUMPRODUCT(AL$26:AL$372,$T$26:$T$372)</f>
        <v>702783.27902565291</v>
      </c>
      <c r="AM11" s="3">
        <f t="shared" si="6"/>
        <v>963648.59240423911</v>
      </c>
      <c r="AN11" s="3">
        <f t="shared" si="6"/>
        <v>4204219.5642138524</v>
      </c>
      <c r="AO11" s="3">
        <f t="shared" si="6"/>
        <v>12364589.730340017</v>
      </c>
      <c r="AP11" s="3">
        <f t="shared" si="6"/>
        <v>166.79193651919999</v>
      </c>
      <c r="AQ11" s="3">
        <f t="shared" si="6"/>
        <v>83075.004067436617</v>
      </c>
      <c r="AR11" s="3">
        <f t="shared" si="6"/>
        <v>0</v>
      </c>
      <c r="AS11" s="3">
        <f t="shared" si="6"/>
        <v>1897837.7136069702</v>
      </c>
      <c r="AT11" s="3">
        <f t="shared" si="6"/>
        <v>0</v>
      </c>
      <c r="AU11" s="3">
        <f t="shared" si="6"/>
        <v>13490942.429794624</v>
      </c>
      <c r="AV11" s="3">
        <f t="shared" si="6"/>
        <v>347814.41531427897</v>
      </c>
      <c r="AW11" s="3">
        <f t="shared" si="6"/>
        <v>11853445.564764585</v>
      </c>
      <c r="AX11" s="3">
        <f t="shared" si="6"/>
        <v>1632900.063153117</v>
      </c>
      <c r="AY11" s="3">
        <f t="shared" si="6"/>
        <v>0</v>
      </c>
      <c r="AZ11" s="3">
        <f t="shared" si="6"/>
        <v>16584176.556967461</v>
      </c>
      <c r="BA11" s="3">
        <f t="shared" si="6"/>
        <v>832228.46936680097</v>
      </c>
      <c r="BB11" s="3">
        <f t="shared" si="6"/>
        <v>13002.631108796213</v>
      </c>
      <c r="BC11" s="3">
        <f t="shared" si="6"/>
        <v>0</v>
      </c>
      <c r="BD11" s="3">
        <f t="shared" si="6"/>
        <v>0</v>
      </c>
      <c r="BE11" s="3">
        <f t="shared" si="6"/>
        <v>40300997.95487804</v>
      </c>
      <c r="BF11" s="3">
        <f t="shared" si="4"/>
        <v>105271828.7609424</v>
      </c>
    </row>
    <row r="12" spans="1:69" outlineLevel="1" x14ac:dyDescent="0.15">
      <c r="B12" s="910"/>
      <c r="C12" s="911"/>
      <c r="D12" s="42">
        <v>2021</v>
      </c>
      <c r="E12" s="40"/>
      <c r="F12" s="41"/>
      <c r="G12" s="40"/>
      <c r="H12" s="40"/>
      <c r="I12" s="40"/>
      <c r="J12" s="40"/>
      <c r="K12" s="40"/>
      <c r="L12" s="41"/>
      <c r="M12" s="41"/>
      <c r="N12" s="660"/>
      <c r="O12" s="472"/>
      <c r="P12" s="49"/>
      <c r="Q12" s="41"/>
      <c r="R12" s="94"/>
      <c r="S12" s="41"/>
      <c r="T12" s="41"/>
      <c r="U12" s="41">
        <f>SUM($AL12:$BE12)</f>
        <v>117288288.75222149</v>
      </c>
      <c r="V12" s="41"/>
      <c r="W12" s="94"/>
      <c r="X12" s="41"/>
      <c r="Y12" s="56">
        <f t="shared" si="1"/>
        <v>117288288.75222149</v>
      </c>
      <c r="Z12" s="3"/>
      <c r="AA12" s="525">
        <f t="shared" si="2"/>
        <v>96369297.055624694</v>
      </c>
      <c r="AB12" s="526">
        <f>VLOOKUP(D12,Commissioned!$B$5:$J$15,9,FALSE)</f>
        <v>96369297.055624709</v>
      </c>
      <c r="AC12" s="1"/>
      <c r="AK12" s="24" t="s">
        <v>2281</v>
      </c>
      <c r="AL12" s="3">
        <f t="shared" ref="AL12:BE12" si="7">SUMPRODUCT(AL$26:AL$372,$U$26:$U$372)</f>
        <v>1093567.2851927241</v>
      </c>
      <c r="AM12" s="3">
        <f t="shared" si="7"/>
        <v>687159.7397702774</v>
      </c>
      <c r="AN12" s="3">
        <f t="shared" si="7"/>
        <v>4142411.1874557743</v>
      </c>
      <c r="AO12" s="3">
        <f t="shared" si="7"/>
        <v>13994553.759171089</v>
      </c>
      <c r="AP12" s="3">
        <f t="shared" si="7"/>
        <v>0</v>
      </c>
      <c r="AQ12" s="3">
        <f t="shared" si="7"/>
        <v>12715.369196003618</v>
      </c>
      <c r="AR12" s="3">
        <f t="shared" si="7"/>
        <v>0</v>
      </c>
      <c r="AS12" s="3">
        <f t="shared" si="7"/>
        <v>2856259.1750313514</v>
      </c>
      <c r="AT12" s="3">
        <f t="shared" si="7"/>
        <v>0</v>
      </c>
      <c r="AU12" s="3">
        <f t="shared" si="7"/>
        <v>19172028.542230126</v>
      </c>
      <c r="AV12" s="3">
        <f t="shared" si="7"/>
        <v>1141978.6908281904</v>
      </c>
      <c r="AW12" s="3">
        <f t="shared" si="7"/>
        <v>5322272.161102918</v>
      </c>
      <c r="AX12" s="3">
        <f t="shared" si="7"/>
        <v>976487.92678466823</v>
      </c>
      <c r="AY12" s="3">
        <f t="shared" si="7"/>
        <v>0</v>
      </c>
      <c r="AZ12" s="3">
        <f t="shared" si="7"/>
        <v>13921317.773347836</v>
      </c>
      <c r="BA12" s="3">
        <f t="shared" si="7"/>
        <v>1031170.8093840061</v>
      </c>
      <c r="BB12" s="3">
        <f t="shared" si="7"/>
        <v>31969.772047798659</v>
      </c>
      <c r="BC12" s="3">
        <f t="shared" si="7"/>
        <v>0</v>
      </c>
      <c r="BD12" s="3">
        <f t="shared" si="7"/>
        <v>0</v>
      </c>
      <c r="BE12" s="3">
        <f t="shared" si="7"/>
        <v>52904396.56067872</v>
      </c>
      <c r="BF12" s="3">
        <f t="shared" si="4"/>
        <v>117288288.75222149</v>
      </c>
    </row>
    <row r="13" spans="1:69" outlineLevel="1" x14ac:dyDescent="0.15">
      <c r="B13" s="42"/>
      <c r="C13" s="43"/>
      <c r="D13" s="42">
        <v>2022</v>
      </c>
      <c r="E13" s="40"/>
      <c r="F13" s="41"/>
      <c r="G13" s="40"/>
      <c r="H13" s="40"/>
      <c r="I13" s="40"/>
      <c r="J13" s="40"/>
      <c r="K13" s="40"/>
      <c r="L13" s="41"/>
      <c r="M13" s="41"/>
      <c r="N13" s="660"/>
      <c r="O13" s="472"/>
      <c r="P13" s="49"/>
      <c r="Q13" s="41"/>
      <c r="R13" s="94"/>
      <c r="S13" s="41"/>
      <c r="T13" s="41"/>
      <c r="U13" s="41"/>
      <c r="V13" s="41">
        <f>SUM($AL13:$BE13)</f>
        <v>111014006.17985702</v>
      </c>
      <c r="W13" s="94"/>
      <c r="X13" s="41"/>
      <c r="Y13" s="56">
        <f t="shared" si="1"/>
        <v>111014006.17985702</v>
      </c>
      <c r="Z13" s="3"/>
      <c r="AA13" s="525">
        <f t="shared" si="2"/>
        <v>109456410.83062835</v>
      </c>
      <c r="AB13" s="526">
        <f>VLOOKUP(D13,Commissioned!$B$5:$J$15,9,FALSE)</f>
        <v>109456410.83062835</v>
      </c>
      <c r="AC13" s="1"/>
      <c r="AK13" s="24" t="s">
        <v>2282</v>
      </c>
      <c r="AL13" s="3">
        <f t="shared" ref="AL13:BE13" si="8">SUMPRODUCT(AL$26:AL$372,$V$26:$V$372)</f>
        <v>823252.67149066948</v>
      </c>
      <c r="AM13" s="3">
        <f t="shared" si="8"/>
        <v>769672.04447096225</v>
      </c>
      <c r="AN13" s="3">
        <f t="shared" si="8"/>
        <v>3669558.0568078016</v>
      </c>
      <c r="AO13" s="3">
        <f t="shared" si="8"/>
        <v>12553812.5620174</v>
      </c>
      <c r="AP13" s="3">
        <f t="shared" si="8"/>
        <v>0</v>
      </c>
      <c r="AQ13" s="3">
        <f t="shared" si="8"/>
        <v>0</v>
      </c>
      <c r="AR13" s="3">
        <f t="shared" si="8"/>
        <v>0</v>
      </c>
      <c r="AS13" s="3">
        <f t="shared" si="8"/>
        <v>1886671.4034098263</v>
      </c>
      <c r="AT13" s="3">
        <f t="shared" si="8"/>
        <v>0</v>
      </c>
      <c r="AU13" s="3">
        <f t="shared" si="8"/>
        <v>17620057.726068493</v>
      </c>
      <c r="AV13" s="3">
        <f t="shared" si="8"/>
        <v>977583.774316411</v>
      </c>
      <c r="AW13" s="3">
        <f t="shared" si="8"/>
        <v>1426228.7058565512</v>
      </c>
      <c r="AX13" s="3">
        <f t="shared" si="8"/>
        <v>38829.745351429083</v>
      </c>
      <c r="AY13" s="3">
        <f t="shared" si="8"/>
        <v>0</v>
      </c>
      <c r="AZ13" s="3">
        <f t="shared" si="8"/>
        <v>13784448.734530965</v>
      </c>
      <c r="BA13" s="3">
        <f t="shared" si="8"/>
        <v>10017396.830279157</v>
      </c>
      <c r="BB13" s="3">
        <f t="shared" si="8"/>
        <v>49274.907416433074</v>
      </c>
      <c r="BC13" s="3">
        <f t="shared" si="8"/>
        <v>0</v>
      </c>
      <c r="BD13" s="3">
        <f t="shared" si="8"/>
        <v>0</v>
      </c>
      <c r="BE13" s="3">
        <f t="shared" si="8"/>
        <v>47397219.017840914</v>
      </c>
      <c r="BF13" s="3">
        <f t="shared" si="4"/>
        <v>111014006.17985702</v>
      </c>
    </row>
    <row r="14" spans="1:69" ht="11.25" outlineLevel="1" x14ac:dyDescent="0.15">
      <c r="B14" s="889" t="s">
        <v>3001</v>
      </c>
      <c r="C14" s="43"/>
      <c r="D14" s="42">
        <v>2023</v>
      </c>
      <c r="E14" s="40"/>
      <c r="F14" s="41"/>
      <c r="G14" s="40"/>
      <c r="H14" s="40"/>
      <c r="I14" s="40"/>
      <c r="J14" s="40"/>
      <c r="K14" s="40"/>
      <c r="L14" s="41"/>
      <c r="M14" s="41"/>
      <c r="N14" s="660"/>
      <c r="O14" s="472"/>
      <c r="P14" s="49"/>
      <c r="Q14" s="41"/>
      <c r="R14" s="94"/>
      <c r="S14" s="41"/>
      <c r="T14" s="41"/>
      <c r="U14" s="41"/>
      <c r="V14" s="41"/>
      <c r="W14" s="94">
        <f>SUM($AL14:$BE14)</f>
        <v>60422062.748080865</v>
      </c>
      <c r="X14" s="41"/>
      <c r="Y14" s="56">
        <f t="shared" si="1"/>
        <v>60422062.748080865</v>
      </c>
      <c r="Z14" s="3"/>
      <c r="AA14" s="525">
        <f t="shared" si="2"/>
        <v>178436782.54508963</v>
      </c>
      <c r="AB14" s="526">
        <f>VLOOKUP(D14,Commissioned!$B$5:$J$15,9,FALSE)</f>
        <v>178436782.54508963</v>
      </c>
      <c r="AC14" s="1"/>
      <c r="AK14" s="24" t="s">
        <v>2283</v>
      </c>
      <c r="AL14" s="3">
        <f t="shared" ref="AL14:BE14" si="9">SUMPRODUCT(AL$26:AL$372,$W$26:$W$372)</f>
        <v>348158.68705335027</v>
      </c>
      <c r="AM14" s="3">
        <f t="shared" si="9"/>
        <v>17153.090103600342</v>
      </c>
      <c r="AN14" s="3">
        <f t="shared" si="9"/>
        <v>2194566.9554080376</v>
      </c>
      <c r="AO14" s="3">
        <f t="shared" si="9"/>
        <v>10567381.988730725</v>
      </c>
      <c r="AP14" s="3">
        <f t="shared" si="9"/>
        <v>0</v>
      </c>
      <c r="AQ14" s="3">
        <f t="shared" si="9"/>
        <v>0</v>
      </c>
      <c r="AR14" s="3">
        <f t="shared" si="9"/>
        <v>0</v>
      </c>
      <c r="AS14" s="3">
        <f t="shared" si="9"/>
        <v>905695.93137225951</v>
      </c>
      <c r="AT14" s="3">
        <f t="shared" si="9"/>
        <v>0</v>
      </c>
      <c r="AU14" s="3">
        <f t="shared" si="9"/>
        <v>12798383.948739208</v>
      </c>
      <c r="AV14" s="3">
        <f t="shared" si="9"/>
        <v>0</v>
      </c>
      <c r="AW14" s="3">
        <f t="shared" si="9"/>
        <v>935038.05694177432</v>
      </c>
      <c r="AX14" s="3">
        <f t="shared" si="9"/>
        <v>31684.331074694586</v>
      </c>
      <c r="AY14" s="3">
        <f t="shared" si="9"/>
        <v>0</v>
      </c>
      <c r="AZ14" s="3">
        <f t="shared" si="9"/>
        <v>7741002.4793730024</v>
      </c>
      <c r="BA14" s="3">
        <f t="shared" si="9"/>
        <v>113819.6063946363</v>
      </c>
      <c r="BB14" s="3">
        <f t="shared" si="9"/>
        <v>77452.064710923092</v>
      </c>
      <c r="BC14" s="3">
        <f t="shared" si="9"/>
        <v>0</v>
      </c>
      <c r="BD14" s="3">
        <f t="shared" si="9"/>
        <v>0</v>
      </c>
      <c r="BE14" s="3">
        <f t="shared" si="9"/>
        <v>24691725.608178664</v>
      </c>
      <c r="BF14" s="3">
        <f t="shared" si="4"/>
        <v>60422062.748080865</v>
      </c>
    </row>
    <row r="15" spans="1:69" ht="12" outlineLevel="1" thickBot="1" x14ac:dyDescent="0.2">
      <c r="B15" s="889" t="str">
        <f>IF(A21=0,"$Nominal",IF(A21=1,"$Real 2017/18"))</f>
        <v>$Nominal</v>
      </c>
      <c r="C15" s="43"/>
      <c r="D15" s="44" t="s">
        <v>639</v>
      </c>
      <c r="E15" s="40"/>
      <c r="F15" s="41"/>
      <c r="G15" s="41"/>
      <c r="H15" s="41"/>
      <c r="I15" s="41"/>
      <c r="J15" s="41"/>
      <c r="K15" s="41"/>
      <c r="L15" s="41"/>
      <c r="M15" s="41"/>
      <c r="N15" s="660"/>
      <c r="O15" s="472"/>
      <c r="P15" s="49">
        <f t="shared" ref="P15:V15" si="10">SUBTOTAL(9,P7:P14)</f>
        <v>0</v>
      </c>
      <c r="Q15" s="41">
        <f t="shared" si="10"/>
        <v>0</v>
      </c>
      <c r="R15" s="94">
        <f t="shared" si="10"/>
        <v>175398641.66690776</v>
      </c>
      <c r="S15" s="41">
        <f t="shared" si="10"/>
        <v>99542516.434863344</v>
      </c>
      <c r="T15" s="41">
        <f t="shared" si="10"/>
        <v>105271828.7609424</v>
      </c>
      <c r="U15" s="41">
        <f t="shared" si="10"/>
        <v>117288288.75222149</v>
      </c>
      <c r="V15" s="41">
        <f t="shared" si="10"/>
        <v>111014006.17985702</v>
      </c>
      <c r="W15" s="94">
        <f>SUBTOTAL(9,W7:W14)</f>
        <v>60422062.748080865</v>
      </c>
      <c r="X15" s="41"/>
      <c r="Y15" s="56">
        <f>SUM(Y7:Y14)</f>
        <v>668937344.54287291</v>
      </c>
      <c r="Z15" s="3"/>
      <c r="AA15" s="527"/>
      <c r="AB15" s="528"/>
      <c r="AC15" s="1"/>
      <c r="AD15" s="3"/>
      <c r="AE15" s="3"/>
      <c r="AF15" s="3"/>
      <c r="AG15" s="3"/>
      <c r="AH15" s="3"/>
      <c r="AI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69" ht="11.25" outlineLevel="1" thickBot="1" x14ac:dyDescent="0.2">
      <c r="A16" s="693">
        <f>2.125693160813%</f>
        <v>2.1256931608129997E-2</v>
      </c>
      <c r="B16" s="42"/>
      <c r="C16" s="46"/>
      <c r="D16" s="45" t="s">
        <v>2263</v>
      </c>
      <c r="E16" s="647"/>
      <c r="F16" s="100"/>
      <c r="G16" s="100"/>
      <c r="H16" s="100"/>
      <c r="I16" s="100"/>
      <c r="J16" s="100"/>
      <c r="K16" s="100"/>
      <c r="L16" s="100"/>
      <c r="M16" s="100"/>
      <c r="N16" s="661"/>
      <c r="O16" s="473" t="s">
        <v>2994</v>
      </c>
      <c r="P16" s="50">
        <f>P15-P23</f>
        <v>-167030089.01999998</v>
      </c>
      <c r="Q16" s="51">
        <f t="shared" ref="Q16:W16" si="11">Q15-Q23</f>
        <v>-151794642.84999999</v>
      </c>
      <c r="R16" s="105">
        <f t="shared" si="11"/>
        <v>0</v>
      </c>
      <c r="S16" s="100">
        <f t="shared" si="11"/>
        <v>0</v>
      </c>
      <c r="T16" s="51">
        <f t="shared" si="11"/>
        <v>0</v>
      </c>
      <c r="U16" s="51">
        <f t="shared" si="11"/>
        <v>0</v>
      </c>
      <c r="V16" s="51">
        <f t="shared" si="11"/>
        <v>0</v>
      </c>
      <c r="W16" s="105">
        <f t="shared" si="11"/>
        <v>0</v>
      </c>
      <c r="X16" s="100"/>
      <c r="Y16" s="57"/>
      <c r="Z16" s="3"/>
      <c r="AA16" s="3"/>
      <c r="AB16" s="3"/>
      <c r="AC16" s="1"/>
      <c r="AD16" s="3"/>
      <c r="AE16" s="3"/>
      <c r="AF16" s="3"/>
      <c r="AG16" s="3"/>
      <c r="AH16" s="3"/>
      <c r="AI16" s="3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3"/>
    </row>
    <row r="17" spans="1:69" outlineLevel="1" x14ac:dyDescent="0.15">
      <c r="A17" s="649">
        <v>2.5000000000000001E-2</v>
      </c>
      <c r="B17" s="650" t="s">
        <v>3002</v>
      </c>
      <c r="C17" s="83"/>
      <c r="D17" s="442" t="s">
        <v>2602</v>
      </c>
      <c r="E17" s="68"/>
      <c r="F17" s="68"/>
      <c r="G17" s="68"/>
      <c r="H17" s="68"/>
      <c r="I17" s="68"/>
      <c r="J17" s="68"/>
      <c r="K17" s="68"/>
      <c r="L17" s="68"/>
      <c r="M17" s="90"/>
      <c r="N17" s="662"/>
      <c r="O17" s="68"/>
      <c r="P17" s="740"/>
      <c r="Q17" s="70">
        <f>1*(1-A21)+$R$17*$A$21</f>
        <v>1</v>
      </c>
      <c r="R17" s="106">
        <f>(1+$A$17)</f>
        <v>1.0249999999999999</v>
      </c>
      <c r="S17" s="70">
        <f>(1+$A$17)*R17*(1-$A$21)+$R$17*$A$21</f>
        <v>1.0506249999999999</v>
      </c>
      <c r="T17" s="70">
        <f t="shared" ref="T17:X17" si="12">(1+$A$17)*S17*(1-$A$21)+$R$17*$A$21</f>
        <v>1.0768906249999999</v>
      </c>
      <c r="U17" s="70">
        <f t="shared" si="12"/>
        <v>1.1038128906249998</v>
      </c>
      <c r="V17" s="70">
        <f t="shared" si="12"/>
        <v>1.1314082128906247</v>
      </c>
      <c r="W17" s="106">
        <f t="shared" si="12"/>
        <v>1.1596934182128902</v>
      </c>
      <c r="X17" s="70">
        <f t="shared" si="12"/>
        <v>1.1886857536682123</v>
      </c>
      <c r="AC17" s="1"/>
      <c r="AU17" s="3"/>
    </row>
    <row r="18" spans="1:69" outlineLevel="1" x14ac:dyDescent="0.15">
      <c r="A18" s="705">
        <v>2</v>
      </c>
      <c r="B18" s="68" t="s">
        <v>3160</v>
      </c>
      <c r="C18" s="69"/>
      <c r="D18" s="442" t="s">
        <v>3003</v>
      </c>
      <c r="E18" s="442"/>
      <c r="F18" s="69"/>
      <c r="G18" s="71">
        <f t="shared" ref="G18:J18" si="13">G20/$Q$20</f>
        <v>1.2759815242494186</v>
      </c>
      <c r="H18" s="71">
        <f t="shared" si="13"/>
        <v>1.2236987818383129</v>
      </c>
      <c r="I18" s="72">
        <f t="shared" si="13"/>
        <v>1.1945945945945908</v>
      </c>
      <c r="J18" s="72">
        <f t="shared" si="13"/>
        <v>1.1607142857142823</v>
      </c>
      <c r="K18" s="72"/>
      <c r="L18" s="72"/>
      <c r="M18" s="737"/>
      <c r="N18" s="738"/>
      <c r="O18" s="72"/>
      <c r="P18" s="73"/>
      <c r="Q18" s="87"/>
      <c r="R18" s="95">
        <f>(1+'Project labour content'!Q14/100)-1</f>
        <v>6.4999999999999503E-3</v>
      </c>
      <c r="S18" s="73">
        <f>(1+'Project labour content'!R14/100)*(Labesc18+1)-1</f>
        <v>1.2421277331203129E-2</v>
      </c>
      <c r="T18" s="73">
        <f>(1+'Project labour content'!S14/100)*(LabEsc19+1)-1</f>
        <v>1.8829697978335558E-2</v>
      </c>
      <c r="U18" s="73">
        <f>(1+'Project labour content'!T14/100)*(LabEsc20+1)-1</f>
        <v>2.6232174457351043E-2</v>
      </c>
      <c r="V18" s="73">
        <f>(1+'Project labour content'!U14/100)*(LabEsc21+1)-1</f>
        <v>3.7016688091821681E-2</v>
      </c>
      <c r="W18" s="95">
        <f>(1+'Project labour content'!V14/100)*(LabEsc22+1)-1</f>
        <v>4.9147351368063807E-2</v>
      </c>
      <c r="X18" s="73">
        <f>(1+'Project labour content'!W14/100)*(LabEsc23+1)-1</f>
        <v>5.7268501094006385E-2</v>
      </c>
      <c r="AU18" s="3"/>
    </row>
    <row r="19" spans="1:69" outlineLevel="1" x14ac:dyDescent="0.15">
      <c r="A19" s="651">
        <v>1</v>
      </c>
      <c r="B19" s="650" t="s">
        <v>2707</v>
      </c>
      <c r="C19" s="90"/>
      <c r="D19" s="440" t="s">
        <v>3131</v>
      </c>
      <c r="E19" s="440"/>
      <c r="F19" s="71">
        <f t="shared" ref="F19" si="14">G19*F20/G20</f>
        <v>1.3403846153846106</v>
      </c>
      <c r="G19" s="71">
        <f t="shared" ref="G19" si="15">H19*G20/H20</f>
        <v>1.3078810623556538</v>
      </c>
      <c r="H19" s="71">
        <f t="shared" ref="H19" si="16">I19*H20/I20</f>
        <v>1.2542912513842706</v>
      </c>
      <c r="I19" s="71">
        <f t="shared" ref="I19" si="17">J19*I20/J20</f>
        <v>1.2244594594594556</v>
      </c>
      <c r="J19" s="71">
        <f t="shared" ref="J19" si="18">K19*J20/K20</f>
        <v>1.189732142857139</v>
      </c>
      <c r="K19" s="71">
        <f t="shared" ref="K19" si="19">L19*K20/L20</f>
        <v>1.1522126144455713</v>
      </c>
      <c r="L19" s="71">
        <f t="shared" ref="L19" si="20">M19*L20/M20</f>
        <v>1.1337587587587552</v>
      </c>
      <c r="M19" s="73">
        <f t="shared" ref="M19" si="21">N19*M20/N20</f>
        <v>1.1060791015624967</v>
      </c>
      <c r="N19" s="663">
        <f t="shared" ref="N19" si="22">O19*N20/O20</f>
        <v>1.0745967741935452</v>
      </c>
      <c r="O19" s="71">
        <f t="shared" ref="O19" si="23">P19*O20/P20</f>
        <v>1.0605102996254652</v>
      </c>
      <c r="P19" s="71">
        <f>Q19*P20/Q20</f>
        <v>1.0467883548983332</v>
      </c>
      <c r="Q19" s="73">
        <f>1+A17</f>
        <v>1.0249999999999999</v>
      </c>
      <c r="R19" s="95">
        <v>1</v>
      </c>
      <c r="S19" s="73">
        <f t="shared" ref="S19:X19" si="24">1/((1+$A$17)^(COLUMN()-COLUMN($R$19)))</f>
        <v>0.97560975609756106</v>
      </c>
      <c r="T19" s="73">
        <f t="shared" si="24"/>
        <v>0.95181439619274244</v>
      </c>
      <c r="U19" s="73">
        <f t="shared" si="24"/>
        <v>0.92859941091974885</v>
      </c>
      <c r="V19" s="73">
        <f t="shared" si="24"/>
        <v>0.90595064479975507</v>
      </c>
      <c r="W19" s="95">
        <f t="shared" si="24"/>
        <v>0.88385428760951712</v>
      </c>
      <c r="X19" s="73">
        <f t="shared" si="24"/>
        <v>0.86229686596050459</v>
      </c>
      <c r="Y19" s="3"/>
      <c r="AD19" s="81"/>
      <c r="AU19" s="3"/>
    </row>
    <row r="20" spans="1:69" outlineLevel="1" x14ac:dyDescent="0.15">
      <c r="A20" s="69"/>
      <c r="B20" s="69"/>
      <c r="C20" s="438"/>
      <c r="D20" s="441" t="s">
        <v>2986</v>
      </c>
      <c r="E20" s="441"/>
      <c r="F20" s="74">
        <f t="shared" ref="F20:O20" si="25">G20*G21</f>
        <v>1.51652216227839</v>
      </c>
      <c r="G20" s="74">
        <f t="shared" si="25"/>
        <v>1.4797473754333021</v>
      </c>
      <c r="H20" s="74">
        <f t="shared" si="25"/>
        <v>1.419115423173023</v>
      </c>
      <c r="I20" s="74">
        <f t="shared" si="25"/>
        <v>1.3853634887840429</v>
      </c>
      <c r="J20" s="74">
        <f t="shared" si="25"/>
        <v>1.3460727175685292</v>
      </c>
      <c r="K20" s="74">
        <f t="shared" si="25"/>
        <v>1.3036228149798983</v>
      </c>
      <c r="L20" s="74">
        <f t="shared" si="25"/>
        <v>1.2827439710963362</v>
      </c>
      <c r="M20" s="74">
        <f t="shared" si="25"/>
        <v>1.2514269796144921</v>
      </c>
      <c r="N20" s="664">
        <f t="shared" si="25"/>
        <v>1.2158076158683491</v>
      </c>
      <c r="O20" s="74">
        <f t="shared" si="25"/>
        <v>1.1998700628513483</v>
      </c>
      <c r="P20" s="77">
        <f t="shared" ref="P20:U20" si="26">Q20*Q21</f>
        <v>1.1843449418902401</v>
      </c>
      <c r="Q20" s="77">
        <f t="shared" si="26"/>
        <v>1.1596934182128902</v>
      </c>
      <c r="R20" s="107">
        <f t="shared" si="26"/>
        <v>1.1314082128906247</v>
      </c>
      <c r="S20" s="77">
        <f t="shared" si="26"/>
        <v>1.1038128906249998</v>
      </c>
      <c r="T20" s="77">
        <f t="shared" si="26"/>
        <v>1.0768906249999999</v>
      </c>
      <c r="U20" s="77">
        <f t="shared" si="26"/>
        <v>1.0506249999999999</v>
      </c>
      <c r="V20" s="77">
        <f>W20*W21</f>
        <v>1.0249999999999999</v>
      </c>
      <c r="W20" s="107">
        <f>1</f>
        <v>1</v>
      </c>
      <c r="X20" s="77">
        <f>1</f>
        <v>1</v>
      </c>
      <c r="Y20" s="3"/>
      <c r="AD20" s="81"/>
      <c r="AU20" s="3"/>
    </row>
    <row r="21" spans="1:69" ht="15" outlineLevel="1" x14ac:dyDescent="0.2">
      <c r="A21" s="890">
        <v>0</v>
      </c>
      <c r="B21" s="891" t="s">
        <v>3164</v>
      </c>
      <c r="C21" s="69"/>
      <c r="D21" s="442" t="s">
        <v>2600</v>
      </c>
      <c r="E21" s="68"/>
      <c r="F21" s="75">
        <v>1.0292326431181487</v>
      </c>
      <c r="G21" s="75">
        <v>1.024852071005917</v>
      </c>
      <c r="H21" s="75">
        <v>1.0427251732101617</v>
      </c>
      <c r="I21" s="75">
        <v>1.0243632336655593</v>
      </c>
      <c r="J21" s="75">
        <v>1.0291891891891891</v>
      </c>
      <c r="K21" s="75">
        <v>1.0325630252100839</v>
      </c>
      <c r="L21" s="75">
        <v>1.0162767039674467</v>
      </c>
      <c r="M21" s="75">
        <v>1.025025025025025</v>
      </c>
      <c r="N21" s="665">
        <v>1.029296875</v>
      </c>
      <c r="O21" s="76">
        <v>1.0132827324478177</v>
      </c>
      <c r="P21" s="76">
        <v>1.0131086142322099</v>
      </c>
      <c r="Q21" s="76">
        <f>(1+$A$16)</f>
        <v>1.0212569316081299</v>
      </c>
      <c r="R21" s="108">
        <f t="shared" ref="R21:X21" si="27">(1+$A$17)</f>
        <v>1.0249999999999999</v>
      </c>
      <c r="S21" s="76">
        <f t="shared" si="27"/>
        <v>1.0249999999999999</v>
      </c>
      <c r="T21" s="76">
        <f t="shared" si="27"/>
        <v>1.0249999999999999</v>
      </c>
      <c r="U21" s="76">
        <f t="shared" si="27"/>
        <v>1.0249999999999999</v>
      </c>
      <c r="V21" s="76">
        <f t="shared" si="27"/>
        <v>1.0249999999999999</v>
      </c>
      <c r="W21" s="108">
        <f t="shared" si="27"/>
        <v>1.0249999999999999</v>
      </c>
      <c r="X21" s="76">
        <f t="shared" si="27"/>
        <v>1.0249999999999999</v>
      </c>
      <c r="Y21" s="3"/>
      <c r="AD21" s="81"/>
      <c r="AJ21" s="25" t="s">
        <v>3048</v>
      </c>
      <c r="AL21" s="28"/>
      <c r="BG21" s="508" t="s">
        <v>3017</v>
      </c>
    </row>
    <row r="22" spans="1:69" outlineLevel="1" x14ac:dyDescent="0.15">
      <c r="B22" s="646" t="s">
        <v>3042</v>
      </c>
      <c r="D22" s="812" t="s">
        <v>3043</v>
      </c>
      <c r="F22" s="2"/>
      <c r="G22" s="2"/>
      <c r="H22" s="2"/>
      <c r="I22" s="2"/>
      <c r="J22" s="2"/>
      <c r="K22" s="2"/>
      <c r="L22" s="2"/>
      <c r="M22" s="2"/>
      <c r="N22" s="666"/>
      <c r="O22" s="813"/>
      <c r="P22" s="813"/>
      <c r="Q22" s="53">
        <f>'Incurred 2.5% cpi'!Q23</f>
        <v>151794642.84999999</v>
      </c>
      <c r="R22" s="814">
        <f>'Incurred 2.5% cpi'!R23</f>
        <v>174833957.54669601</v>
      </c>
      <c r="S22" s="815">
        <f>'Incurred 2.5% cpi'!S23</f>
        <v>98901741.040000021</v>
      </c>
      <c r="T22" s="53">
        <f>'Incurred 2.5% cpi'!T23</f>
        <v>104253869.72999996</v>
      </c>
      <c r="U22" s="53">
        <f>'Incurred 2.5% cpi'!U23</f>
        <v>115728526.63</v>
      </c>
      <c r="V22" s="53">
        <f>'Incurred 2.5% cpi'!V23</f>
        <v>108990066.78999998</v>
      </c>
      <c r="W22" s="814">
        <f>'Incurred 2.5% cpi'!W23</f>
        <v>58920948.160000004</v>
      </c>
      <c r="X22" s="815"/>
      <c r="AD22" s="81"/>
      <c r="AK22" s="401" t="s">
        <v>2993</v>
      </c>
      <c r="AL22" s="402">
        <v>73</v>
      </c>
      <c r="AM22" s="402">
        <f>AL22+1</f>
        <v>74</v>
      </c>
      <c r="AN22" s="402">
        <f t="shared" ref="AN22:BE22" si="28">AM22+1</f>
        <v>75</v>
      </c>
      <c r="AO22" s="402">
        <f t="shared" si="28"/>
        <v>76</v>
      </c>
      <c r="AP22" s="402">
        <f t="shared" si="28"/>
        <v>77</v>
      </c>
      <c r="AQ22" s="402">
        <f t="shared" si="28"/>
        <v>78</v>
      </c>
      <c r="AR22" s="402">
        <f t="shared" si="28"/>
        <v>79</v>
      </c>
      <c r="AS22" s="402">
        <f t="shared" si="28"/>
        <v>80</v>
      </c>
      <c r="AT22" s="402">
        <f t="shared" si="28"/>
        <v>81</v>
      </c>
      <c r="AU22" s="402">
        <f t="shared" si="28"/>
        <v>82</v>
      </c>
      <c r="AV22" s="402">
        <f t="shared" si="28"/>
        <v>83</v>
      </c>
      <c r="AW22" s="402">
        <f t="shared" si="28"/>
        <v>84</v>
      </c>
      <c r="AX22" s="402">
        <f t="shared" si="28"/>
        <v>85</v>
      </c>
      <c r="AY22" s="402">
        <f t="shared" si="28"/>
        <v>86</v>
      </c>
      <c r="AZ22" s="402">
        <f t="shared" si="28"/>
        <v>87</v>
      </c>
      <c r="BA22" s="402">
        <f t="shared" si="28"/>
        <v>88</v>
      </c>
      <c r="BB22" s="402">
        <f t="shared" si="28"/>
        <v>89</v>
      </c>
      <c r="BC22" s="402">
        <f t="shared" si="28"/>
        <v>90</v>
      </c>
      <c r="BD22" s="403">
        <f t="shared" si="28"/>
        <v>91</v>
      </c>
      <c r="BE22" s="403">
        <f t="shared" si="28"/>
        <v>92</v>
      </c>
      <c r="BG22" s="52" t="s">
        <v>2971</v>
      </c>
    </row>
    <row r="23" spans="1:69" ht="11.25" outlineLevel="1" thickBot="1" x14ac:dyDescent="0.2">
      <c r="A23" s="24">
        <f>COUNTA(A26:A372)</f>
        <v>347</v>
      </c>
      <c r="F23" s="3">
        <f t="shared" ref="F23:N23" si="29">SUM(F26:F370)</f>
        <v>92201.14</v>
      </c>
      <c r="G23" s="3">
        <f t="shared" si="29"/>
        <v>6125285.8399999999</v>
      </c>
      <c r="H23" s="3">
        <f t="shared" si="29"/>
        <v>7596615.71</v>
      </c>
      <c r="I23" s="3">
        <f t="shared" si="29"/>
        <v>9617371.6699999999</v>
      </c>
      <c r="J23" s="3">
        <f t="shared" si="29"/>
        <v>39173732.089999996</v>
      </c>
      <c r="K23" s="3">
        <f t="shared" si="29"/>
        <v>126300658.34000002</v>
      </c>
      <c r="L23" s="3">
        <f t="shared" si="29"/>
        <v>95543994.110000014</v>
      </c>
      <c r="M23" s="91">
        <f t="shared" si="29"/>
        <v>156925832.92999998</v>
      </c>
      <c r="N23" s="667">
        <f t="shared" si="29"/>
        <v>97931219.610000044</v>
      </c>
      <c r="O23" s="3">
        <f t="shared" ref="O23:W23" si="30">SUM(O26:O372)</f>
        <v>111700820.64000002</v>
      </c>
      <c r="P23" s="3">
        <f t="shared" si="30"/>
        <v>167030089.01999998</v>
      </c>
      <c r="Q23" s="3">
        <f t="shared" si="30"/>
        <v>151794642.84999999</v>
      </c>
      <c r="R23" s="96">
        <f t="shared" si="30"/>
        <v>175398641.66690782</v>
      </c>
      <c r="S23" s="91">
        <f t="shared" si="30"/>
        <v>99542516.434863344</v>
      </c>
      <c r="T23" s="3">
        <f t="shared" si="30"/>
        <v>105271828.7609424</v>
      </c>
      <c r="U23" s="3">
        <f t="shared" si="30"/>
        <v>117288288.75222148</v>
      </c>
      <c r="V23" s="3">
        <f t="shared" si="30"/>
        <v>111014006.17985702</v>
      </c>
      <c r="W23" s="96">
        <f t="shared" si="30"/>
        <v>60422062.748080872</v>
      </c>
      <c r="X23" s="91"/>
      <c r="Y23" s="3">
        <f>SUM(S23:W23)</f>
        <v>493538702.87596506</v>
      </c>
      <c r="Z23" s="3"/>
      <c r="AD23" s="81"/>
      <c r="AK23" s="404" t="s">
        <v>2992</v>
      </c>
      <c r="AL23" s="405">
        <v>3</v>
      </c>
      <c r="AM23" s="405">
        <f>AL23+1</f>
        <v>4</v>
      </c>
      <c r="AN23" s="405">
        <f t="shared" ref="AN23:BE23" si="31">AM23+1</f>
        <v>5</v>
      </c>
      <c r="AO23" s="405">
        <f t="shared" si="31"/>
        <v>6</v>
      </c>
      <c r="AP23" s="405">
        <f t="shared" si="31"/>
        <v>7</v>
      </c>
      <c r="AQ23" s="405">
        <f t="shared" si="31"/>
        <v>8</v>
      </c>
      <c r="AR23" s="405">
        <f t="shared" si="31"/>
        <v>9</v>
      </c>
      <c r="AS23" s="405">
        <f t="shared" si="31"/>
        <v>10</v>
      </c>
      <c r="AT23" s="405">
        <f t="shared" si="31"/>
        <v>11</v>
      </c>
      <c r="AU23" s="405">
        <f t="shared" si="31"/>
        <v>12</v>
      </c>
      <c r="AV23" s="405">
        <f t="shared" si="31"/>
        <v>13</v>
      </c>
      <c r="AW23" s="405">
        <f t="shared" si="31"/>
        <v>14</v>
      </c>
      <c r="AX23" s="405">
        <f t="shared" si="31"/>
        <v>15</v>
      </c>
      <c r="AY23" s="405">
        <f t="shared" si="31"/>
        <v>16</v>
      </c>
      <c r="AZ23" s="405">
        <f t="shared" si="31"/>
        <v>17</v>
      </c>
      <c r="BA23" s="405">
        <f t="shared" si="31"/>
        <v>18</v>
      </c>
      <c r="BB23" s="405">
        <f t="shared" si="31"/>
        <v>19</v>
      </c>
      <c r="BC23" s="405">
        <f t="shared" si="31"/>
        <v>20</v>
      </c>
      <c r="BD23" s="406">
        <f t="shared" si="31"/>
        <v>21</v>
      </c>
      <c r="BE23" s="406">
        <f t="shared" si="31"/>
        <v>22</v>
      </c>
      <c r="BG23" s="52" t="s">
        <v>2972</v>
      </c>
    </row>
    <row r="24" spans="1:69" ht="15" x14ac:dyDescent="0.25">
      <c r="A24" s="4" t="s">
        <v>0</v>
      </c>
      <c r="B24" s="5"/>
      <c r="C24" s="5"/>
      <c r="D24" s="5"/>
      <c r="E24" s="4" t="s">
        <v>1</v>
      </c>
      <c r="F24" s="6" t="s">
        <v>2</v>
      </c>
      <c r="G24" s="6" t="s">
        <v>3</v>
      </c>
      <c r="H24" s="6" t="s">
        <v>4</v>
      </c>
      <c r="I24" s="6" t="s">
        <v>5</v>
      </c>
      <c r="J24" s="6" t="s">
        <v>6</v>
      </c>
      <c r="K24" s="6" t="s">
        <v>7</v>
      </c>
      <c r="L24" s="6" t="s">
        <v>8</v>
      </c>
      <c r="M24" s="7" t="s">
        <v>9</v>
      </c>
      <c r="N24" s="668" t="s">
        <v>10</v>
      </c>
      <c r="O24" s="6" t="s">
        <v>11</v>
      </c>
      <c r="P24" s="7" t="s">
        <v>12</v>
      </c>
      <c r="Q24" s="7" t="s">
        <v>13</v>
      </c>
      <c r="R24" s="109" t="s">
        <v>14</v>
      </c>
      <c r="S24" s="101" t="s">
        <v>15</v>
      </c>
      <c r="T24" s="8" t="s">
        <v>16</v>
      </c>
      <c r="U24" s="8" t="s">
        <v>17</v>
      </c>
      <c r="V24" s="8" t="s">
        <v>18</v>
      </c>
      <c r="W24" s="109" t="s">
        <v>19</v>
      </c>
      <c r="X24" s="101" t="s">
        <v>2603</v>
      </c>
      <c r="Y24" s="3"/>
      <c r="Z24" s="21"/>
      <c r="AA24" s="907" t="s">
        <v>1061</v>
      </c>
      <c r="AB24" s="908"/>
      <c r="AC24" s="909"/>
      <c r="AF24" s="23"/>
      <c r="AI24"/>
      <c r="AJ24"/>
      <c r="AK24"/>
      <c r="BG24" s="82"/>
      <c r="BH24" s="82"/>
      <c r="BI24" s="82"/>
      <c r="BJ24" s="82"/>
      <c r="BK24" s="82"/>
      <c r="BL24" s="82"/>
      <c r="BM24" s="82"/>
    </row>
    <row r="25" spans="1:69" ht="52.5" x14ac:dyDescent="0.15">
      <c r="A25" s="9" t="s">
        <v>20</v>
      </c>
      <c r="B25" s="10" t="s">
        <v>21</v>
      </c>
      <c r="C25" s="11" t="s">
        <v>22</v>
      </c>
      <c r="D25" s="11" t="s">
        <v>23</v>
      </c>
      <c r="E25" s="11" t="s">
        <v>24</v>
      </c>
      <c r="F25" s="29" t="str">
        <f t="shared" ref="F25:P25" si="32">"Actual "&amp;F24</f>
        <v>Actual 2006</v>
      </c>
      <c r="G25" s="29" t="str">
        <f t="shared" si="32"/>
        <v>Actual 2007</v>
      </c>
      <c r="H25" s="29" t="str">
        <f t="shared" si="32"/>
        <v>Actual 2008</v>
      </c>
      <c r="I25" s="29" t="str">
        <f t="shared" si="32"/>
        <v>Actual 2009</v>
      </c>
      <c r="J25" s="29" t="str">
        <f t="shared" si="32"/>
        <v>Actual 2010</v>
      </c>
      <c r="K25" s="29" t="str">
        <f t="shared" si="32"/>
        <v>Actual 2011</v>
      </c>
      <c r="L25" s="29" t="str">
        <f t="shared" si="32"/>
        <v>Actual 2012</v>
      </c>
      <c r="M25" s="656" t="str">
        <f t="shared" si="32"/>
        <v>Actual 2013</v>
      </c>
      <c r="N25" s="669" t="str">
        <f t="shared" si="32"/>
        <v>Actual 2014</v>
      </c>
      <c r="O25" s="29" t="str">
        <f t="shared" si="32"/>
        <v>Actual 2015</v>
      </c>
      <c r="P25" s="29" t="str">
        <f t="shared" si="32"/>
        <v>Actual 2016</v>
      </c>
      <c r="Q25" s="29" t="str">
        <f>"Actual "&amp;Q24</f>
        <v>Actual 2017</v>
      </c>
      <c r="R25" s="97" t="str">
        <f t="shared" ref="R25:W25" si="33">"Plan "&amp;R24</f>
        <v>Plan 2018</v>
      </c>
      <c r="S25" s="92" t="str">
        <f t="shared" si="33"/>
        <v>Plan 2019</v>
      </c>
      <c r="T25" s="30" t="str">
        <f t="shared" si="33"/>
        <v>Plan 2020</v>
      </c>
      <c r="U25" s="30" t="str">
        <f t="shared" si="33"/>
        <v>Plan 2021</v>
      </c>
      <c r="V25" s="30" t="str">
        <f t="shared" si="33"/>
        <v>Plan 2022</v>
      </c>
      <c r="W25" s="97" t="str">
        <f t="shared" si="33"/>
        <v>Plan 2023</v>
      </c>
      <c r="X25" s="92" t="str">
        <f t="shared" ref="X25" si="34">"Plan "&amp;X24</f>
        <v>Plan 2024</v>
      </c>
      <c r="Y25" s="503" t="s">
        <v>3000</v>
      </c>
      <c r="Z25" s="503" t="s">
        <v>1100</v>
      </c>
      <c r="AA25" s="505" t="s">
        <v>1099</v>
      </c>
      <c r="AB25" s="506" t="s">
        <v>1098</v>
      </c>
      <c r="AC25" s="507" t="s">
        <v>1062</v>
      </c>
      <c r="AD25" s="503" t="s">
        <v>1063</v>
      </c>
      <c r="AE25" s="503" t="s">
        <v>1065</v>
      </c>
      <c r="AF25" s="504" t="s">
        <v>1064</v>
      </c>
      <c r="AG25" s="503" t="s">
        <v>3016</v>
      </c>
      <c r="AH25" s="503" t="s">
        <v>2601</v>
      </c>
      <c r="AI25" s="503" t="s">
        <v>2991</v>
      </c>
      <c r="AJ25" s="503" t="s">
        <v>3034</v>
      </c>
      <c r="AK25" s="36" t="s">
        <v>2237</v>
      </c>
      <c r="AL25" s="31" t="s">
        <v>1031</v>
      </c>
      <c r="AM25" s="31" t="s">
        <v>1032</v>
      </c>
      <c r="AN25" s="31" t="s">
        <v>1033</v>
      </c>
      <c r="AO25" s="31" t="s">
        <v>1034</v>
      </c>
      <c r="AP25" s="31" t="s">
        <v>1035</v>
      </c>
      <c r="AQ25" s="31" t="s">
        <v>854</v>
      </c>
      <c r="AR25" s="31" t="s">
        <v>1036</v>
      </c>
      <c r="AS25" s="31" t="s">
        <v>1037</v>
      </c>
      <c r="AT25" s="31" t="s">
        <v>41</v>
      </c>
      <c r="AU25" s="31" t="s">
        <v>1038</v>
      </c>
      <c r="AV25" s="31" t="s">
        <v>1039</v>
      </c>
      <c r="AW25" s="31" t="s">
        <v>1040</v>
      </c>
      <c r="AX25" s="31" t="s">
        <v>1041</v>
      </c>
      <c r="AY25" s="31" t="s">
        <v>1042</v>
      </c>
      <c r="AZ25" s="31" t="s">
        <v>1043</v>
      </c>
      <c r="BA25" s="31" t="s">
        <v>1044</v>
      </c>
      <c r="BB25" s="31" t="s">
        <v>1045</v>
      </c>
      <c r="BC25" s="31" t="s">
        <v>1046</v>
      </c>
      <c r="BD25" s="32" t="s">
        <v>1047</v>
      </c>
      <c r="BE25" s="519" t="s">
        <v>3064</v>
      </c>
      <c r="BF25" s="26" t="s">
        <v>639</v>
      </c>
      <c r="BG25" s="519" t="s">
        <v>2732</v>
      </c>
      <c r="BH25" s="519" t="s">
        <v>2733</v>
      </c>
      <c r="BI25" s="519" t="s">
        <v>2734</v>
      </c>
      <c r="BJ25" s="519" t="s">
        <v>2735</v>
      </c>
      <c r="BK25" s="519" t="s">
        <v>2736</v>
      </c>
      <c r="BL25" s="519" t="s">
        <v>2737</v>
      </c>
      <c r="BM25" s="519" t="s">
        <v>2738</v>
      </c>
      <c r="BN25" s="829" t="s">
        <v>2706</v>
      </c>
      <c r="BP25" s="36" t="s">
        <v>3132</v>
      </c>
      <c r="BQ25" s="36" t="s">
        <v>3133</v>
      </c>
    </row>
    <row r="26" spans="1:69" hidden="1" x14ac:dyDescent="0.15">
      <c r="A26" s="12" t="s">
        <v>25</v>
      </c>
      <c r="B26" s="13" t="s">
        <v>26</v>
      </c>
      <c r="C26" s="13" t="s">
        <v>27</v>
      </c>
      <c r="D26" s="13" t="s">
        <v>28</v>
      </c>
      <c r="E26" s="13" t="s">
        <v>29</v>
      </c>
      <c r="F26" s="14">
        <v>14438.5</v>
      </c>
      <c r="G26" s="14">
        <v>5643382.1699999999</v>
      </c>
      <c r="H26" s="14">
        <v>6634694.54</v>
      </c>
      <c r="I26" s="14">
        <v>7459380.96</v>
      </c>
      <c r="J26" s="14">
        <v>20848276.829999998</v>
      </c>
      <c r="K26" s="14">
        <v>100800022.72</v>
      </c>
      <c r="L26" s="14">
        <v>32862274.5</v>
      </c>
      <c r="M26" s="15">
        <v>2236198.14</v>
      </c>
      <c r="N26" s="670">
        <v>394226.32</v>
      </c>
      <c r="O26" s="14">
        <v>137031.29999999999</v>
      </c>
      <c r="P26" s="15">
        <v>283719.84000000003</v>
      </c>
      <c r="Q26" s="15">
        <f>IF(ISTEXT('Incurred 2.5% cpi'!Q26),"",'Incurred 2.5% cpi'!Q26/'Incurred 2.5% cpi'!Q$17*Incurred!Q$17)</f>
        <v>128207.2</v>
      </c>
      <c r="R26" s="110">
        <f>IF(ISTEXT('Incurred 2.5% cpi'!R26),"",'Incurred 2.5% cpi'!R26/'Incurred 2.5% cpi'!R$17*R$17*BG26)</f>
        <v>777076.65670565306</v>
      </c>
      <c r="S26" s="102" t="str">
        <f>IF(ISTEXT('Incurred 2.5% cpi'!S26),"",'Incurred 2.5% cpi'!S26/'Incurred 2.5% cpi'!S$17*Incurred!S$17*BH26)</f>
        <v/>
      </c>
      <c r="T26" s="16" t="str">
        <f>IF(ISTEXT('Incurred 2.5% cpi'!T26),"",'Incurred 2.5% cpi'!T26/'Incurred 2.5% cpi'!T$17*Incurred!T$17*BI26)</f>
        <v/>
      </c>
      <c r="U26" s="16" t="str">
        <f>IF(ISTEXT('Incurred 2.5% cpi'!U26),"",'Incurred 2.5% cpi'!U26/'Incurred 2.5% cpi'!U$17*Incurred!U$17*BJ26)</f>
        <v/>
      </c>
      <c r="V26" s="16" t="str">
        <f>IF(ISTEXT('Incurred 2.5% cpi'!V26),"",'Incurred 2.5% cpi'!V26/'Incurred 2.5% cpi'!V$17*Incurred!V$17*BK26)</f>
        <v/>
      </c>
      <c r="W26" s="110" t="str">
        <f>IF(ISTEXT('Incurred 2.5% cpi'!W26),"",'Incurred 2.5% cpi'!W26/'Incurred 2.5% cpi'!W$17*Incurred!W$17*BL26)</f>
        <v/>
      </c>
      <c r="X26" s="102" t="str">
        <f>IF(ISTEXT('Incurred 2.5% cpi'!X26),"",'Incurred 2.5% cpi'!X26/'Incurred 2.5% cpi'!X$17*Incurred!X$17*BM26)</f>
        <v/>
      </c>
      <c r="Y26" s="80">
        <f>SUM(F26:W26)</f>
        <v>178218929.67670563</v>
      </c>
      <c r="Z26" s="80">
        <f t="shared" ref="Z26:Z47" si="35">-SUMIFS(F26:W26,F26:W26,"&lt;0")+SUMIFS(F26:W26,F26:W26,"&gt;0")</f>
        <v>178218929.67670563</v>
      </c>
      <c r="AA26" s="566">
        <f t="shared" ref="AA26:AA47" si="36">IF(ROUND(Y26,0)=0,0,SUMPRODUCT($F$20:$W$20,F26:W26))</f>
        <v>234550474.06518933</v>
      </c>
      <c r="AB26" s="566">
        <f t="shared" ref="AB26:AB47" si="37">IF(AC26="","",AA26/AC26)</f>
        <v>207308442.16336244</v>
      </c>
      <c r="AC26" s="567">
        <f t="shared" ref="AC26:AC47" si="38">IF(AF26="","",IF(AF26&lt;AD26,INDEX($F$20:$W$20,1,MATCH(TEXT(AF26,"000"),$F$24:$W$24)),INDEX($F$20:$W$20,1,MATCH(AD26,$F$24:$W$24))))</f>
        <v>1.1314082128906247</v>
      </c>
      <c r="AD26" s="568" t="str">
        <f t="shared" ref="AD26:AD47" si="39">IF(AI26=0,"",INDEX($F$24:$W$24,1,MATCH(AI26,F26:W26,0)))</f>
        <v>2018</v>
      </c>
      <c r="AE26" s="569">
        <v>40876</v>
      </c>
      <c r="AF26" s="568" t="s">
        <v>3152</v>
      </c>
      <c r="AG26" s="569"/>
      <c r="AH26" s="566">
        <f>IF(ROUND(Y26,0)=0,0,SUMPRODUCT($F$19:$W$19,F26:W26))</f>
        <v>207308442.16336241</v>
      </c>
      <c r="AI26" s="80">
        <f t="shared" ref="AI26:AI47" si="40">IF(ROUND(Z26,0)=0,0,LOOKUP(2,1/(F26:W26&lt;&gt;""),F26:W26))</f>
        <v>777076.65670565306</v>
      </c>
      <c r="AJ26" s="571" t="s">
        <v>0</v>
      </c>
      <c r="AK26" s="875">
        <f t="shared" ref="AK26:AK47" si="41">IF(ISNA(VLOOKUP($A26,Estimates,71,FALSE)),0,VLOOKUP($A26,Estimates,71,FALSE))</f>
        <v>0</v>
      </c>
      <c r="AL26" s="28">
        <f t="shared" ref="AL26:BE26" si="42">IF($AK26=0,VLOOKUP(MID($A26,4,5),ProjectSplits,AL$23,FALSE),IF(ISNA(VLOOKUP($A26,Estimates,AL$22,FALSE)),VLOOKUP(MID($A26,4,5),ProjectSplits,AL$23,FALSE),VLOOKUP($A26,Estimates,AL$22,FALSE)))</f>
        <v>0</v>
      </c>
      <c r="AM26" s="28">
        <f t="shared" si="42"/>
        <v>0</v>
      </c>
      <c r="AN26" s="28">
        <f t="shared" si="42"/>
        <v>4.4874302157497943E-2</v>
      </c>
      <c r="AO26" s="28">
        <f t="shared" si="42"/>
        <v>0</v>
      </c>
      <c r="AP26" s="28">
        <f t="shared" si="42"/>
        <v>0</v>
      </c>
      <c r="AQ26" s="28">
        <f t="shared" si="42"/>
        <v>0</v>
      </c>
      <c r="AR26" s="28">
        <f t="shared" si="42"/>
        <v>7.6869566107446395E-4</v>
      </c>
      <c r="AS26" s="28">
        <f t="shared" si="42"/>
        <v>0</v>
      </c>
      <c r="AT26" s="28">
        <f t="shared" si="42"/>
        <v>0</v>
      </c>
      <c r="AU26" s="28">
        <f t="shared" si="42"/>
        <v>0.25202997004207189</v>
      </c>
      <c r="AV26" s="28">
        <f t="shared" si="42"/>
        <v>0</v>
      </c>
      <c r="AW26" s="28">
        <f t="shared" si="42"/>
        <v>0.13029368434774419</v>
      </c>
      <c r="AX26" s="28">
        <f t="shared" si="42"/>
        <v>0</v>
      </c>
      <c r="AY26" s="28">
        <f t="shared" si="42"/>
        <v>0</v>
      </c>
      <c r="AZ26" s="28">
        <f t="shared" si="42"/>
        <v>4.5298550890942951E-2</v>
      </c>
      <c r="BA26" s="28">
        <f t="shared" si="42"/>
        <v>0</v>
      </c>
      <c r="BB26" s="28">
        <f t="shared" si="42"/>
        <v>0.5267347969006686</v>
      </c>
      <c r="BC26" s="28">
        <f t="shared" si="42"/>
        <v>0</v>
      </c>
      <c r="BD26" s="28">
        <f t="shared" si="42"/>
        <v>0</v>
      </c>
      <c r="BE26" s="28">
        <f t="shared" si="42"/>
        <v>0</v>
      </c>
      <c r="BF26" s="27">
        <f>SUM(AL26:BD26)</f>
        <v>1</v>
      </c>
      <c r="BG26" s="520">
        <f t="shared" ref="BG26:BG55" si="43">1+IF(ISNA(VLOOKUP($A26,ProjLabEsc,7,FALSE)),VLOOKUP(D26,CatLabEsc,4,FALSE),VLOOKUP(A26,ProjLabEsc,7,FALSE))*Labesc18*LabIn</f>
        <v>1.0030444840366091</v>
      </c>
      <c r="BH26" s="520">
        <f t="shared" ref="BH26:BH47" si="44">1+IF(ISNA(VLOOKUP($A26,ProjLabEsc,7,FALSE)),VLOOKUP($D26,CatLabEsc,4,FALSE),VLOOKUP($A26,ProjLabEsc,7,FALSE))*LabEsc19*LabIn</f>
        <v>1.0058179046998681</v>
      </c>
      <c r="BI26" s="520">
        <f t="shared" ref="BI26:BI47" si="45">1+IF(ISNA(VLOOKUP($A26,ProjLabEsc,7,FALSE)),VLOOKUP($D26,CatLabEsc,4,FALSE),VLOOKUP($A26,ProjLabEsc,7,FALSE))*LabEsc20*LabIn</f>
        <v>1.0088194946014175</v>
      </c>
      <c r="BJ26" s="520">
        <f t="shared" ref="BJ26:BJ47" si="46">1+IF(ISNA(VLOOKUP($A26,ProjLabEsc,7,FALSE)),VLOOKUP($D26,CatLabEsc,4,FALSE),VLOOKUP($A26,ProjLabEsc,7,FALSE))*LabEsc21*LabIn</f>
        <v>1.0122866825201464</v>
      </c>
      <c r="BK26" s="520">
        <f t="shared" ref="BK26:BK47" si="47">1+IF(ISNA(VLOOKUP($A26,ProjLabEsc,7,FALSE)),VLOOKUP($D26,CatLabEsc,4,FALSE),VLOOKUP($A26,ProjLabEsc,7,FALSE))*LabEsc22*LabIn</f>
        <v>1.0173379563051834</v>
      </c>
      <c r="BL26" s="520">
        <f t="shared" ref="BL26:BL47" si="48">1+IF(ISNA(VLOOKUP($A26,ProjLabEsc,7,FALSE)),VLOOKUP($D26,CatLabEsc,4,FALSE),VLOOKUP($A26,ProjLabEsc,7,FALSE))*LabEsc23*LabIn</f>
        <v>1.023019742566414</v>
      </c>
      <c r="BM26" s="520">
        <f t="shared" ref="BM26:BM47" si="49">1+IF(ISNA(VLOOKUP($A26,ProjLabEsc,7,FALSE)),VLOOKUP($D26,CatLabEsc,4,FALSE),VLOOKUP($A26,ProjLabEsc,7,FALSE))*LabEsc24*LabIn</f>
        <v>1.026823544212498</v>
      </c>
      <c r="BN26" s="521" t="str">
        <f t="shared" ref="BN26:BN47" si="50">IF(ISNA(VLOOKUP($A26,ProjLabEsc,7,FALSE)),"Category","Project")</f>
        <v>Category</v>
      </c>
      <c r="BP26" s="3"/>
      <c r="BQ26" s="3">
        <f>ROUND(SUMPRODUCT(P26:Q26,$P$19:$Q$19)+(483117-P26-Q26)*$O$19,2)</f>
        <v>503904.69</v>
      </c>
    </row>
    <row r="27" spans="1:69" hidden="1" x14ac:dyDescent="0.15">
      <c r="A27" s="12" t="s">
        <v>34</v>
      </c>
      <c r="B27" s="13" t="s">
        <v>35</v>
      </c>
      <c r="C27" s="13" t="s">
        <v>27</v>
      </c>
      <c r="D27" s="13" t="s">
        <v>28</v>
      </c>
      <c r="E27" s="13" t="s">
        <v>29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798544.67</v>
      </c>
      <c r="M27" s="15">
        <v>913779.99</v>
      </c>
      <c r="N27" s="670">
        <v>1978728.67</v>
      </c>
      <c r="O27" s="14">
        <v>5687410.8899999997</v>
      </c>
      <c r="P27" s="15">
        <f>'Incurred 2.5% cpi'!P27</f>
        <v>23030612.23</v>
      </c>
      <c r="Q27" s="15">
        <f>IF(ISTEXT('Incurred 2.5% cpi'!Q27),"",'Incurred 2.5% cpi'!Q27/'Incurred 2.5% cpi'!Q$17*Incurred!Q$17)</f>
        <v>3368344.82</v>
      </c>
      <c r="R27" s="110">
        <f>IF(ISTEXT('Incurred 2.5% cpi'!R27),"",'Incurred 2.5% cpi'!R27/'Incurred 2.5% cpi'!R$17*Incurred!R$17*BG27)</f>
        <v>1798969.9414380395</v>
      </c>
      <c r="S27" s="102" t="str">
        <f>IF(ISTEXT('Incurred 2.5% cpi'!S27),"",'Incurred 2.5% cpi'!S27/'Incurred 2.5% cpi'!S$17*Incurred!S$17*BH27)</f>
        <v/>
      </c>
      <c r="T27" s="16" t="str">
        <f>IF(ISTEXT('Incurred 2.5% cpi'!T27),"",'Incurred 2.5% cpi'!T27/'Incurred 2.5% cpi'!T$17*Incurred!T$17*BI27)</f>
        <v/>
      </c>
      <c r="U27" s="16" t="str">
        <f>IF(ISTEXT('Incurred 2.5% cpi'!U27),"",'Incurred 2.5% cpi'!U27/'Incurred 2.5% cpi'!U$17*Incurred!U$17*BJ27)</f>
        <v/>
      </c>
      <c r="V27" s="16" t="str">
        <f>IF(ISTEXT('Incurred 2.5% cpi'!V27),"",'Incurred 2.5% cpi'!V27/'Incurred 2.5% cpi'!V$17*Incurred!V$17*BK27)</f>
        <v/>
      </c>
      <c r="W27" s="110" t="str">
        <f>IF(ISTEXT('Incurred 2.5% cpi'!W27),"",'Incurred 2.5% cpi'!W27/'Incurred 2.5% cpi'!W$17*Incurred!W$17*BL27)</f>
        <v/>
      </c>
      <c r="X27" s="102" t="str">
        <f>IF(ISTEXT('Incurred 2.5% cpi'!X27),"",'Incurred 2.5% cpi'!X27/'Incurred 2.5% cpi'!X$17*Incurred!X$17*BM27)</f>
        <v/>
      </c>
      <c r="Y27" s="80">
        <f t="shared" ref="Y27:Y56" si="51">SUM(F27:W27)</f>
        <v>37576391.211438037</v>
      </c>
      <c r="Z27" s="80">
        <f t="shared" si="35"/>
        <v>37576391.211438037</v>
      </c>
      <c r="AA27" s="566">
        <f t="shared" si="36"/>
        <v>44615570.530528121</v>
      </c>
      <c r="AB27" s="566">
        <f t="shared" si="37"/>
        <v>39433663.307552099</v>
      </c>
      <c r="AC27" s="567">
        <f>IF(AF27="","",IF(AF27&lt;VALUE(AD27),INDEX($F$20:$W$20,1,MATCH(TEXT(AF27,"000"),$F$24:$W$24)),INDEX($F$20:$W$20,1,MATCH(AD27,$F$24:$W$24))))</f>
        <v>1.1314082128906247</v>
      </c>
      <c r="AD27" s="568" t="str">
        <f t="shared" si="39"/>
        <v>2018</v>
      </c>
      <c r="AE27" s="569">
        <v>42576</v>
      </c>
      <c r="AF27" s="568" t="s">
        <v>3152</v>
      </c>
      <c r="AG27" s="569"/>
      <c r="AH27" s="566">
        <f>IF(ROUND(Y27,0)=0,0,SUMPRODUCT($F$19:$W$19,F27:W27))</f>
        <v>39433663.307552099</v>
      </c>
      <c r="AI27" s="80">
        <f t="shared" si="40"/>
        <v>1798969.9414380395</v>
      </c>
      <c r="AJ27" s="571" t="s">
        <v>0</v>
      </c>
      <c r="AK27" s="875">
        <f>IF(ISNA(VLOOKUP(LEFT($A27,8),Estimates,72,FALSE)),0,VLOOKUP(LEFT($A27,8),Estimates,72,FALSE))</f>
        <v>26346858.324677039</v>
      </c>
      <c r="AL27" s="28">
        <f t="shared" ref="AL27:AU28" si="52">IF($AK27=0,VLOOKUP(MID($A27,4,5),ProjectSplits,AL$23,FALSE),IF(ISNA(VLOOKUP($A27,Estimates,AL$22,FALSE)),VLOOKUP(MID($A27,4,5),ProjectSplits,AL$23,FALSE),VLOOKUP($A27,Estimates,AL$22,FALSE)))</f>
        <v>0</v>
      </c>
      <c r="AM27" s="28">
        <f t="shared" si="52"/>
        <v>4.5909214660884122E-2</v>
      </c>
      <c r="AN27" s="28">
        <f t="shared" si="52"/>
        <v>3.1340458710143203E-2</v>
      </c>
      <c r="AO27" s="28">
        <f t="shared" si="52"/>
        <v>0</v>
      </c>
      <c r="AP27" s="28">
        <f t="shared" si="52"/>
        <v>0</v>
      </c>
      <c r="AQ27" s="28">
        <f t="shared" si="52"/>
        <v>6.0728303173178009E-3</v>
      </c>
      <c r="AR27" s="28">
        <f t="shared" si="52"/>
        <v>0</v>
      </c>
      <c r="AS27" s="28">
        <f t="shared" si="52"/>
        <v>0</v>
      </c>
      <c r="AT27" s="28">
        <f t="shared" si="52"/>
        <v>0</v>
      </c>
      <c r="AU27" s="28">
        <f t="shared" si="52"/>
        <v>0.55817574703242634</v>
      </c>
      <c r="AV27" s="28">
        <f t="shared" ref="AV27:BE28" si="53">IF($AK27=0,VLOOKUP(MID($A27,4,5),ProjectSplits,AV$23,FALSE),IF(ISNA(VLOOKUP($A27,Estimates,AV$22,FALSE)),VLOOKUP(MID($A27,4,5),ProjectSplits,AV$23,FALSE),VLOOKUP($A27,Estimates,AV$22,FALSE)))</f>
        <v>2.7160788041347264E-2</v>
      </c>
      <c r="AW27" s="28">
        <f t="shared" si="53"/>
        <v>0.18527269204316513</v>
      </c>
      <c r="AX27" s="28">
        <f t="shared" si="53"/>
        <v>2.2649759321720371E-2</v>
      </c>
      <c r="AY27" s="28">
        <f t="shared" si="53"/>
        <v>0</v>
      </c>
      <c r="AZ27" s="28">
        <f t="shared" si="53"/>
        <v>8.5019624438218755E-2</v>
      </c>
      <c r="BA27" s="28">
        <f t="shared" si="53"/>
        <v>3.8398885434777243E-2</v>
      </c>
      <c r="BB27" s="28">
        <f t="shared" si="53"/>
        <v>0</v>
      </c>
      <c r="BC27" s="28">
        <f t="shared" si="53"/>
        <v>0</v>
      </c>
      <c r="BD27" s="28">
        <f t="shared" si="53"/>
        <v>0</v>
      </c>
      <c r="BE27" s="28">
        <f t="shared" si="53"/>
        <v>0</v>
      </c>
      <c r="BF27" s="27">
        <f t="shared" ref="BF27:BF28" si="54">SUM(AL27:BD27)</f>
        <v>1.0000000000000002</v>
      </c>
      <c r="BG27" s="520">
        <f t="shared" si="43"/>
        <v>1.0030444840366091</v>
      </c>
      <c r="BH27" s="520">
        <f t="shared" si="44"/>
        <v>1.0058179046998681</v>
      </c>
      <c r="BI27" s="520">
        <f t="shared" si="45"/>
        <v>1.0088194946014175</v>
      </c>
      <c r="BJ27" s="520">
        <f t="shared" si="46"/>
        <v>1.0122866825201464</v>
      </c>
      <c r="BK27" s="520">
        <f t="shared" si="47"/>
        <v>1.0173379563051834</v>
      </c>
      <c r="BL27" s="520">
        <f t="shared" si="48"/>
        <v>1.023019742566414</v>
      </c>
      <c r="BM27" s="520">
        <f t="shared" si="49"/>
        <v>1.026823544212498</v>
      </c>
      <c r="BN27" s="521" t="str">
        <f t="shared" si="50"/>
        <v>Category</v>
      </c>
      <c r="BP27" s="3">
        <f>SUMPRODUCT(F27:P27,$F$19:$P$19)/$Q$19</f>
        <v>33348429.195721038</v>
      </c>
      <c r="BQ27" s="3"/>
    </row>
    <row r="28" spans="1:69" hidden="1" x14ac:dyDescent="0.15">
      <c r="A28" s="12" t="s">
        <v>37</v>
      </c>
      <c r="B28" s="13" t="s">
        <v>38</v>
      </c>
      <c r="C28" s="13" t="s">
        <v>27</v>
      </c>
      <c r="D28" s="13" t="s">
        <v>31</v>
      </c>
      <c r="E28" s="13" t="s">
        <v>29</v>
      </c>
      <c r="F28" s="14">
        <v>14316.59</v>
      </c>
      <c r="G28" s="14">
        <v>182203.75</v>
      </c>
      <c r="H28" s="14">
        <v>485896.08</v>
      </c>
      <c r="I28" s="14">
        <v>1703092.27</v>
      </c>
      <c r="J28" s="14">
        <v>14056261.109999999</v>
      </c>
      <c r="K28" s="14">
        <v>5216315.03</v>
      </c>
      <c r="L28" s="14">
        <v>228703</v>
      </c>
      <c r="M28" s="15">
        <v>282437.38</v>
      </c>
      <c r="N28" s="670">
        <v>-151764.68</v>
      </c>
      <c r="O28" s="14">
        <v>247663.51</v>
      </c>
      <c r="P28" s="15">
        <v>88534.74</v>
      </c>
      <c r="Q28" s="15">
        <f>IF(ISTEXT('Incurred 2.5% cpi'!Q28),"",'Incurred 2.5% cpi'!Q28/'Incurred 2.5% cpi'!Q$17*Incurred!Q$17)</f>
        <v>492156.87</v>
      </c>
      <c r="R28" s="110">
        <f>IF(ISTEXT('Incurred 2.5% cpi'!R28),"",'Incurred 2.5% cpi'!R28/'Incurred 2.5% cpi'!R$17*Incurred!R$17*BG28)</f>
        <v>68416.49052061257</v>
      </c>
      <c r="S28" s="102" t="str">
        <f>IF(ISTEXT('Incurred 2.5% cpi'!S28),"",'Incurred 2.5% cpi'!S28/'Incurred 2.5% cpi'!S$17*Incurred!S$17*BH28)</f>
        <v/>
      </c>
      <c r="T28" s="16" t="str">
        <f>IF(ISTEXT('Incurred 2.5% cpi'!T28),"",'Incurred 2.5% cpi'!T28/'Incurred 2.5% cpi'!T$17*Incurred!T$17*BI28)</f>
        <v/>
      </c>
      <c r="U28" s="16" t="str">
        <f>IF(ISTEXT('Incurred 2.5% cpi'!U28),"",'Incurred 2.5% cpi'!U28/'Incurred 2.5% cpi'!U$17*Incurred!U$17*BJ28)</f>
        <v/>
      </c>
      <c r="V28" s="16" t="str">
        <f>IF(ISTEXT('Incurred 2.5% cpi'!V28),"",'Incurred 2.5% cpi'!V28/'Incurred 2.5% cpi'!V$17*Incurred!V$17*BK28)</f>
        <v/>
      </c>
      <c r="W28" s="110" t="str">
        <f>IF(ISTEXT('Incurred 2.5% cpi'!W28),"",'Incurred 2.5% cpi'!W28/'Incurred 2.5% cpi'!W$17*Incurred!W$17*BL28)</f>
        <v/>
      </c>
      <c r="X28" s="102" t="str">
        <f>IF(ISTEXT('Incurred 2.5% cpi'!X28),"",'Incurred 2.5% cpi'!X28/'Incurred 2.5% cpi'!X$17*Incurred!X$17*BM28)</f>
        <v/>
      </c>
      <c r="Y28" s="80">
        <f t="shared" si="51"/>
        <v>22914232.14052061</v>
      </c>
      <c r="Z28" s="80">
        <f t="shared" si="35"/>
        <v>23217761.500520609</v>
      </c>
      <c r="AA28" s="566">
        <f t="shared" si="36"/>
        <v>30573606.554367729</v>
      </c>
      <c r="AB28" s="566">
        <f t="shared" si="37"/>
        <v>27022613.240764353</v>
      </c>
      <c r="AC28" s="567">
        <f t="shared" si="38"/>
        <v>1.1314082128906247</v>
      </c>
      <c r="AD28" s="568" t="str">
        <f t="shared" si="39"/>
        <v>2018</v>
      </c>
      <c r="AE28" s="569">
        <v>40525</v>
      </c>
      <c r="AF28" s="568" t="s">
        <v>3152</v>
      </c>
      <c r="AG28" s="569"/>
      <c r="AH28" s="566">
        <f>IF(ROUND(Y28,0)=0,0,SUMPRODUCT($F$19:$W$19,F28:W28))</f>
        <v>27022613.240764346</v>
      </c>
      <c r="AI28" s="80">
        <f t="shared" si="40"/>
        <v>68416.49052061257</v>
      </c>
      <c r="AJ28" s="571" t="s">
        <v>0</v>
      </c>
      <c r="AK28" s="875">
        <f t="shared" si="41"/>
        <v>0</v>
      </c>
      <c r="AL28" s="28">
        <f t="shared" si="52"/>
        <v>0</v>
      </c>
      <c r="AM28" s="28">
        <f t="shared" si="52"/>
        <v>0</v>
      </c>
      <c r="AN28" s="28">
        <f t="shared" si="52"/>
        <v>9.5604049437070203E-3</v>
      </c>
      <c r="AO28" s="28">
        <f t="shared" si="52"/>
        <v>0</v>
      </c>
      <c r="AP28" s="28">
        <f t="shared" si="52"/>
        <v>0</v>
      </c>
      <c r="AQ28" s="28">
        <f t="shared" si="52"/>
        <v>0</v>
      </c>
      <c r="AR28" s="28">
        <f t="shared" si="52"/>
        <v>0</v>
      </c>
      <c r="AS28" s="28">
        <f t="shared" si="52"/>
        <v>0</v>
      </c>
      <c r="AT28" s="28">
        <f t="shared" si="52"/>
        <v>0</v>
      </c>
      <c r="AU28" s="28">
        <f t="shared" si="52"/>
        <v>0.56218143898982686</v>
      </c>
      <c r="AV28" s="28">
        <f t="shared" si="53"/>
        <v>0</v>
      </c>
      <c r="AW28" s="28">
        <f t="shared" si="53"/>
        <v>0.26308070577347437</v>
      </c>
      <c r="AX28" s="28">
        <f t="shared" si="53"/>
        <v>0</v>
      </c>
      <c r="AY28" s="28">
        <f t="shared" si="53"/>
        <v>0</v>
      </c>
      <c r="AZ28" s="28">
        <f t="shared" si="53"/>
        <v>0.13730816501851864</v>
      </c>
      <c r="BA28" s="28">
        <f t="shared" si="53"/>
        <v>2.7869285274473111E-2</v>
      </c>
      <c r="BB28" s="28">
        <f t="shared" si="53"/>
        <v>0</v>
      </c>
      <c r="BC28" s="28">
        <f t="shared" si="53"/>
        <v>0</v>
      </c>
      <c r="BD28" s="28">
        <f t="shared" si="53"/>
        <v>0</v>
      </c>
      <c r="BE28" s="28">
        <f t="shared" si="53"/>
        <v>0</v>
      </c>
      <c r="BF28" s="27">
        <f t="shared" si="54"/>
        <v>1</v>
      </c>
      <c r="BG28" s="520">
        <f t="shared" si="43"/>
        <v>1.0031222795856722</v>
      </c>
      <c r="BH28" s="520">
        <f t="shared" si="44"/>
        <v>1.005966569329106</v>
      </c>
      <c r="BI28" s="520">
        <f t="shared" si="45"/>
        <v>1.0090448587080203</v>
      </c>
      <c r="BJ28" s="520">
        <f t="shared" si="46"/>
        <v>1.012600643507074</v>
      </c>
      <c r="BK28" s="520">
        <f t="shared" si="47"/>
        <v>1.0177809922397374</v>
      </c>
      <c r="BL28" s="520">
        <f t="shared" si="48"/>
        <v>1.023607964902518</v>
      </c>
      <c r="BM28" s="520">
        <f t="shared" si="49"/>
        <v>1.0275089649027487</v>
      </c>
      <c r="BN28" s="521" t="str">
        <f t="shared" si="50"/>
        <v>Category</v>
      </c>
      <c r="BP28" s="3"/>
      <c r="BQ28" s="3">
        <f>ROUND(SUMPRODUCT(P28:Q28,$P$19:$Q$19)+(673227-P28-Q28)*$O$19,2)</f>
        <v>695272.66</v>
      </c>
    </row>
    <row r="29" spans="1:69" hidden="1" x14ac:dyDescent="0.15">
      <c r="A29" s="12" t="s">
        <v>42</v>
      </c>
      <c r="B29" s="13" t="s">
        <v>43</v>
      </c>
      <c r="C29" s="13" t="s">
        <v>27</v>
      </c>
      <c r="D29" s="13" t="s">
        <v>44</v>
      </c>
      <c r="E29" s="13" t="s">
        <v>45</v>
      </c>
      <c r="F29" s="14">
        <v>24174.52</v>
      </c>
      <c r="G29" s="14">
        <v>1563.51</v>
      </c>
      <c r="H29" s="14">
        <v>0</v>
      </c>
      <c r="I29" s="14">
        <v>383.71</v>
      </c>
      <c r="J29" s="14">
        <v>0</v>
      </c>
      <c r="K29" s="14">
        <v>0</v>
      </c>
      <c r="L29" s="14">
        <v>0</v>
      </c>
      <c r="M29" s="15">
        <v>0</v>
      </c>
      <c r="N29" s="670"/>
      <c r="O29" s="14"/>
      <c r="P29" s="15"/>
      <c r="Q29" s="15" t="str">
        <f>IF(ISTEXT('Incurred 2.5% cpi'!Q29),"",'Incurred 2.5% cpi'!Q29/'Incurred 2.5% cpi'!Q$17*Incurred!Q$17)</f>
        <v/>
      </c>
      <c r="R29" s="110">
        <f>IF(ISTEXT('Incurred 2.5% cpi'!R29),"",'Incurred 2.5% cpi'!R29/'Incurred 2.5% cpi'!R$17*Incurred!R$17*BG29)</f>
        <v>-617213.93675115006</v>
      </c>
      <c r="S29" s="102" t="str">
        <f>IF(ISTEXT('Incurred 2.5% cpi'!S29),"",'Incurred 2.5% cpi'!S29/'Incurred 2.5% cpi'!S$17*Incurred!S$17*BH29)</f>
        <v/>
      </c>
      <c r="T29" s="16" t="str">
        <f>IF(ISTEXT('Incurred 2.5% cpi'!T29),"",'Incurred 2.5% cpi'!T29/'Incurred 2.5% cpi'!T$17*Incurred!T$17*BI29)</f>
        <v/>
      </c>
      <c r="U29" s="16" t="str">
        <f>IF(ISTEXT('Incurred 2.5% cpi'!U29),"",'Incurred 2.5% cpi'!U29/'Incurred 2.5% cpi'!U$17*Incurred!U$17*BJ29)</f>
        <v/>
      </c>
      <c r="V29" s="16" t="str">
        <f>IF(ISTEXT('Incurred 2.5% cpi'!V29),"",'Incurred 2.5% cpi'!V29/'Incurred 2.5% cpi'!V$17*Incurred!V$17*BK29)</f>
        <v/>
      </c>
      <c r="W29" s="110" t="str">
        <f>IF(ISTEXT('Incurred 2.5% cpi'!W29),"",'Incurred 2.5% cpi'!W29/'Incurred 2.5% cpi'!W$17*Incurred!W$17*BL29)</f>
        <v/>
      </c>
      <c r="X29" s="102">
        <f>IF(ISTEXT('Incurred 2.5% cpi'!X29),"",'Incurred 2.5% cpi'!X29/'Incurred 2.5% cpi'!X$17*Incurred!X$17*BM29)</f>
        <v>-4.0485949709680578E-2</v>
      </c>
      <c r="Y29" s="80">
        <f t="shared" si="51"/>
        <v>-591092.19675115007</v>
      </c>
      <c r="Z29" s="80">
        <f t="shared" si="35"/>
        <v>643335.67675115005</v>
      </c>
      <c r="AA29" s="572">
        <f>IF(ROUND(Y29,0)=0,0,SUMPRODUCT($F$20:$W$20,F29:W29))*0</f>
        <v>0</v>
      </c>
      <c r="AB29" s="566" t="str">
        <f t="shared" si="37"/>
        <v/>
      </c>
      <c r="AC29" s="567"/>
      <c r="AD29" s="568" t="str">
        <f t="shared" si="39"/>
        <v>2018</v>
      </c>
      <c r="AE29" s="569">
        <v>46317</v>
      </c>
      <c r="AF29" s="568"/>
      <c r="AG29" s="569"/>
      <c r="AH29" s="572">
        <f>IF(ROUND(Y29,0)=0,0,SUMPRODUCT($F$19:$W$19,F29:W29))*0</f>
        <v>0</v>
      </c>
      <c r="AI29" s="80">
        <f t="shared" si="40"/>
        <v>-617213.93675115006</v>
      </c>
      <c r="AJ29" s="571" t="s">
        <v>0</v>
      </c>
      <c r="AK29" s="875">
        <f t="shared" si="41"/>
        <v>0</v>
      </c>
      <c r="AL29" s="28">
        <f t="shared" ref="AL29:AU30" si="55">IF($AK29=0,VLOOKUP(MID($A29,4,5),ProjectSplits,AL$23,FALSE),IF(ISNA(VLOOKUP($A29,Estimates,AL$22,FALSE)),VLOOKUP(MID($A29,4,5),ProjectSplits,AL$23,FALSE),VLOOKUP($A29,Estimates,AL$22,FALSE)))</f>
        <v>0</v>
      </c>
      <c r="AM29" s="28">
        <f t="shared" si="55"/>
        <v>0</v>
      </c>
      <c r="AN29" s="28">
        <f t="shared" si="55"/>
        <v>0</v>
      </c>
      <c r="AO29" s="28">
        <f t="shared" si="55"/>
        <v>0</v>
      </c>
      <c r="AP29" s="28">
        <f t="shared" si="55"/>
        <v>0</v>
      </c>
      <c r="AQ29" s="28">
        <f t="shared" si="55"/>
        <v>1</v>
      </c>
      <c r="AR29" s="28">
        <f t="shared" si="55"/>
        <v>0</v>
      </c>
      <c r="AS29" s="28">
        <f t="shared" si="55"/>
        <v>0</v>
      </c>
      <c r="AT29" s="28">
        <f t="shared" si="55"/>
        <v>0</v>
      </c>
      <c r="AU29" s="28">
        <f t="shared" si="55"/>
        <v>0</v>
      </c>
      <c r="AV29" s="28">
        <f t="shared" ref="AV29:BE30" si="56">IF($AK29=0,VLOOKUP(MID($A29,4,5),ProjectSplits,AV$23,FALSE),IF(ISNA(VLOOKUP($A29,Estimates,AV$22,FALSE)),VLOOKUP(MID($A29,4,5),ProjectSplits,AV$23,FALSE),VLOOKUP($A29,Estimates,AV$22,FALSE)))</f>
        <v>0</v>
      </c>
      <c r="AW29" s="28">
        <f t="shared" si="56"/>
        <v>0</v>
      </c>
      <c r="AX29" s="28">
        <f t="shared" si="56"/>
        <v>0</v>
      </c>
      <c r="AY29" s="28">
        <f t="shared" si="56"/>
        <v>0</v>
      </c>
      <c r="AZ29" s="28">
        <f t="shared" si="56"/>
        <v>0</v>
      </c>
      <c r="BA29" s="28">
        <f t="shared" si="56"/>
        <v>0</v>
      </c>
      <c r="BB29" s="28">
        <f t="shared" si="56"/>
        <v>0</v>
      </c>
      <c r="BC29" s="28">
        <f t="shared" si="56"/>
        <v>0</v>
      </c>
      <c r="BD29" s="28">
        <f t="shared" si="56"/>
        <v>0</v>
      </c>
      <c r="BE29" s="28">
        <f t="shared" si="56"/>
        <v>0</v>
      </c>
      <c r="BF29" s="27">
        <f t="shared" ref="BF29:BF30" si="57">SUM(AL29:BD29)</f>
        <v>1</v>
      </c>
      <c r="BG29" s="520">
        <f t="shared" si="43"/>
        <v>1.0013788876313259</v>
      </c>
      <c r="BH29" s="520">
        <f t="shared" si="44"/>
        <v>1.0026350070272714</v>
      </c>
      <c r="BI29" s="520">
        <f t="shared" si="45"/>
        <v>1.0039944673298349</v>
      </c>
      <c r="BJ29" s="520">
        <f t="shared" si="46"/>
        <v>1.0055648032156956</v>
      </c>
      <c r="BK29" s="520">
        <f t="shared" si="47"/>
        <v>1.0078525928249935</v>
      </c>
      <c r="BL29" s="520">
        <f t="shared" si="48"/>
        <v>1.0104259499867456</v>
      </c>
      <c r="BM29" s="520">
        <f t="shared" si="49"/>
        <v>1.0121487427420144</v>
      </c>
      <c r="BN29" s="521" t="str">
        <f t="shared" si="50"/>
        <v>Category</v>
      </c>
      <c r="BP29" s="3"/>
    </row>
    <row r="30" spans="1:69" hidden="1" x14ac:dyDescent="0.15">
      <c r="A30" s="12" t="s">
        <v>46</v>
      </c>
      <c r="B30" s="13" t="s">
        <v>47</v>
      </c>
      <c r="C30" s="13" t="s">
        <v>27</v>
      </c>
      <c r="D30" s="13" t="s">
        <v>40</v>
      </c>
      <c r="E30" s="13" t="s">
        <v>29</v>
      </c>
      <c r="F30" s="14">
        <v>21868.92</v>
      </c>
      <c r="G30" s="14">
        <v>297382.73</v>
      </c>
      <c r="H30" s="14">
        <v>171231.17</v>
      </c>
      <c r="I30" s="14">
        <v>64637.61</v>
      </c>
      <c r="J30" s="14">
        <v>0</v>
      </c>
      <c r="K30" s="14">
        <v>61467.839999999997</v>
      </c>
      <c r="L30" s="14">
        <v>2533646.94</v>
      </c>
      <c r="M30" s="15">
        <v>25051794.890000001</v>
      </c>
      <c r="N30" s="670">
        <v>12265063.91</v>
      </c>
      <c r="O30" s="14">
        <v>816930.73</v>
      </c>
      <c r="P30" s="15">
        <v>209044.69</v>
      </c>
      <c r="Q30" s="15">
        <f>IF(ISTEXT('Incurred 2.5% cpi'!Q30),"",'Incurred 2.5% cpi'!Q30/'Incurred 2.5% cpi'!Q$17*Incurred!Q$17)</f>
        <v>49626.89</v>
      </c>
      <c r="R30" s="110" t="str">
        <f>IF(ISTEXT('Incurred 2.5% cpi'!R30),"",'Incurred 2.5% cpi'!R30/'Incurred 2.5% cpi'!R$17*Incurred!R$17*BG30)</f>
        <v/>
      </c>
      <c r="S30" s="102" t="str">
        <f>IF(ISTEXT('Incurred 2.5% cpi'!S30),"",'Incurred 2.5% cpi'!S30/'Incurred 2.5% cpi'!S$17*Incurred!S$17*BH30)</f>
        <v/>
      </c>
      <c r="T30" s="16" t="str">
        <f>IF(ISTEXT('Incurred 2.5% cpi'!T30),"",'Incurred 2.5% cpi'!T30/'Incurred 2.5% cpi'!T$17*Incurred!T$17*BI30)</f>
        <v/>
      </c>
      <c r="U30" s="16" t="str">
        <f>IF(ISTEXT('Incurred 2.5% cpi'!U30),"",'Incurred 2.5% cpi'!U30/'Incurred 2.5% cpi'!U$17*Incurred!U$17*BJ30)</f>
        <v/>
      </c>
      <c r="V30" s="16" t="str">
        <f>IF(ISTEXT('Incurred 2.5% cpi'!V30),"",'Incurred 2.5% cpi'!V30/'Incurred 2.5% cpi'!V$17*Incurred!V$17*BK30)</f>
        <v/>
      </c>
      <c r="W30" s="110" t="str">
        <f>IF(ISTEXT('Incurred 2.5% cpi'!W30),"",'Incurred 2.5% cpi'!W30/'Incurred 2.5% cpi'!W$17*Incurred!W$17*BL30)</f>
        <v/>
      </c>
      <c r="X30" s="102" t="str">
        <f>IF(ISTEXT('Incurred 2.5% cpi'!X30),"",'Incurred 2.5% cpi'!X30/'Incurred 2.5% cpi'!X$17*Incurred!X$17*BM30)</f>
        <v/>
      </c>
      <c r="Y30" s="80">
        <f t="shared" si="51"/>
        <v>41542696.32</v>
      </c>
      <c r="Z30" s="80">
        <f t="shared" si="35"/>
        <v>41542696.32</v>
      </c>
      <c r="AA30" s="566">
        <f t="shared" si="36"/>
        <v>51683704.460300907</v>
      </c>
      <c r="AB30" s="566">
        <f t="shared" si="37"/>
        <v>44566696.377346426</v>
      </c>
      <c r="AC30" s="567">
        <f t="shared" si="38"/>
        <v>1.1596934182128902</v>
      </c>
      <c r="AD30" s="568" t="str">
        <f t="shared" si="39"/>
        <v>2017</v>
      </c>
      <c r="AE30" s="569">
        <v>41576</v>
      </c>
      <c r="AF30" s="568" t="s">
        <v>3152</v>
      </c>
      <c r="AG30" s="569"/>
      <c r="AH30" s="566">
        <f>IF(ROUND(Y30,0)=0,0,SUMPRODUCT($F$19:$W$19,F30:W30))</f>
        <v>45680863.786780082</v>
      </c>
      <c r="AI30" s="80">
        <f t="shared" si="40"/>
        <v>49626.89</v>
      </c>
      <c r="AJ30" s="571" t="s">
        <v>0</v>
      </c>
      <c r="AK30" s="875">
        <f t="shared" si="41"/>
        <v>0</v>
      </c>
      <c r="AL30" s="28">
        <f t="shared" si="55"/>
        <v>0</v>
      </c>
      <c r="AM30" s="28">
        <f t="shared" si="55"/>
        <v>5.99936848752763E-3</v>
      </c>
      <c r="AN30" s="28">
        <f t="shared" si="55"/>
        <v>6.880161138447323E-2</v>
      </c>
      <c r="AO30" s="28">
        <f t="shared" si="55"/>
        <v>0</v>
      </c>
      <c r="AP30" s="28">
        <f t="shared" si="55"/>
        <v>0</v>
      </c>
      <c r="AQ30" s="28">
        <f t="shared" si="55"/>
        <v>0</v>
      </c>
      <c r="AR30" s="28">
        <f t="shared" si="55"/>
        <v>0</v>
      </c>
      <c r="AS30" s="28">
        <f t="shared" si="55"/>
        <v>0</v>
      </c>
      <c r="AT30" s="28">
        <f t="shared" si="55"/>
        <v>0</v>
      </c>
      <c r="AU30" s="28">
        <f t="shared" si="55"/>
        <v>0.2140962288791419</v>
      </c>
      <c r="AV30" s="28">
        <f t="shared" si="56"/>
        <v>0</v>
      </c>
      <c r="AW30" s="28">
        <f t="shared" si="56"/>
        <v>0.34840063522013975</v>
      </c>
      <c r="AX30" s="28">
        <f t="shared" si="56"/>
        <v>0</v>
      </c>
      <c r="AY30" s="28">
        <f t="shared" si="56"/>
        <v>0</v>
      </c>
      <c r="AZ30" s="28">
        <f t="shared" si="56"/>
        <v>0.14400318053377922</v>
      </c>
      <c r="BA30" s="28">
        <f t="shared" si="56"/>
        <v>0.21869897549493836</v>
      </c>
      <c r="BB30" s="28">
        <f t="shared" si="56"/>
        <v>0</v>
      </c>
      <c r="BC30" s="28">
        <f t="shared" si="56"/>
        <v>0</v>
      </c>
      <c r="BD30" s="28">
        <f t="shared" si="56"/>
        <v>0</v>
      </c>
      <c r="BE30" s="28">
        <f t="shared" si="56"/>
        <v>0</v>
      </c>
      <c r="BF30" s="27">
        <f t="shared" si="57"/>
        <v>1.0000000000000002</v>
      </c>
      <c r="BG30" s="520">
        <f t="shared" si="43"/>
        <v>1.0034498951996242</v>
      </c>
      <c r="BH30" s="520">
        <f t="shared" si="44"/>
        <v>1.0065926315443261</v>
      </c>
      <c r="BI30" s="520">
        <f t="shared" si="45"/>
        <v>1.0099939207178206</v>
      </c>
      <c r="BJ30" s="520">
        <f t="shared" si="46"/>
        <v>1.0139228081132494</v>
      </c>
      <c r="BK30" s="520">
        <f t="shared" si="47"/>
        <v>1.0196467222390713</v>
      </c>
      <c r="BL30" s="520">
        <f t="shared" si="48"/>
        <v>1.0260851094706045</v>
      </c>
      <c r="BM30" s="520">
        <f t="shared" si="49"/>
        <v>1.0303954349252136</v>
      </c>
      <c r="BN30" s="521" t="str">
        <f t="shared" si="50"/>
        <v>Category</v>
      </c>
      <c r="BP30" s="3"/>
    </row>
    <row r="31" spans="1:69" hidden="1" x14ac:dyDescent="0.15">
      <c r="A31" s="12" t="s">
        <v>48</v>
      </c>
      <c r="B31" s="13" t="s">
        <v>49</v>
      </c>
      <c r="C31" s="13" t="s">
        <v>27</v>
      </c>
      <c r="D31" s="13" t="s">
        <v>40</v>
      </c>
      <c r="E31" s="13" t="s">
        <v>30</v>
      </c>
      <c r="F31" s="14">
        <v>5492.33</v>
      </c>
      <c r="G31" s="14">
        <v>0</v>
      </c>
      <c r="H31" s="14">
        <v>130.91999999999999</v>
      </c>
      <c r="I31" s="14">
        <v>245.68</v>
      </c>
      <c r="J31" s="14">
        <v>0</v>
      </c>
      <c r="K31" s="14">
        <v>0</v>
      </c>
      <c r="L31" s="14">
        <v>0</v>
      </c>
      <c r="M31" s="15">
        <v>0</v>
      </c>
      <c r="N31" s="670"/>
      <c r="O31" s="14"/>
      <c r="P31" s="15"/>
      <c r="Q31" s="15">
        <f>IF(ISTEXT('Incurred 2.5% cpi'!Q31),"",'Incurred 2.5% cpi'!Q31/'Incurred 2.5% cpi'!Q$17*Incurred!Q$17)</f>
        <v>-5868.93</v>
      </c>
      <c r="R31" s="110" t="str">
        <f>IF(ISTEXT('Incurred 2.5% cpi'!R31),"",'Incurred 2.5% cpi'!R31/'Incurred 2.5% cpi'!R$17*Incurred!R$17*BG31)</f>
        <v/>
      </c>
      <c r="S31" s="102" t="str">
        <f>IF(ISTEXT('Incurred 2.5% cpi'!S31),"",'Incurred 2.5% cpi'!S31/'Incurred 2.5% cpi'!S$17*Incurred!S$17*BH31)</f>
        <v/>
      </c>
      <c r="T31" s="16" t="str">
        <f>IF(ISTEXT('Incurred 2.5% cpi'!T31),"",'Incurred 2.5% cpi'!T31/'Incurred 2.5% cpi'!T$17*Incurred!T$17*BI31)</f>
        <v/>
      </c>
      <c r="U31" s="16" t="str">
        <f>IF(ISTEXT('Incurred 2.5% cpi'!U31),"",'Incurred 2.5% cpi'!U31/'Incurred 2.5% cpi'!U$17*Incurred!U$17*BJ31)</f>
        <v/>
      </c>
      <c r="V31" s="16" t="str">
        <f>IF(ISTEXT('Incurred 2.5% cpi'!V31),"",'Incurred 2.5% cpi'!V31/'Incurred 2.5% cpi'!V$17*Incurred!V$17*BK31)</f>
        <v/>
      </c>
      <c r="W31" s="110" t="str">
        <f>IF(ISTEXT('Incurred 2.5% cpi'!W31),"",'Incurred 2.5% cpi'!W31/'Incurred 2.5% cpi'!W$17*Incurred!W$17*BL31)</f>
        <v/>
      </c>
      <c r="X31" s="102" t="str">
        <f>IF(ISTEXT('Incurred 2.5% cpi'!X31),"",'Incurred 2.5% cpi'!X31/'Incurred 2.5% cpi'!X$17*Incurred!X$17*BM31)</f>
        <v/>
      </c>
      <c r="Y31" s="80">
        <f t="shared" si="51"/>
        <v>0</v>
      </c>
      <c r="Z31" s="80">
        <f t="shared" si="35"/>
        <v>11737.86</v>
      </c>
      <c r="AA31" s="572">
        <f>IF(ROUND(Y31,0)=0,0,SUMPRODUCT($F$20:$W$20,F31:W31))*0</f>
        <v>0</v>
      </c>
      <c r="AB31" s="566" t="str">
        <f t="shared" si="37"/>
        <v/>
      </c>
      <c r="AC31" s="567" t="str">
        <f t="shared" si="38"/>
        <v/>
      </c>
      <c r="AD31" s="568" t="str">
        <f t="shared" si="39"/>
        <v>2017</v>
      </c>
      <c r="AE31" s="569" t="s">
        <v>0</v>
      </c>
      <c r="AF31" s="568" t="s">
        <v>0</v>
      </c>
      <c r="AG31" s="569"/>
      <c r="AH31" s="572">
        <f>IF(ROUND(Y31,0)=0,0,SUMPRODUCT($F$19:$W$19,F31:W31))*0</f>
        <v>0</v>
      </c>
      <c r="AI31" s="80">
        <f t="shared" si="40"/>
        <v>-5868.93</v>
      </c>
      <c r="AJ31" s="571" t="s">
        <v>0</v>
      </c>
      <c r="AK31" s="875">
        <f t="shared" si="41"/>
        <v>0</v>
      </c>
      <c r="AL31" s="28">
        <f t="shared" ref="AL31:AU34" si="58">IF($AK31=0,VLOOKUP(MID($A31,4,5),ProjectSplits,AL$23,FALSE),IF(ISNA(VLOOKUP($A31,Estimates,AL$22,FALSE)),VLOOKUP(MID($A31,4,5),ProjectSplits,AL$23,FALSE),VLOOKUP($A31,Estimates,AL$22,FALSE)))</f>
        <v>0</v>
      </c>
      <c r="AM31" s="28">
        <f t="shared" si="58"/>
        <v>2.6056158987752733E-2</v>
      </c>
      <c r="AN31" s="28">
        <f t="shared" si="58"/>
        <v>9.1319062575419691E-2</v>
      </c>
      <c r="AO31" s="28">
        <f t="shared" si="58"/>
        <v>0</v>
      </c>
      <c r="AP31" s="28">
        <f t="shared" si="58"/>
        <v>0</v>
      </c>
      <c r="AQ31" s="28">
        <f t="shared" si="58"/>
        <v>6.9881752971480568E-2</v>
      </c>
      <c r="AR31" s="28">
        <f t="shared" si="58"/>
        <v>0</v>
      </c>
      <c r="AS31" s="28">
        <f t="shared" si="58"/>
        <v>0</v>
      </c>
      <c r="AT31" s="28">
        <f t="shared" si="58"/>
        <v>0</v>
      </c>
      <c r="AU31" s="28">
        <f t="shared" si="58"/>
        <v>0.3525747905768124</v>
      </c>
      <c r="AV31" s="28">
        <f t="shared" ref="AV31:BE34" si="59">IF($AK31=0,VLOOKUP(MID($A31,4,5),ProjectSplits,AV$23,FALSE),IF(ISNA(VLOOKUP($A31,Estimates,AV$22,FALSE)),VLOOKUP(MID($A31,4,5),ProjectSplits,AV$23,FALSE),VLOOKUP($A31,Estimates,AV$22,FALSE)))</f>
        <v>5.263277289874322E-2</v>
      </c>
      <c r="AW31" s="28">
        <f t="shared" si="59"/>
        <v>0.21048957495829559</v>
      </c>
      <c r="AX31" s="28">
        <f t="shared" si="59"/>
        <v>1.107858723761727E-2</v>
      </c>
      <c r="AY31" s="28">
        <f t="shared" si="59"/>
        <v>0</v>
      </c>
      <c r="AZ31" s="28">
        <f t="shared" si="59"/>
        <v>0.14008962428201663</v>
      </c>
      <c r="BA31" s="28">
        <f t="shared" si="59"/>
        <v>4.5877675511861844E-2</v>
      </c>
      <c r="BB31" s="28">
        <f t="shared" si="59"/>
        <v>0</v>
      </c>
      <c r="BC31" s="28">
        <f t="shared" si="59"/>
        <v>0</v>
      </c>
      <c r="BD31" s="28">
        <f t="shared" si="59"/>
        <v>0</v>
      </c>
      <c r="BE31" s="28">
        <f t="shared" si="59"/>
        <v>0</v>
      </c>
      <c r="BF31" s="27">
        <f t="shared" ref="BF31:BF34" si="60">SUM(AL31:BD31)</f>
        <v>1</v>
      </c>
      <c r="BG31" s="520">
        <f t="shared" si="43"/>
        <v>1.0034498951996242</v>
      </c>
      <c r="BH31" s="520">
        <f t="shared" si="44"/>
        <v>1.0065926315443261</v>
      </c>
      <c r="BI31" s="520">
        <f t="shared" si="45"/>
        <v>1.0099939207178206</v>
      </c>
      <c r="BJ31" s="520">
        <f t="shared" si="46"/>
        <v>1.0139228081132494</v>
      </c>
      <c r="BK31" s="520">
        <f t="shared" si="47"/>
        <v>1.0196467222390713</v>
      </c>
      <c r="BL31" s="520">
        <f t="shared" si="48"/>
        <v>1.0260851094706045</v>
      </c>
      <c r="BM31" s="520">
        <f t="shared" si="49"/>
        <v>1.0303954349252136</v>
      </c>
      <c r="BN31" s="521" t="str">
        <f t="shared" si="50"/>
        <v>Category</v>
      </c>
      <c r="BP31" s="3"/>
    </row>
    <row r="32" spans="1:69" hidden="1" x14ac:dyDescent="0.15">
      <c r="A32" s="12" t="s">
        <v>50</v>
      </c>
      <c r="B32" s="13" t="s">
        <v>51</v>
      </c>
      <c r="C32" s="13" t="s">
        <v>27</v>
      </c>
      <c r="D32" s="13" t="s">
        <v>40</v>
      </c>
      <c r="E32" s="13" t="s">
        <v>29</v>
      </c>
      <c r="F32" s="14">
        <v>11910.28</v>
      </c>
      <c r="G32" s="14">
        <v>753.68</v>
      </c>
      <c r="H32" s="14">
        <v>110585</v>
      </c>
      <c r="I32" s="14">
        <v>0</v>
      </c>
      <c r="J32" s="14">
        <v>491172.67</v>
      </c>
      <c r="K32" s="14">
        <v>2109341.7999999998</v>
      </c>
      <c r="L32" s="14">
        <v>13925378.630000001</v>
      </c>
      <c r="M32" s="15">
        <v>20268858.550000001</v>
      </c>
      <c r="N32" s="670">
        <v>4400650.9400000004</v>
      </c>
      <c r="O32" s="14">
        <v>1224600.4099999999</v>
      </c>
      <c r="P32" s="15">
        <v>922861.43</v>
      </c>
      <c r="Q32" s="15">
        <f>IF(ISTEXT('Incurred 2.5% cpi'!Q32),"",'Incurred 2.5% cpi'!Q32/'Incurred 2.5% cpi'!Q$17*Incurred!Q$17)</f>
        <v>279428.7</v>
      </c>
      <c r="R32" s="110" t="str">
        <f>IF(ISTEXT('Incurred 2.5% cpi'!R32),"",'Incurred 2.5% cpi'!R32/'Incurred 2.5% cpi'!R$17*Incurred!R$17*BG32)</f>
        <v/>
      </c>
      <c r="S32" s="102" t="str">
        <f>IF(ISTEXT('Incurred 2.5% cpi'!S32),"",'Incurred 2.5% cpi'!S32/'Incurred 2.5% cpi'!S$17*Incurred!S$17*BH32)</f>
        <v/>
      </c>
      <c r="T32" s="16" t="str">
        <f>IF(ISTEXT('Incurred 2.5% cpi'!T32),"",'Incurred 2.5% cpi'!T32/'Incurred 2.5% cpi'!T$17*Incurred!T$17*BI32)</f>
        <v/>
      </c>
      <c r="U32" s="16" t="str">
        <f>IF(ISTEXT('Incurred 2.5% cpi'!U32),"",'Incurred 2.5% cpi'!U32/'Incurred 2.5% cpi'!U$17*Incurred!U$17*BJ32)</f>
        <v/>
      </c>
      <c r="V32" s="16" t="str">
        <f>IF(ISTEXT('Incurred 2.5% cpi'!V32),"",'Incurred 2.5% cpi'!V32/'Incurred 2.5% cpi'!V$17*Incurred!V$17*BK32)</f>
        <v/>
      </c>
      <c r="W32" s="110" t="str">
        <f>IF(ISTEXT('Incurred 2.5% cpi'!W32),"",'Incurred 2.5% cpi'!W32/'Incurred 2.5% cpi'!W$17*Incurred!W$17*BL32)</f>
        <v/>
      </c>
      <c r="X32" s="102" t="str">
        <f>IF(ISTEXT('Incurred 2.5% cpi'!X32),"",'Incurred 2.5% cpi'!X32/'Incurred 2.5% cpi'!X$17*Incurred!X$17*BM32)</f>
        <v/>
      </c>
      <c r="Y32" s="80">
        <f t="shared" si="51"/>
        <v>43745542.089999996</v>
      </c>
      <c r="Z32" s="80">
        <f t="shared" si="35"/>
        <v>43745542.089999996</v>
      </c>
      <c r="AA32" s="566">
        <f t="shared" si="36"/>
        <v>55051486.672232218</v>
      </c>
      <c r="AB32" s="566">
        <f t="shared" si="37"/>
        <v>47470724.423932329</v>
      </c>
      <c r="AC32" s="567">
        <f t="shared" si="38"/>
        <v>1.1596934182128902</v>
      </c>
      <c r="AD32" s="568" t="str">
        <f t="shared" si="39"/>
        <v>2017</v>
      </c>
      <c r="AE32" s="569">
        <v>42345</v>
      </c>
      <c r="AF32" s="568" t="s">
        <v>3152</v>
      </c>
      <c r="AG32" s="569"/>
      <c r="AH32" s="566">
        <f t="shared" ref="AH32:AH36" si="61">IF(ROUND(Y32,0)=0,0,SUMPRODUCT($F$19:$W$19,F32:W32))</f>
        <v>48657492.534530625</v>
      </c>
      <c r="AI32" s="80">
        <f t="shared" si="40"/>
        <v>279428.7</v>
      </c>
      <c r="AJ32" s="571" t="s">
        <v>0</v>
      </c>
      <c r="AK32" s="875">
        <f t="shared" si="41"/>
        <v>0</v>
      </c>
      <c r="AL32" s="28">
        <f t="shared" si="58"/>
        <v>0</v>
      </c>
      <c r="AM32" s="28">
        <f t="shared" si="58"/>
        <v>0</v>
      </c>
      <c r="AN32" s="28">
        <f t="shared" si="58"/>
        <v>2.999971012283276E-2</v>
      </c>
      <c r="AO32" s="28">
        <f t="shared" si="58"/>
        <v>0</v>
      </c>
      <c r="AP32" s="28">
        <f t="shared" si="58"/>
        <v>0</v>
      </c>
      <c r="AQ32" s="28">
        <f t="shared" si="58"/>
        <v>0</v>
      </c>
      <c r="AR32" s="28">
        <f t="shared" si="58"/>
        <v>0</v>
      </c>
      <c r="AS32" s="28">
        <f t="shared" si="58"/>
        <v>0</v>
      </c>
      <c r="AT32" s="28">
        <f t="shared" si="58"/>
        <v>0</v>
      </c>
      <c r="AU32" s="28">
        <f t="shared" si="58"/>
        <v>0.57600067566431057</v>
      </c>
      <c r="AV32" s="28">
        <f t="shared" si="59"/>
        <v>0</v>
      </c>
      <c r="AW32" s="28">
        <f t="shared" si="59"/>
        <v>0.12189986211151535</v>
      </c>
      <c r="AX32" s="28">
        <f t="shared" si="59"/>
        <v>2.7999987116570338E-3</v>
      </c>
      <c r="AY32" s="28">
        <f t="shared" si="59"/>
        <v>0</v>
      </c>
      <c r="AZ32" s="28">
        <f t="shared" si="59"/>
        <v>0.26929975338968404</v>
      </c>
      <c r="BA32" s="28">
        <f t="shared" si="59"/>
        <v>0</v>
      </c>
      <c r="BB32" s="28">
        <f t="shared" si="59"/>
        <v>0</v>
      </c>
      <c r="BC32" s="28">
        <f t="shared" si="59"/>
        <v>0</v>
      </c>
      <c r="BD32" s="28">
        <f t="shared" si="59"/>
        <v>0</v>
      </c>
      <c r="BE32" s="28">
        <f t="shared" si="59"/>
        <v>0</v>
      </c>
      <c r="BF32" s="27">
        <f t="shared" si="60"/>
        <v>0.99999999999999978</v>
      </c>
      <c r="BG32" s="520">
        <f t="shared" si="43"/>
        <v>1.0034498951996242</v>
      </c>
      <c r="BH32" s="520">
        <f t="shared" si="44"/>
        <v>1.0065926315443261</v>
      </c>
      <c r="BI32" s="520">
        <f t="shared" si="45"/>
        <v>1.0099939207178206</v>
      </c>
      <c r="BJ32" s="520">
        <f t="shared" si="46"/>
        <v>1.0139228081132494</v>
      </c>
      <c r="BK32" s="520">
        <f t="shared" si="47"/>
        <v>1.0196467222390713</v>
      </c>
      <c r="BL32" s="520">
        <f t="shared" si="48"/>
        <v>1.0260851094706045</v>
      </c>
      <c r="BM32" s="520">
        <f t="shared" si="49"/>
        <v>1.0303954349252136</v>
      </c>
      <c r="BN32" s="521" t="str">
        <f t="shared" si="50"/>
        <v>Category</v>
      </c>
      <c r="BP32" s="3"/>
    </row>
    <row r="33" spans="1:69" hidden="1" x14ac:dyDescent="0.15">
      <c r="A33" s="12" t="s">
        <v>52</v>
      </c>
      <c r="B33" s="13" t="s">
        <v>53</v>
      </c>
      <c r="C33" s="13" t="s">
        <v>27</v>
      </c>
      <c r="D33" s="13" t="s">
        <v>54</v>
      </c>
      <c r="E33" s="13" t="s">
        <v>29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v>0</v>
      </c>
      <c r="N33" s="670">
        <v>131231.91</v>
      </c>
      <c r="O33" s="14">
        <v>1187948.25</v>
      </c>
      <c r="P33" s="15">
        <v>3564305.29</v>
      </c>
      <c r="Q33" s="15">
        <f>IF(ISTEXT('Incurred 2.5% cpi'!Q33),"",'Incurred 2.5% cpi'!Q33/'Incurred 2.5% cpi'!Q$17*Incurred!Q$17)</f>
        <v>373136.57</v>
      </c>
      <c r="R33" s="110">
        <f>IF(ISTEXT('Incurred 2.5% cpi'!R33),"",'Incurred 2.5% cpi'!R33/'Incurred 2.5% cpi'!R$17*Incurred!R$17*BG33)</f>
        <v>15412.161517590419</v>
      </c>
      <c r="S33" s="102" t="str">
        <f>IF(ISTEXT('Incurred 2.5% cpi'!S33),"",'Incurred 2.5% cpi'!S33/'Incurred 2.5% cpi'!S$17*Incurred!S$17*BH33)</f>
        <v/>
      </c>
      <c r="T33" s="16" t="str">
        <f>IF(ISTEXT('Incurred 2.5% cpi'!T33),"",'Incurred 2.5% cpi'!T33/'Incurred 2.5% cpi'!T$17*Incurred!T$17*BI33)</f>
        <v/>
      </c>
      <c r="U33" s="16" t="str">
        <f>IF(ISTEXT('Incurred 2.5% cpi'!U33),"",'Incurred 2.5% cpi'!U33/'Incurred 2.5% cpi'!U$17*Incurred!U$17*BJ33)</f>
        <v/>
      </c>
      <c r="V33" s="16" t="str">
        <f>IF(ISTEXT('Incurred 2.5% cpi'!V33),"",'Incurred 2.5% cpi'!V33/'Incurred 2.5% cpi'!V$17*Incurred!V$17*BK33)</f>
        <v/>
      </c>
      <c r="W33" s="110" t="str">
        <f>IF(ISTEXT('Incurred 2.5% cpi'!W33),"",'Incurred 2.5% cpi'!W33/'Incurred 2.5% cpi'!W$17*Incurred!W$17*BL33)</f>
        <v/>
      </c>
      <c r="X33" s="102" t="str">
        <f>IF(ISTEXT('Incurred 2.5% cpi'!X33),"",'Incurred 2.5% cpi'!X33/'Incurred 2.5% cpi'!X$17*Incurred!X$17*BM33)</f>
        <v/>
      </c>
      <c r="Y33" s="80">
        <f t="shared" si="51"/>
        <v>5272034.1815175908</v>
      </c>
      <c r="Z33" s="80">
        <f t="shared" si="35"/>
        <v>5272034.1815175908</v>
      </c>
      <c r="AA33" s="566">
        <f t="shared" si="36"/>
        <v>6256464.7090216558</v>
      </c>
      <c r="AB33" s="566">
        <f t="shared" si="37"/>
        <v>5529803.1583464211</v>
      </c>
      <c r="AC33" s="567">
        <f t="shared" si="38"/>
        <v>1.1314082128906247</v>
      </c>
      <c r="AD33" s="568" t="str">
        <f t="shared" si="39"/>
        <v>2018</v>
      </c>
      <c r="AE33" s="569">
        <v>42361</v>
      </c>
      <c r="AF33" s="568" t="s">
        <v>3152</v>
      </c>
      <c r="AG33" s="569"/>
      <c r="AH33" s="566">
        <f t="shared" si="61"/>
        <v>5529803.1583464211</v>
      </c>
      <c r="AI33" s="80">
        <f t="shared" si="40"/>
        <v>15412.161517590419</v>
      </c>
      <c r="AJ33" s="571" t="s">
        <v>0</v>
      </c>
      <c r="AK33" s="875">
        <f>IF(ISNA(VLOOKUP(LEFT($A33,8),Estimates,72,FALSE)),0,VLOOKUP(LEFT($A33,8),Estimates,72,FALSE))</f>
        <v>4308958.0092796246</v>
      </c>
      <c r="AL33" s="28">
        <f t="shared" si="58"/>
        <v>0</v>
      </c>
      <c r="AM33" s="28">
        <f t="shared" si="58"/>
        <v>0</v>
      </c>
      <c r="AN33" s="28">
        <f t="shared" si="58"/>
        <v>4.6414933626479263E-2</v>
      </c>
      <c r="AO33" s="28">
        <f t="shared" si="58"/>
        <v>0</v>
      </c>
      <c r="AP33" s="28">
        <f t="shared" si="58"/>
        <v>0</v>
      </c>
      <c r="AQ33" s="28">
        <f t="shared" si="58"/>
        <v>0</v>
      </c>
      <c r="AR33" s="28">
        <f t="shared" si="58"/>
        <v>0</v>
      </c>
      <c r="AS33" s="28">
        <f t="shared" si="58"/>
        <v>0</v>
      </c>
      <c r="AT33" s="28">
        <f t="shared" si="58"/>
        <v>0</v>
      </c>
      <c r="AU33" s="28">
        <f t="shared" si="58"/>
        <v>0.56037491873099432</v>
      </c>
      <c r="AV33" s="28">
        <f t="shared" si="59"/>
        <v>0</v>
      </c>
      <c r="AW33" s="28">
        <f t="shared" si="59"/>
        <v>5.9109417971834909E-2</v>
      </c>
      <c r="AX33" s="28">
        <f t="shared" si="59"/>
        <v>0</v>
      </c>
      <c r="AY33" s="28">
        <f t="shared" si="59"/>
        <v>0</v>
      </c>
      <c r="AZ33" s="28">
        <f t="shared" si="59"/>
        <v>0.23820144285699313</v>
      </c>
      <c r="BA33" s="28">
        <f t="shared" si="59"/>
        <v>9.5899286813698498E-2</v>
      </c>
      <c r="BB33" s="28">
        <f t="shared" si="59"/>
        <v>0</v>
      </c>
      <c r="BC33" s="28">
        <f t="shared" si="59"/>
        <v>0</v>
      </c>
      <c r="BD33" s="28">
        <f t="shared" si="59"/>
        <v>0</v>
      </c>
      <c r="BE33" s="28">
        <f t="shared" si="59"/>
        <v>0</v>
      </c>
      <c r="BF33" s="27">
        <f t="shared" si="60"/>
        <v>1.0000000000000002</v>
      </c>
      <c r="BG33" s="520">
        <f t="shared" si="43"/>
        <v>1.0030818160192299</v>
      </c>
      <c r="BH33" s="520">
        <f t="shared" si="44"/>
        <v>1.0058892448397847</v>
      </c>
      <c r="BI33" s="520">
        <f t="shared" si="45"/>
        <v>1.0089276407487533</v>
      </c>
      <c r="BJ33" s="520">
        <f t="shared" si="46"/>
        <v>1.0124373439172154</v>
      </c>
      <c r="BK33" s="520">
        <f t="shared" si="47"/>
        <v>1.0175505572831101</v>
      </c>
      <c r="BL33" s="520">
        <f t="shared" si="48"/>
        <v>1.023302014576742</v>
      </c>
      <c r="BM33" s="520">
        <f t="shared" si="49"/>
        <v>1.0271524590875074</v>
      </c>
      <c r="BN33" s="521" t="str">
        <f t="shared" si="50"/>
        <v>Category</v>
      </c>
      <c r="BP33" s="3"/>
    </row>
    <row r="34" spans="1:69" hidden="1" x14ac:dyDescent="0.15">
      <c r="A34" s="12" t="s">
        <v>57</v>
      </c>
      <c r="B34" s="13" t="s">
        <v>58</v>
      </c>
      <c r="C34" s="13" t="s">
        <v>27</v>
      </c>
      <c r="D34" s="13" t="s">
        <v>28</v>
      </c>
      <c r="E34" s="13" t="s">
        <v>29</v>
      </c>
      <c r="F34" s="14">
        <v>0</v>
      </c>
      <c r="G34" s="14">
        <v>0</v>
      </c>
      <c r="H34" s="14">
        <v>38503</v>
      </c>
      <c r="I34" s="14">
        <v>247149.1</v>
      </c>
      <c r="J34" s="14">
        <v>673856.07</v>
      </c>
      <c r="K34" s="14">
        <v>4689603.7300000004</v>
      </c>
      <c r="L34" s="14">
        <v>9839939.1899999995</v>
      </c>
      <c r="M34" s="15">
        <v>7572131.0899999999</v>
      </c>
      <c r="N34" s="670">
        <v>697035.34</v>
      </c>
      <c r="O34" s="14">
        <v>230314.93</v>
      </c>
      <c r="P34" s="15">
        <v>82087.88</v>
      </c>
      <c r="Q34" s="15">
        <f>IF(ISTEXT('Incurred 2.5% cpi'!Q34),"",'Incurred 2.5% cpi'!Q34/'Incurred 2.5% cpi'!Q$17*Incurred!Q$17)</f>
        <v>27967.15</v>
      </c>
      <c r="R34" s="110" t="str">
        <f>IF(ISTEXT('Incurred 2.5% cpi'!R34),"",'Incurred 2.5% cpi'!R34/'Incurred 2.5% cpi'!R$17*Incurred!R$17*BG34)</f>
        <v/>
      </c>
      <c r="S34" s="102" t="str">
        <f>IF(ISTEXT('Incurred 2.5% cpi'!S34),"",'Incurred 2.5% cpi'!S34/'Incurred 2.5% cpi'!S$17*Incurred!S$17*BH34)</f>
        <v/>
      </c>
      <c r="T34" s="16" t="str">
        <f>IF(ISTEXT('Incurred 2.5% cpi'!T34),"",'Incurred 2.5% cpi'!T34/'Incurred 2.5% cpi'!T$17*Incurred!T$17*BI34)</f>
        <v/>
      </c>
      <c r="U34" s="16" t="str">
        <f>IF(ISTEXT('Incurred 2.5% cpi'!U34),"",'Incurred 2.5% cpi'!U34/'Incurred 2.5% cpi'!U$17*Incurred!U$17*BJ34)</f>
        <v/>
      </c>
      <c r="V34" s="16" t="str">
        <f>IF(ISTEXT('Incurred 2.5% cpi'!V34),"",'Incurred 2.5% cpi'!V34/'Incurred 2.5% cpi'!V$17*Incurred!V$17*BK34)</f>
        <v/>
      </c>
      <c r="W34" s="110" t="str">
        <f>IF(ISTEXT('Incurred 2.5% cpi'!W34),"",'Incurred 2.5% cpi'!W34/'Incurred 2.5% cpi'!W$17*Incurred!W$17*BL34)</f>
        <v/>
      </c>
      <c r="X34" s="102" t="str">
        <f>IF(ISTEXT('Incurred 2.5% cpi'!X34),"",'Incurred 2.5% cpi'!X34/'Incurred 2.5% cpi'!X$17*Incurred!X$17*BM34)</f>
        <v/>
      </c>
      <c r="Y34" s="80">
        <f t="shared" si="51"/>
        <v>24098587.479999997</v>
      </c>
      <c r="Z34" s="80">
        <f t="shared" si="35"/>
        <v>24098587.479999997</v>
      </c>
      <c r="AA34" s="566">
        <f t="shared" si="36"/>
        <v>30769119.588418558</v>
      </c>
      <c r="AB34" s="566">
        <f t="shared" si="37"/>
        <v>26532115.389457297</v>
      </c>
      <c r="AC34" s="567">
        <f t="shared" si="38"/>
        <v>1.1596934182128902</v>
      </c>
      <c r="AD34" s="568" t="str">
        <f t="shared" si="39"/>
        <v>2017</v>
      </c>
      <c r="AE34" s="569">
        <v>41243</v>
      </c>
      <c r="AF34" s="568" t="s">
        <v>3152</v>
      </c>
      <c r="AG34" s="569"/>
      <c r="AH34" s="566">
        <f t="shared" si="61"/>
        <v>27195418.274193723</v>
      </c>
      <c r="AI34" s="80">
        <f t="shared" si="40"/>
        <v>27967.15</v>
      </c>
      <c r="AJ34" s="571" t="s">
        <v>0</v>
      </c>
      <c r="AK34" s="875">
        <f t="shared" si="41"/>
        <v>0</v>
      </c>
      <c r="AL34" s="28">
        <f t="shared" si="58"/>
        <v>0</v>
      </c>
      <c r="AM34" s="28">
        <f t="shared" si="58"/>
        <v>0</v>
      </c>
      <c r="AN34" s="28">
        <f t="shared" si="58"/>
        <v>4.5019449406495209E-2</v>
      </c>
      <c r="AO34" s="28">
        <f t="shared" si="58"/>
        <v>0</v>
      </c>
      <c r="AP34" s="28">
        <f t="shared" si="58"/>
        <v>0</v>
      </c>
      <c r="AQ34" s="28">
        <f t="shared" si="58"/>
        <v>0</v>
      </c>
      <c r="AR34" s="28">
        <f t="shared" si="58"/>
        <v>0</v>
      </c>
      <c r="AS34" s="28">
        <f t="shared" si="58"/>
        <v>0</v>
      </c>
      <c r="AT34" s="28">
        <f t="shared" si="58"/>
        <v>0</v>
      </c>
      <c r="AU34" s="28">
        <f t="shared" si="58"/>
        <v>0.46141719957434996</v>
      </c>
      <c r="AV34" s="28">
        <f t="shared" si="59"/>
        <v>0</v>
      </c>
      <c r="AW34" s="28">
        <f t="shared" si="59"/>
        <v>0.22842542937902044</v>
      </c>
      <c r="AX34" s="28">
        <f t="shared" si="59"/>
        <v>0</v>
      </c>
      <c r="AY34" s="28">
        <f t="shared" si="59"/>
        <v>0</v>
      </c>
      <c r="AZ34" s="28">
        <f t="shared" si="59"/>
        <v>0.26513792164013439</v>
      </c>
      <c r="BA34" s="28">
        <f t="shared" si="59"/>
        <v>0</v>
      </c>
      <c r="BB34" s="28">
        <f t="shared" si="59"/>
        <v>0</v>
      </c>
      <c r="BC34" s="28">
        <f t="shared" si="59"/>
        <v>0</v>
      </c>
      <c r="BD34" s="28">
        <f t="shared" si="59"/>
        <v>0</v>
      </c>
      <c r="BE34" s="28">
        <f t="shared" si="59"/>
        <v>0</v>
      </c>
      <c r="BF34" s="27">
        <f t="shared" si="60"/>
        <v>1</v>
      </c>
      <c r="BG34" s="520">
        <f t="shared" si="43"/>
        <v>1.0030444840366091</v>
      </c>
      <c r="BH34" s="520">
        <f t="shared" si="44"/>
        <v>1.0058179046998681</v>
      </c>
      <c r="BI34" s="520">
        <f t="shared" si="45"/>
        <v>1.0088194946014175</v>
      </c>
      <c r="BJ34" s="520">
        <f t="shared" si="46"/>
        <v>1.0122866825201464</v>
      </c>
      <c r="BK34" s="520">
        <f t="shared" si="47"/>
        <v>1.0173379563051834</v>
      </c>
      <c r="BL34" s="520">
        <f t="shared" si="48"/>
        <v>1.023019742566414</v>
      </c>
      <c r="BM34" s="520">
        <f t="shared" si="49"/>
        <v>1.026823544212498</v>
      </c>
      <c r="BN34" s="521" t="str">
        <f t="shared" si="50"/>
        <v>Category</v>
      </c>
      <c r="BP34" s="3"/>
    </row>
    <row r="35" spans="1:69" hidden="1" x14ac:dyDescent="0.15">
      <c r="A35" s="12" t="s">
        <v>61</v>
      </c>
      <c r="B35" s="13" t="s">
        <v>62</v>
      </c>
      <c r="C35" s="13" t="s">
        <v>27</v>
      </c>
      <c r="D35" s="13" t="s">
        <v>40</v>
      </c>
      <c r="E35" s="13" t="s">
        <v>29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5">
        <v>0</v>
      </c>
      <c r="N35" s="670"/>
      <c r="O35" s="14">
        <v>301176.65000000002</v>
      </c>
      <c r="P35" s="15">
        <v>12290961.529999999</v>
      </c>
      <c r="Q35" s="15">
        <f>IF(ISTEXT('Incurred 2.5% cpi'!Q35),"",'Incurred 2.5% cpi'!Q35/'Incurred 2.5% cpi'!Q$17*Incurred!Q$17)</f>
        <v>8690257.0600000005</v>
      </c>
      <c r="R35" s="110">
        <f>IF(ISTEXT('Incurred 2.5% cpi'!R35),"",'Incurred 2.5% cpi'!R35/'Incurred 2.5% cpi'!R$17*Incurred!R$17*BG35)</f>
        <v>435009.70831605524</v>
      </c>
      <c r="S35" s="102" t="str">
        <f>IF(ISTEXT('Incurred 2.5% cpi'!S35),"",'Incurred 2.5% cpi'!S35/'Incurred 2.5% cpi'!S$17*Incurred!S$17*BH35)</f>
        <v/>
      </c>
      <c r="T35" s="16" t="str">
        <f>IF(ISTEXT('Incurred 2.5% cpi'!T35),"",'Incurred 2.5% cpi'!T35/'Incurred 2.5% cpi'!T$17*Incurred!T$17*BI35)</f>
        <v/>
      </c>
      <c r="U35" s="16" t="str">
        <f>IF(ISTEXT('Incurred 2.5% cpi'!U35),"",'Incurred 2.5% cpi'!U35/'Incurred 2.5% cpi'!U$17*Incurred!U$17*BJ35)</f>
        <v/>
      </c>
      <c r="V35" s="16" t="str">
        <f>IF(ISTEXT('Incurred 2.5% cpi'!V35),"",'Incurred 2.5% cpi'!V35/'Incurred 2.5% cpi'!V$17*Incurred!V$17*BK35)</f>
        <v/>
      </c>
      <c r="W35" s="110" t="str">
        <f>IF(ISTEXT('Incurred 2.5% cpi'!W35),"",'Incurred 2.5% cpi'!W35/'Incurred 2.5% cpi'!W$17*Incurred!W$17*BL35)</f>
        <v/>
      </c>
      <c r="X35" s="102" t="str">
        <f>IF(ISTEXT('Incurred 2.5% cpi'!X35),"",'Incurred 2.5% cpi'!X35/'Incurred 2.5% cpi'!X$17*Incurred!X$17*BM35)</f>
        <v/>
      </c>
      <c r="Y35" s="80">
        <f t="shared" si="51"/>
        <v>21717404.948316056</v>
      </c>
      <c r="Z35" s="80">
        <f t="shared" si="35"/>
        <v>21717404.948316056</v>
      </c>
      <c r="AA35" s="566">
        <f t="shared" si="36"/>
        <v>25488318.436723925</v>
      </c>
      <c r="AB35" s="566">
        <f t="shared" si="37"/>
        <v>22527959.534255147</v>
      </c>
      <c r="AC35" s="567">
        <f t="shared" si="38"/>
        <v>1.1314082128906247</v>
      </c>
      <c r="AD35" s="568" t="str">
        <f t="shared" si="39"/>
        <v>2018</v>
      </c>
      <c r="AE35" s="569">
        <v>42704</v>
      </c>
      <c r="AF35" s="568" t="s">
        <v>3152</v>
      </c>
      <c r="AG35" s="569"/>
      <c r="AH35" s="566">
        <f t="shared" si="61"/>
        <v>22527959.534255151</v>
      </c>
      <c r="AI35" s="80">
        <f t="shared" si="40"/>
        <v>435009.70831605524</v>
      </c>
      <c r="AJ35" s="571" t="s">
        <v>0</v>
      </c>
      <c r="AK35" s="875">
        <f>IF(ISNA(VLOOKUP(LEFT($A35,8),Estimates,72,FALSE)),0,VLOOKUP(LEFT($A35,8),Estimates,72,FALSE))</f>
        <v>10922580.9999924</v>
      </c>
      <c r="AL35" s="28">
        <f t="shared" ref="AL35:BE35" si="62">IF($AK35=0,VLOOKUP(MID($A35,4,5),ProjectSplits,AL$23,FALSE),IF(ISNA(VLOOKUP($A35,Estimates,AL$22,FALSE)),VLOOKUP(MID($A35,4,5),ProjectSplits,AL$23,FALSE),VLOOKUP($A35,Estimates,AL$22,FALSE)))</f>
        <v>0</v>
      </c>
      <c r="AM35" s="28">
        <f t="shared" si="62"/>
        <v>0</v>
      </c>
      <c r="AN35" s="28">
        <f t="shared" si="62"/>
        <v>0</v>
      </c>
      <c r="AO35" s="28">
        <f t="shared" si="62"/>
        <v>0</v>
      </c>
      <c r="AP35" s="28">
        <f t="shared" si="62"/>
        <v>0</v>
      </c>
      <c r="AQ35" s="28">
        <f t="shared" si="62"/>
        <v>0</v>
      </c>
      <c r="AR35" s="28">
        <f t="shared" si="62"/>
        <v>0</v>
      </c>
      <c r="AS35" s="28">
        <f t="shared" si="62"/>
        <v>0</v>
      </c>
      <c r="AT35" s="28">
        <f t="shared" si="62"/>
        <v>0</v>
      </c>
      <c r="AU35" s="28">
        <f t="shared" si="62"/>
        <v>0</v>
      </c>
      <c r="AV35" s="28">
        <f t="shared" si="62"/>
        <v>0</v>
      </c>
      <c r="AW35" s="28">
        <f t="shared" si="62"/>
        <v>2.3735232542450389E-2</v>
      </c>
      <c r="AX35" s="28">
        <f t="shared" si="62"/>
        <v>0</v>
      </c>
      <c r="AY35" s="28">
        <f t="shared" si="62"/>
        <v>0</v>
      </c>
      <c r="AZ35" s="28">
        <f t="shared" si="62"/>
        <v>0.97626476745754964</v>
      </c>
      <c r="BA35" s="28">
        <f t="shared" si="62"/>
        <v>0</v>
      </c>
      <c r="BB35" s="28">
        <f t="shared" si="62"/>
        <v>0</v>
      </c>
      <c r="BC35" s="28">
        <f t="shared" si="62"/>
        <v>0</v>
      </c>
      <c r="BD35" s="28">
        <f t="shared" si="62"/>
        <v>0</v>
      </c>
      <c r="BE35" s="28">
        <f t="shared" si="62"/>
        <v>0</v>
      </c>
      <c r="BF35" s="27">
        <f>SUM(AL35:BD35)</f>
        <v>1</v>
      </c>
      <c r="BG35" s="520">
        <f t="shared" si="43"/>
        <v>1.0034498951996242</v>
      </c>
      <c r="BH35" s="520">
        <f t="shared" si="44"/>
        <v>1.0065926315443261</v>
      </c>
      <c r="BI35" s="520">
        <f t="shared" si="45"/>
        <v>1.0099939207178206</v>
      </c>
      <c r="BJ35" s="520">
        <f t="shared" si="46"/>
        <v>1.0139228081132494</v>
      </c>
      <c r="BK35" s="520">
        <f t="shared" si="47"/>
        <v>1.0196467222390713</v>
      </c>
      <c r="BL35" s="520">
        <f t="shared" si="48"/>
        <v>1.0260851094706045</v>
      </c>
      <c r="BM35" s="520">
        <f t="shared" si="49"/>
        <v>1.0303954349252136</v>
      </c>
      <c r="BN35" s="521" t="str">
        <f t="shared" si="50"/>
        <v>Category</v>
      </c>
      <c r="BP35" s="3">
        <f>SUMPRODUCT(F35:P35,$F$19:$P$19)/$Q$19</f>
        <v>12863840.331160093</v>
      </c>
      <c r="BQ35" s="3"/>
    </row>
    <row r="36" spans="1:69" hidden="1" x14ac:dyDescent="0.15">
      <c r="A36" s="12" t="s">
        <v>67</v>
      </c>
      <c r="B36" s="13" t="s">
        <v>68</v>
      </c>
      <c r="C36" s="13" t="s">
        <v>27</v>
      </c>
      <c r="D36" s="13" t="s">
        <v>28</v>
      </c>
      <c r="E36" s="13" t="s">
        <v>29</v>
      </c>
      <c r="F36" s="14">
        <v>0</v>
      </c>
      <c r="G36" s="14">
        <v>0</v>
      </c>
      <c r="H36" s="14">
        <v>77228</v>
      </c>
      <c r="I36" s="14">
        <v>0</v>
      </c>
      <c r="J36" s="14">
        <v>453453.13</v>
      </c>
      <c r="K36" s="14">
        <v>1359903.97</v>
      </c>
      <c r="L36" s="14">
        <v>14877728.73</v>
      </c>
      <c r="M36" s="15">
        <v>37695811.990000002</v>
      </c>
      <c r="N36" s="670">
        <v>11090338.27</v>
      </c>
      <c r="O36" s="14">
        <v>1206213.96</v>
      </c>
      <c r="P36" s="15">
        <v>1147486.3</v>
      </c>
      <c r="Q36" s="15">
        <f>IF(ISTEXT('Incurred 2.5% cpi'!Q36),"",'Incurred 2.5% cpi'!Q36/'Incurred 2.5% cpi'!Q$17*Incurred!Q$17)</f>
        <v>989831.67</v>
      </c>
      <c r="R36" s="110">
        <f>IF(ISTEXT('Incurred 2.5% cpi'!R36),"",'Incurred 2.5% cpi'!R36/'Incurred 2.5% cpi'!R$17*Incurred!R$17*BG36)</f>
        <v>32667.052451655876</v>
      </c>
      <c r="S36" s="102" t="str">
        <f>IF(ISTEXT('Incurred 2.5% cpi'!S36),"",'Incurred 2.5% cpi'!S36/'Incurred 2.5% cpi'!S$17*Incurred!S$17*BH36)</f>
        <v/>
      </c>
      <c r="T36" s="16" t="str">
        <f>IF(ISTEXT('Incurred 2.5% cpi'!T36),"",'Incurred 2.5% cpi'!T36/'Incurred 2.5% cpi'!T$17*Incurred!T$17*BI36)</f>
        <v/>
      </c>
      <c r="U36" s="16" t="str">
        <f>IF(ISTEXT('Incurred 2.5% cpi'!U36),"",'Incurred 2.5% cpi'!U36/'Incurred 2.5% cpi'!U$17*Incurred!U$17*BJ36)</f>
        <v/>
      </c>
      <c r="V36" s="16" t="str">
        <f>IF(ISTEXT('Incurred 2.5% cpi'!V36),"",'Incurred 2.5% cpi'!V36/'Incurred 2.5% cpi'!V$17*Incurred!V$17*BK36)</f>
        <v/>
      </c>
      <c r="W36" s="110" t="str">
        <f>IF(ISTEXT('Incurred 2.5% cpi'!W36),"",'Incurred 2.5% cpi'!W36/'Incurred 2.5% cpi'!W$17*Incurred!W$17*BL36)</f>
        <v/>
      </c>
      <c r="X36" s="102" t="str">
        <f>IF(ISTEXT('Incurred 2.5% cpi'!X36),"",'Incurred 2.5% cpi'!X36/'Incurred 2.5% cpi'!X$17*Incurred!X$17*BM36)</f>
        <v/>
      </c>
      <c r="Y36" s="80">
        <f t="shared" si="51"/>
        <v>68930663.072451666</v>
      </c>
      <c r="Z36" s="80">
        <f t="shared" si="35"/>
        <v>68930663.072451666</v>
      </c>
      <c r="AA36" s="566">
        <f t="shared" si="36"/>
        <v>86225549.539924651</v>
      </c>
      <c r="AB36" s="566">
        <f t="shared" si="37"/>
        <v>76210821.662349239</v>
      </c>
      <c r="AC36" s="567">
        <f t="shared" si="38"/>
        <v>1.1314082128906247</v>
      </c>
      <c r="AD36" s="568" t="str">
        <f t="shared" si="39"/>
        <v>2018</v>
      </c>
      <c r="AE36" s="569">
        <v>41718</v>
      </c>
      <c r="AF36" s="568" t="s">
        <v>3152</v>
      </c>
      <c r="AG36" s="569"/>
      <c r="AH36" s="566">
        <f t="shared" si="61"/>
        <v>76210821.662349239</v>
      </c>
      <c r="AI36" s="80">
        <f t="shared" si="40"/>
        <v>32667.052451655876</v>
      </c>
      <c r="AJ36" s="571" t="s">
        <v>0</v>
      </c>
      <c r="AK36" s="875">
        <f t="shared" si="41"/>
        <v>0</v>
      </c>
      <c r="AL36" s="28">
        <f t="shared" ref="AL36:AU37" si="63">IF($AK36=0,VLOOKUP(MID($A36,4,5),ProjectSplits,AL$23,FALSE),IF(ISNA(VLOOKUP($A36,Estimates,AL$22,FALSE)),VLOOKUP(MID($A36,4,5),ProjectSplits,AL$23,FALSE),VLOOKUP($A36,Estimates,AL$22,FALSE)))</f>
        <v>0</v>
      </c>
      <c r="AM36" s="28">
        <f t="shared" si="63"/>
        <v>1.7017376710523916E-3</v>
      </c>
      <c r="AN36" s="28">
        <f t="shared" si="63"/>
        <v>7.2796248786436257E-2</v>
      </c>
      <c r="AO36" s="28">
        <f t="shared" si="63"/>
        <v>0</v>
      </c>
      <c r="AP36" s="28">
        <f t="shared" si="63"/>
        <v>0</v>
      </c>
      <c r="AQ36" s="28">
        <f t="shared" si="63"/>
        <v>0</v>
      </c>
      <c r="AR36" s="28">
        <f t="shared" si="63"/>
        <v>0</v>
      </c>
      <c r="AS36" s="28">
        <f t="shared" si="63"/>
        <v>0</v>
      </c>
      <c r="AT36" s="28">
        <f t="shared" si="63"/>
        <v>0</v>
      </c>
      <c r="AU36" s="28">
        <f t="shared" si="63"/>
        <v>0.40929924573090215</v>
      </c>
      <c r="AV36" s="28">
        <f t="shared" ref="AV36:BE37" si="64">IF($AK36=0,VLOOKUP(MID($A36,4,5),ProjectSplits,AV$23,FALSE),IF(ISNA(VLOOKUP($A36,Estimates,AV$22,FALSE)),VLOOKUP(MID($A36,4,5),ProjectSplits,AV$23,FALSE),VLOOKUP($A36,Estimates,AV$22,FALSE)))</f>
        <v>0</v>
      </c>
      <c r="AW36" s="28">
        <f t="shared" si="64"/>
        <v>0.15460765779756919</v>
      </c>
      <c r="AX36" s="28">
        <f t="shared" si="64"/>
        <v>0</v>
      </c>
      <c r="AY36" s="28">
        <f t="shared" si="64"/>
        <v>0</v>
      </c>
      <c r="AZ36" s="28">
        <f t="shared" si="64"/>
        <v>0.11708801793106921</v>
      </c>
      <c r="BA36" s="28">
        <f t="shared" si="64"/>
        <v>0.24450709208297083</v>
      </c>
      <c r="BB36" s="28">
        <f t="shared" si="64"/>
        <v>0</v>
      </c>
      <c r="BC36" s="28">
        <f t="shared" si="64"/>
        <v>0</v>
      </c>
      <c r="BD36" s="28">
        <f t="shared" si="64"/>
        <v>0</v>
      </c>
      <c r="BE36" s="28">
        <f t="shared" si="64"/>
        <v>0</v>
      </c>
      <c r="BF36" s="27">
        <f t="shared" ref="BF36:BF37" si="65">SUM(AL36:BD36)</f>
        <v>1</v>
      </c>
      <c r="BG36" s="520">
        <f t="shared" si="43"/>
        <v>1.0030444840366091</v>
      </c>
      <c r="BH36" s="520">
        <f t="shared" si="44"/>
        <v>1.0058179046998681</v>
      </c>
      <c r="BI36" s="520">
        <f t="shared" si="45"/>
        <v>1.0088194946014175</v>
      </c>
      <c r="BJ36" s="520">
        <f t="shared" si="46"/>
        <v>1.0122866825201464</v>
      </c>
      <c r="BK36" s="520">
        <f t="shared" si="47"/>
        <v>1.0173379563051834</v>
      </c>
      <c r="BL36" s="520">
        <f t="shared" si="48"/>
        <v>1.023019742566414</v>
      </c>
      <c r="BM36" s="520">
        <f t="shared" si="49"/>
        <v>1.026823544212498</v>
      </c>
      <c r="BN36" s="521" t="str">
        <f t="shared" si="50"/>
        <v>Category</v>
      </c>
      <c r="BP36" s="3"/>
    </row>
    <row r="37" spans="1:69" hidden="1" x14ac:dyDescent="0.15">
      <c r="A37" s="12" t="s">
        <v>69</v>
      </c>
      <c r="B37" s="13" t="s">
        <v>70</v>
      </c>
      <c r="C37" s="13" t="s">
        <v>2371</v>
      </c>
      <c r="D37" s="13" t="s">
        <v>28</v>
      </c>
      <c r="E37" s="13" t="s">
        <v>29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5">
        <v>0</v>
      </c>
      <c r="N37" s="670"/>
      <c r="O37" s="14"/>
      <c r="P37" s="15">
        <v>40538.910000000003</v>
      </c>
      <c r="Q37" s="694">
        <f>IF(ISTEXT('Incurred 2.5% cpi'!Q37),"",'Incurred 2.5% cpi'!Q37/'Incurred 2.5% cpi'!Q$17*Incurred!Q$17)</f>
        <v>73568.75</v>
      </c>
      <c r="R37" s="110">
        <f>-114108+0.34</f>
        <v>-114107.66</v>
      </c>
      <c r="S37" s="102" t="str">
        <f>IF(ISTEXT('Incurred 2.5% cpi'!S37),"",'Incurred 2.5% cpi'!S37/'Incurred 2.5% cpi'!S$17*Incurred!S$17*BH37)</f>
        <v/>
      </c>
      <c r="T37" s="16" t="str">
        <f>IF(ISTEXT('Incurred 2.5% cpi'!T37),"",'Incurred 2.5% cpi'!T37/'Incurred 2.5% cpi'!T$17*Incurred!T$17*BI37)</f>
        <v/>
      </c>
      <c r="U37" s="16" t="str">
        <f>IF(ISTEXT('Incurred 2.5% cpi'!U37),"",'Incurred 2.5% cpi'!U37/'Incurred 2.5% cpi'!U$17*Incurred!U$17*BJ37)</f>
        <v/>
      </c>
      <c r="V37" s="16" t="str">
        <f>IF(ISTEXT('Incurred 2.5% cpi'!V37),"",'Incurred 2.5% cpi'!V37/'Incurred 2.5% cpi'!V$17*Incurred!V$17*BK37)</f>
        <v/>
      </c>
      <c r="W37" s="110" t="str">
        <f>IF(ISTEXT('Incurred 2.5% cpi'!W37),"",'Incurred 2.5% cpi'!W37/'Incurred 2.5% cpi'!W$17*Incurred!W$17*BL37)</f>
        <v/>
      </c>
      <c r="X37" s="102" t="str">
        <f>IF(ISTEXT('Incurred 2.5% cpi'!X37),"",'Incurred 2.5% cpi'!X37/'Incurred 2.5% cpi'!X$17*Incurred!X$17*BM37)</f>
        <v/>
      </c>
      <c r="Y37" s="80">
        <f t="shared" si="51"/>
        <v>0</v>
      </c>
      <c r="Z37" s="80">
        <f t="shared" si="35"/>
        <v>228215.32</v>
      </c>
      <c r="AA37" s="572">
        <f>IF(ROUND(Y37,0)=0,0,SUMPRODUCT($F$20:$W$20,F37:W37))*0</f>
        <v>0</v>
      </c>
      <c r="AB37" s="566" t="str">
        <f t="shared" si="37"/>
        <v/>
      </c>
      <c r="AC37" s="567" t="str">
        <f t="shared" si="38"/>
        <v/>
      </c>
      <c r="AD37" s="568" t="str">
        <f t="shared" si="39"/>
        <v>2018</v>
      </c>
      <c r="AE37" s="569" t="s">
        <v>0</v>
      </c>
      <c r="AF37" s="568" t="s">
        <v>0</v>
      </c>
      <c r="AG37" s="569"/>
      <c r="AH37" s="572">
        <f>IF(ROUND(Y37,0)=0,0,SUMPRODUCT($F$19:$W$19,F37:W37))*0</f>
        <v>0</v>
      </c>
      <c r="AI37" s="80">
        <f t="shared" si="40"/>
        <v>-114107.66</v>
      </c>
      <c r="AJ37" s="571" t="s">
        <v>0</v>
      </c>
      <c r="AK37" s="875">
        <f>IF(ISNA(VLOOKUP(LEFT($A37,8),Estimates,72,FALSE)),0,VLOOKUP(LEFT($A37,8),Estimates,72,FALSE))</f>
        <v>2873691.8114265869</v>
      </c>
      <c r="AL37" s="28">
        <f t="shared" si="63"/>
        <v>0</v>
      </c>
      <c r="AM37" s="28">
        <f t="shared" si="63"/>
        <v>0</v>
      </c>
      <c r="AN37" s="28">
        <f t="shared" si="63"/>
        <v>0</v>
      </c>
      <c r="AO37" s="28">
        <f t="shared" si="63"/>
        <v>0</v>
      </c>
      <c r="AP37" s="28">
        <f t="shared" si="63"/>
        <v>0</v>
      </c>
      <c r="AQ37" s="28">
        <f t="shared" si="63"/>
        <v>0</v>
      </c>
      <c r="AR37" s="28">
        <f t="shared" si="63"/>
        <v>0</v>
      </c>
      <c r="AS37" s="28">
        <f t="shared" si="63"/>
        <v>0</v>
      </c>
      <c r="AT37" s="28">
        <f t="shared" si="63"/>
        <v>0</v>
      </c>
      <c r="AU37" s="28">
        <f t="shared" si="63"/>
        <v>0.76608834589304087</v>
      </c>
      <c r="AV37" s="28">
        <f t="shared" si="64"/>
        <v>0</v>
      </c>
      <c r="AW37" s="28">
        <f t="shared" si="64"/>
        <v>0.1319034972694752</v>
      </c>
      <c r="AX37" s="28">
        <f t="shared" si="64"/>
        <v>1.9257458221303685E-2</v>
      </c>
      <c r="AY37" s="28">
        <f t="shared" si="64"/>
        <v>0</v>
      </c>
      <c r="AZ37" s="28">
        <f t="shared" si="64"/>
        <v>8.275069861618034E-2</v>
      </c>
      <c r="BA37" s="28">
        <f t="shared" si="64"/>
        <v>0</v>
      </c>
      <c r="BB37" s="28">
        <f t="shared" si="64"/>
        <v>0</v>
      </c>
      <c r="BC37" s="28">
        <f t="shared" si="64"/>
        <v>0</v>
      </c>
      <c r="BD37" s="28">
        <f t="shared" si="64"/>
        <v>0</v>
      </c>
      <c r="BE37" s="28">
        <f t="shared" si="64"/>
        <v>0</v>
      </c>
      <c r="BF37" s="27">
        <f t="shared" si="65"/>
        <v>1</v>
      </c>
      <c r="BG37" s="520">
        <f t="shared" si="43"/>
        <v>1.0030444840366091</v>
      </c>
      <c r="BH37" s="520">
        <f t="shared" si="44"/>
        <v>1.0058179046998681</v>
      </c>
      <c r="BI37" s="520">
        <f t="shared" si="45"/>
        <v>1.0088194946014175</v>
      </c>
      <c r="BJ37" s="520">
        <f t="shared" si="46"/>
        <v>1.0122866825201464</v>
      </c>
      <c r="BK37" s="520">
        <f t="shared" si="47"/>
        <v>1.0173379563051834</v>
      </c>
      <c r="BL37" s="520">
        <f t="shared" si="48"/>
        <v>1.023019742566414</v>
      </c>
      <c r="BM37" s="520">
        <f t="shared" si="49"/>
        <v>1.026823544212498</v>
      </c>
      <c r="BN37" s="521" t="str">
        <f t="shared" si="50"/>
        <v>Category</v>
      </c>
      <c r="BP37" s="3"/>
    </row>
    <row r="38" spans="1:69" hidden="1" x14ac:dyDescent="0.15">
      <c r="A38" s="12" t="s">
        <v>72</v>
      </c>
      <c r="B38" s="13" t="s">
        <v>73</v>
      </c>
      <c r="C38" s="13" t="s">
        <v>27</v>
      </c>
      <c r="D38" s="13" t="s">
        <v>40</v>
      </c>
      <c r="E38" s="13" t="s">
        <v>32</v>
      </c>
      <c r="F38" s="14">
        <v>0</v>
      </c>
      <c r="G38" s="14">
        <v>0</v>
      </c>
      <c r="H38" s="14">
        <v>18240</v>
      </c>
      <c r="I38" s="14">
        <v>0</v>
      </c>
      <c r="J38" s="14">
        <v>25691.19</v>
      </c>
      <c r="K38" s="14">
        <v>263358.78999999998</v>
      </c>
      <c r="L38" s="14">
        <v>2199097.6</v>
      </c>
      <c r="M38" s="15">
        <v>7683992.3799999999</v>
      </c>
      <c r="N38" s="670">
        <v>1100087.3</v>
      </c>
      <c r="O38" s="14">
        <v>214079.04</v>
      </c>
      <c r="P38" s="15">
        <v>16232.07</v>
      </c>
      <c r="Q38" s="15" t="str">
        <f>IF(ISTEXT('Incurred 2.5% cpi'!Q38),"",'Incurred 2.5% cpi'!Q38/'Incurred 2.5% cpi'!Q$17*Incurred!Q$17)</f>
        <v/>
      </c>
      <c r="R38" s="110" t="str">
        <f>IF(ISTEXT('Incurred 2.5% cpi'!R38),"",'Incurred 2.5% cpi'!R38/'Incurred 2.5% cpi'!R$17*Incurred!R$17*BG38)</f>
        <v/>
      </c>
      <c r="S38" s="102" t="str">
        <f>IF(ISTEXT('Incurred 2.5% cpi'!S38),"",'Incurred 2.5% cpi'!S38/'Incurred 2.5% cpi'!S$17*Incurred!S$17*BH38)</f>
        <v/>
      </c>
      <c r="T38" s="16" t="str">
        <f>IF(ISTEXT('Incurred 2.5% cpi'!T38),"",'Incurred 2.5% cpi'!T38/'Incurred 2.5% cpi'!T$17*Incurred!T$17*BI38)</f>
        <v/>
      </c>
      <c r="U38" s="16" t="str">
        <f>IF(ISTEXT('Incurred 2.5% cpi'!U38),"",'Incurred 2.5% cpi'!U38/'Incurred 2.5% cpi'!U$17*Incurred!U$17*BJ38)</f>
        <v/>
      </c>
      <c r="V38" s="16" t="str">
        <f>IF(ISTEXT('Incurred 2.5% cpi'!V38),"",'Incurred 2.5% cpi'!V38/'Incurred 2.5% cpi'!V$17*Incurred!V$17*BK38)</f>
        <v/>
      </c>
      <c r="W38" s="110" t="str">
        <f>IF(ISTEXT('Incurred 2.5% cpi'!W38),"",'Incurred 2.5% cpi'!W38/'Incurred 2.5% cpi'!W$17*Incurred!W$17*BL38)</f>
        <v/>
      </c>
      <c r="X38" s="102" t="str">
        <f>IF(ISTEXT('Incurred 2.5% cpi'!X38),"",'Incurred 2.5% cpi'!X38/'Incurred 2.5% cpi'!X$17*Incurred!X$17*BM38)</f>
        <v/>
      </c>
      <c r="Y38" s="80">
        <f t="shared" si="51"/>
        <v>11520778.370000001</v>
      </c>
      <c r="Z38" s="80">
        <f t="shared" si="35"/>
        <v>11520778.370000001</v>
      </c>
      <c r="AA38" s="566">
        <f t="shared" si="36"/>
        <v>14454207.884806555</v>
      </c>
      <c r="AB38" s="566">
        <f t="shared" si="37"/>
        <v>12046477.641468819</v>
      </c>
      <c r="AC38" s="567">
        <f t="shared" si="38"/>
        <v>1.1998700628513483</v>
      </c>
      <c r="AD38" s="568" t="str">
        <f t="shared" si="39"/>
        <v>2016</v>
      </c>
      <c r="AE38" s="569">
        <v>42016</v>
      </c>
      <c r="AF38" s="568">
        <v>2015</v>
      </c>
      <c r="AG38" s="569"/>
      <c r="AH38" s="566">
        <f>IF(ROUND(Y38,0)=0,0,SUMPRODUCT($F$19:$W$19,F38:W38))</f>
        <v>12775413.612985564</v>
      </c>
      <c r="AI38" s="80">
        <f t="shared" si="40"/>
        <v>16232.07</v>
      </c>
      <c r="AJ38" s="571" t="s">
        <v>0</v>
      </c>
      <c r="AK38" s="875">
        <f t="shared" si="41"/>
        <v>0</v>
      </c>
      <c r="AL38" s="28">
        <f t="shared" ref="AL38:AU39" si="66">IF($AK38=0,VLOOKUP(MID($A38,4,5),ProjectSplits,AL$23,FALSE),IF(ISNA(VLOOKUP($A38,Estimates,AL$22,FALSE)),VLOOKUP(MID($A38,4,5),ProjectSplits,AL$23,FALSE),VLOOKUP($A38,Estimates,AL$22,FALSE)))</f>
        <v>0</v>
      </c>
      <c r="AM38" s="28">
        <f t="shared" si="66"/>
        <v>0</v>
      </c>
      <c r="AN38" s="28">
        <f t="shared" si="66"/>
        <v>0.11161900340610426</v>
      </c>
      <c r="AO38" s="28">
        <f t="shared" si="66"/>
        <v>0</v>
      </c>
      <c r="AP38" s="28">
        <f t="shared" si="66"/>
        <v>0</v>
      </c>
      <c r="AQ38" s="28">
        <f t="shared" si="66"/>
        <v>0</v>
      </c>
      <c r="AR38" s="28">
        <f t="shared" si="66"/>
        <v>0</v>
      </c>
      <c r="AS38" s="28">
        <f t="shared" si="66"/>
        <v>0</v>
      </c>
      <c r="AT38" s="28">
        <f t="shared" si="66"/>
        <v>0</v>
      </c>
      <c r="AU38" s="28">
        <f t="shared" si="66"/>
        <v>0.12662043616447669</v>
      </c>
      <c r="AV38" s="28">
        <f t="shared" ref="AV38:BE39" si="67">IF($AK38=0,VLOOKUP(MID($A38,4,5),ProjectSplits,AV$23,FALSE),IF(ISNA(VLOOKUP($A38,Estimates,AV$22,FALSE)),VLOOKUP(MID($A38,4,5),ProjectSplits,AV$23,FALSE),VLOOKUP($A38,Estimates,AV$22,FALSE)))</f>
        <v>0</v>
      </c>
      <c r="AW38" s="28">
        <f t="shared" si="67"/>
        <v>0.22081157960265235</v>
      </c>
      <c r="AX38" s="28">
        <f t="shared" si="67"/>
        <v>0</v>
      </c>
      <c r="AY38" s="28">
        <f t="shared" si="67"/>
        <v>0</v>
      </c>
      <c r="AZ38" s="28">
        <f t="shared" si="67"/>
        <v>0.54094898082676668</v>
      </c>
      <c r="BA38" s="28">
        <f t="shared" si="67"/>
        <v>0</v>
      </c>
      <c r="BB38" s="28">
        <f t="shared" si="67"/>
        <v>0</v>
      </c>
      <c r="BC38" s="28">
        <f t="shared" si="67"/>
        <v>0</v>
      </c>
      <c r="BD38" s="28">
        <f t="shared" si="67"/>
        <v>0</v>
      </c>
      <c r="BE38" s="28">
        <f t="shared" si="67"/>
        <v>0</v>
      </c>
      <c r="BF38" s="27">
        <f t="shared" ref="BF38:BF39" si="68">SUM(AL38:BD38)</f>
        <v>1</v>
      </c>
      <c r="BG38" s="520">
        <f t="shared" si="43"/>
        <v>1.0034498951996242</v>
      </c>
      <c r="BH38" s="520">
        <f t="shared" si="44"/>
        <v>1.0065926315443261</v>
      </c>
      <c r="BI38" s="520">
        <f t="shared" si="45"/>
        <v>1.0099939207178206</v>
      </c>
      <c r="BJ38" s="520">
        <f t="shared" si="46"/>
        <v>1.0139228081132494</v>
      </c>
      <c r="BK38" s="520">
        <f t="shared" si="47"/>
        <v>1.0196467222390713</v>
      </c>
      <c r="BL38" s="520">
        <f t="shared" si="48"/>
        <v>1.0260851094706045</v>
      </c>
      <c r="BM38" s="520">
        <f t="shared" si="49"/>
        <v>1.0303954349252136</v>
      </c>
      <c r="BN38" s="521" t="str">
        <f t="shared" si="50"/>
        <v>Category</v>
      </c>
      <c r="BP38" s="3"/>
    </row>
    <row r="39" spans="1:69" hidden="1" x14ac:dyDescent="0.15">
      <c r="A39" s="12" t="s">
        <v>74</v>
      </c>
      <c r="B39" s="13" t="s">
        <v>75</v>
      </c>
      <c r="C39" s="13" t="s">
        <v>27</v>
      </c>
      <c r="D39" s="13" t="s">
        <v>44</v>
      </c>
      <c r="E39" s="13" t="s">
        <v>32</v>
      </c>
      <c r="F39" s="14">
        <v>0</v>
      </c>
      <c r="G39" s="14">
        <v>0</v>
      </c>
      <c r="H39" s="14">
        <v>0</v>
      </c>
      <c r="I39" s="14">
        <v>0</v>
      </c>
      <c r="J39" s="14">
        <v>4826.04</v>
      </c>
      <c r="K39" s="14">
        <v>101717.9</v>
      </c>
      <c r="L39" s="14">
        <v>9808.48</v>
      </c>
      <c r="M39" s="15">
        <v>0</v>
      </c>
      <c r="N39" s="670"/>
      <c r="O39" s="14"/>
      <c r="P39" s="15"/>
      <c r="Q39" s="15">
        <f>IF(ISTEXT('Incurred 2.5% cpi'!Q39),"",'Incurred 2.5% cpi'!Q39/'Incurred 2.5% cpi'!Q$17*Incurred!Q$17)</f>
        <v>-116945.18</v>
      </c>
      <c r="R39" s="110" t="str">
        <f>IF(ISTEXT('Incurred 2.5% cpi'!R39),"",'Incurred 2.5% cpi'!R39/'Incurred 2.5% cpi'!R$17*Incurred!R$17*BG39)</f>
        <v/>
      </c>
      <c r="S39" s="102" t="str">
        <f>IF(ISTEXT('Incurred 2.5% cpi'!S39),"",'Incurred 2.5% cpi'!S39/'Incurred 2.5% cpi'!S$17*Incurred!S$17*BH39)</f>
        <v/>
      </c>
      <c r="T39" s="16" t="str">
        <f>IF(ISTEXT('Incurred 2.5% cpi'!T39),"",'Incurred 2.5% cpi'!T39/'Incurred 2.5% cpi'!T$17*Incurred!T$17*BI39)</f>
        <v/>
      </c>
      <c r="U39" s="16" t="str">
        <f>IF(ISTEXT('Incurred 2.5% cpi'!U39),"",'Incurred 2.5% cpi'!U39/'Incurred 2.5% cpi'!U$17*Incurred!U$17*BJ39)</f>
        <v/>
      </c>
      <c r="V39" s="16" t="str">
        <f>IF(ISTEXT('Incurred 2.5% cpi'!V39),"",'Incurred 2.5% cpi'!V39/'Incurred 2.5% cpi'!V$17*Incurred!V$17*BK39)</f>
        <v/>
      </c>
      <c r="W39" s="110" t="str">
        <f>IF(ISTEXT('Incurred 2.5% cpi'!W39),"",'Incurred 2.5% cpi'!W39/'Incurred 2.5% cpi'!W$17*Incurred!W$17*BL39)</f>
        <v/>
      </c>
      <c r="X39" s="102" t="str">
        <f>IF(ISTEXT('Incurred 2.5% cpi'!X39),"",'Incurred 2.5% cpi'!X39/'Incurred 2.5% cpi'!X$17*Incurred!X$17*BM39)</f>
        <v/>
      </c>
      <c r="Y39" s="80">
        <f t="shared" si="51"/>
        <v>-592.76000000000931</v>
      </c>
      <c r="Z39" s="80">
        <f t="shared" si="35"/>
        <v>233297.59999999998</v>
      </c>
      <c r="AA39" s="572">
        <f>IF(ROUND(Y39,0)=0,0,SUMPRODUCT($F$20:$W$20,F39:W39))*0</f>
        <v>0</v>
      </c>
      <c r="AB39" s="566"/>
      <c r="AC39" s="567"/>
      <c r="AD39" s="568" t="str">
        <f t="shared" si="39"/>
        <v>2017</v>
      </c>
      <c r="AE39" s="569">
        <v>0</v>
      </c>
      <c r="AF39" s="568" t="s">
        <v>0</v>
      </c>
      <c r="AG39" s="569"/>
      <c r="AH39" s="572">
        <f>IF(ROUND(Y39,0)=0,0,SUMPRODUCT($F$19:$W$19,F39:W39))*0</f>
        <v>0</v>
      </c>
      <c r="AI39" s="80">
        <f t="shared" si="40"/>
        <v>-116945.18</v>
      </c>
      <c r="AJ39" s="571" t="s">
        <v>0</v>
      </c>
      <c r="AK39" s="875">
        <f t="shared" si="41"/>
        <v>0</v>
      </c>
      <c r="AL39" s="28">
        <f t="shared" si="66"/>
        <v>0</v>
      </c>
      <c r="AM39" s="28">
        <f t="shared" si="66"/>
        <v>0</v>
      </c>
      <c r="AN39" s="28">
        <f t="shared" si="66"/>
        <v>0</v>
      </c>
      <c r="AO39" s="28">
        <f t="shared" si="66"/>
        <v>0</v>
      </c>
      <c r="AP39" s="28">
        <f t="shared" si="66"/>
        <v>1</v>
      </c>
      <c r="AQ39" s="28">
        <f t="shared" si="66"/>
        <v>0</v>
      </c>
      <c r="AR39" s="28">
        <f t="shared" si="66"/>
        <v>0</v>
      </c>
      <c r="AS39" s="28">
        <f t="shared" si="66"/>
        <v>0</v>
      </c>
      <c r="AT39" s="28">
        <f t="shared" si="66"/>
        <v>0</v>
      </c>
      <c r="AU39" s="28">
        <f t="shared" si="66"/>
        <v>0</v>
      </c>
      <c r="AV39" s="28">
        <f t="shared" si="67"/>
        <v>0</v>
      </c>
      <c r="AW39" s="28">
        <f t="shared" si="67"/>
        <v>0</v>
      </c>
      <c r="AX39" s="28">
        <f t="shared" si="67"/>
        <v>0</v>
      </c>
      <c r="AY39" s="28">
        <f t="shared" si="67"/>
        <v>0</v>
      </c>
      <c r="AZ39" s="28">
        <f t="shared" si="67"/>
        <v>0</v>
      </c>
      <c r="BA39" s="28">
        <f t="shared" si="67"/>
        <v>0</v>
      </c>
      <c r="BB39" s="28">
        <f t="shared" si="67"/>
        <v>0</v>
      </c>
      <c r="BC39" s="28">
        <f t="shared" si="67"/>
        <v>0</v>
      </c>
      <c r="BD39" s="28">
        <f t="shared" si="67"/>
        <v>0</v>
      </c>
      <c r="BE39" s="28">
        <f t="shared" si="67"/>
        <v>0</v>
      </c>
      <c r="BF39" s="27">
        <f t="shared" si="68"/>
        <v>1</v>
      </c>
      <c r="BG39" s="520">
        <f t="shared" si="43"/>
        <v>1.0013788876313259</v>
      </c>
      <c r="BH39" s="520">
        <f t="shared" si="44"/>
        <v>1.0026350070272714</v>
      </c>
      <c r="BI39" s="520">
        <f t="shared" si="45"/>
        <v>1.0039944673298349</v>
      </c>
      <c r="BJ39" s="520">
        <f t="shared" si="46"/>
        <v>1.0055648032156956</v>
      </c>
      <c r="BK39" s="520">
        <f t="shared" si="47"/>
        <v>1.0078525928249935</v>
      </c>
      <c r="BL39" s="520">
        <f t="shared" si="48"/>
        <v>1.0104259499867456</v>
      </c>
      <c r="BM39" s="520">
        <f t="shared" si="49"/>
        <v>1.0121487427420144</v>
      </c>
      <c r="BN39" s="521" t="str">
        <f t="shared" si="50"/>
        <v>Category</v>
      </c>
      <c r="BP39" s="3"/>
    </row>
    <row r="40" spans="1:69" hidden="1" x14ac:dyDescent="0.15">
      <c r="A40" s="12" t="s">
        <v>76</v>
      </c>
      <c r="B40" s="13" t="s">
        <v>77</v>
      </c>
      <c r="C40" s="13" t="s">
        <v>27</v>
      </c>
      <c r="D40" s="13" t="s">
        <v>40</v>
      </c>
      <c r="E40" s="13" t="s">
        <v>32</v>
      </c>
      <c r="F40" s="14">
        <v>0</v>
      </c>
      <c r="G40" s="14">
        <v>0</v>
      </c>
      <c r="H40" s="14">
        <v>0</v>
      </c>
      <c r="I40" s="14">
        <v>34867.480000000003</v>
      </c>
      <c r="J40" s="14">
        <v>298117.36</v>
      </c>
      <c r="K40" s="14">
        <v>814094.62</v>
      </c>
      <c r="L40" s="14">
        <v>2193174.1800000002</v>
      </c>
      <c r="M40" s="15">
        <v>50167.8</v>
      </c>
      <c r="N40" s="670">
        <v>-74756.86</v>
      </c>
      <c r="O40" s="14"/>
      <c r="P40" s="15">
        <v>273.05</v>
      </c>
      <c r="Q40" s="15" t="str">
        <f>IF(ISTEXT('Incurred 2.5% cpi'!Q40),"",'Incurred 2.5% cpi'!Q40/'Incurred 2.5% cpi'!Q$17*Incurred!Q$17)</f>
        <v/>
      </c>
      <c r="R40" s="110" t="str">
        <f>IF(ISTEXT('Incurred 2.5% cpi'!R40),"",'Incurred 2.5% cpi'!R40/'Incurred 2.5% cpi'!R$17*Incurred!R$17*BG40)</f>
        <v/>
      </c>
      <c r="S40" s="102" t="str">
        <f>IF(ISTEXT('Incurred 2.5% cpi'!S40),"",'Incurred 2.5% cpi'!S40/'Incurred 2.5% cpi'!S$17*Incurred!S$17*BH40)</f>
        <v/>
      </c>
      <c r="T40" s="16" t="str">
        <f>IF(ISTEXT('Incurred 2.5% cpi'!T40),"",'Incurred 2.5% cpi'!T40/'Incurred 2.5% cpi'!T$17*Incurred!T$17*BI40)</f>
        <v/>
      </c>
      <c r="U40" s="16" t="str">
        <f>IF(ISTEXT('Incurred 2.5% cpi'!U40),"",'Incurred 2.5% cpi'!U40/'Incurred 2.5% cpi'!U$17*Incurred!U$17*BJ40)</f>
        <v/>
      </c>
      <c r="V40" s="16" t="str">
        <f>IF(ISTEXT('Incurred 2.5% cpi'!V40),"",'Incurred 2.5% cpi'!V40/'Incurred 2.5% cpi'!V$17*Incurred!V$17*BK40)</f>
        <v/>
      </c>
      <c r="W40" s="110" t="str">
        <f>IF(ISTEXT('Incurred 2.5% cpi'!W40),"",'Incurred 2.5% cpi'!W40/'Incurred 2.5% cpi'!W$17*Incurred!W$17*BL40)</f>
        <v/>
      </c>
      <c r="X40" s="102" t="str">
        <f>IF(ISTEXT('Incurred 2.5% cpi'!X40),"",'Incurred 2.5% cpi'!X40/'Incurred 2.5% cpi'!X$17*Incurred!X$17*BM40)</f>
        <v/>
      </c>
      <c r="Y40" s="80">
        <f t="shared" si="51"/>
        <v>3315937.63</v>
      </c>
      <c r="Z40" s="80">
        <f t="shared" si="35"/>
        <v>3465451.3499999996</v>
      </c>
      <c r="AA40" s="566">
        <f t="shared" si="36"/>
        <v>4296359.8198988875</v>
      </c>
      <c r="AB40" s="566">
        <f t="shared" si="37"/>
        <v>3349351.0136920563</v>
      </c>
      <c r="AC40" s="567">
        <f t="shared" si="38"/>
        <v>1.2827439710963362</v>
      </c>
      <c r="AD40" s="568" t="str">
        <f t="shared" si="39"/>
        <v>2016</v>
      </c>
      <c r="AE40" s="569">
        <v>40857</v>
      </c>
      <c r="AF40" s="568">
        <v>2012</v>
      </c>
      <c r="AG40" s="569"/>
      <c r="AH40" s="566">
        <f t="shared" ref="AH40" si="69">IF(ROUND(Y40,0)=0,0,SUMPRODUCT($F$19:$W$19,F40:W40))</f>
        <v>3797356.0479308846</v>
      </c>
      <c r="AI40" s="80">
        <f t="shared" si="40"/>
        <v>273.05</v>
      </c>
      <c r="AJ40" s="571" t="s">
        <v>0</v>
      </c>
      <c r="AK40" s="875">
        <f t="shared" si="41"/>
        <v>0</v>
      </c>
      <c r="AL40" s="28">
        <f t="shared" ref="AL40:AU44" si="70">IF($AK40=0,VLOOKUP(MID($A40,4,5),ProjectSplits,AL$23,FALSE),IF(ISNA(VLOOKUP($A40,Estimates,AL$22,FALSE)),VLOOKUP(MID($A40,4,5),ProjectSplits,AL$23,FALSE),VLOOKUP($A40,Estimates,AL$22,FALSE)))</f>
        <v>0</v>
      </c>
      <c r="AM40" s="28">
        <f t="shared" si="70"/>
        <v>0</v>
      </c>
      <c r="AN40" s="28">
        <f t="shared" si="70"/>
        <v>0.83928385278341977</v>
      </c>
      <c r="AO40" s="28">
        <f t="shared" si="70"/>
        <v>0</v>
      </c>
      <c r="AP40" s="28">
        <f t="shared" si="70"/>
        <v>0</v>
      </c>
      <c r="AQ40" s="28">
        <f t="shared" si="70"/>
        <v>0</v>
      </c>
      <c r="AR40" s="28">
        <f t="shared" si="70"/>
        <v>0</v>
      </c>
      <c r="AS40" s="28">
        <f t="shared" si="70"/>
        <v>0</v>
      </c>
      <c r="AT40" s="28">
        <f t="shared" si="70"/>
        <v>0</v>
      </c>
      <c r="AU40" s="28">
        <f t="shared" si="70"/>
        <v>0</v>
      </c>
      <c r="AV40" s="28">
        <f t="shared" ref="AV40:BE44" si="71">IF($AK40=0,VLOOKUP(MID($A40,4,5),ProjectSplits,AV$23,FALSE),IF(ISNA(VLOOKUP($A40,Estimates,AV$22,FALSE)),VLOOKUP(MID($A40,4,5),ProjectSplits,AV$23,FALSE),VLOOKUP($A40,Estimates,AV$22,FALSE)))</f>
        <v>0</v>
      </c>
      <c r="AW40" s="28">
        <f t="shared" si="71"/>
        <v>0</v>
      </c>
      <c r="AX40" s="28">
        <f t="shared" si="71"/>
        <v>0</v>
      </c>
      <c r="AY40" s="28">
        <f t="shared" si="71"/>
        <v>0</v>
      </c>
      <c r="AZ40" s="28">
        <f t="shared" si="71"/>
        <v>0.16071614721658023</v>
      </c>
      <c r="BA40" s="28">
        <f t="shared" si="71"/>
        <v>0</v>
      </c>
      <c r="BB40" s="28">
        <f t="shared" si="71"/>
        <v>0</v>
      </c>
      <c r="BC40" s="28">
        <f t="shared" si="71"/>
        <v>0</v>
      </c>
      <c r="BD40" s="28">
        <f t="shared" si="71"/>
        <v>0</v>
      </c>
      <c r="BE40" s="28">
        <f t="shared" si="71"/>
        <v>0</v>
      </c>
      <c r="BF40" s="27">
        <f t="shared" ref="BF40:BF41" si="72">SUM(AL40:BD40)</f>
        <v>1</v>
      </c>
      <c r="BG40" s="520">
        <f t="shared" si="43"/>
        <v>1.0034498951996242</v>
      </c>
      <c r="BH40" s="520">
        <f t="shared" si="44"/>
        <v>1.0065926315443261</v>
      </c>
      <c r="BI40" s="520">
        <f t="shared" si="45"/>
        <v>1.0099939207178206</v>
      </c>
      <c r="BJ40" s="520">
        <f t="shared" si="46"/>
        <v>1.0139228081132494</v>
      </c>
      <c r="BK40" s="520">
        <f t="shared" si="47"/>
        <v>1.0196467222390713</v>
      </c>
      <c r="BL40" s="520">
        <f t="shared" si="48"/>
        <v>1.0260851094706045</v>
      </c>
      <c r="BM40" s="520">
        <f t="shared" si="49"/>
        <v>1.0303954349252136</v>
      </c>
      <c r="BN40" s="521" t="str">
        <f t="shared" si="50"/>
        <v>Category</v>
      </c>
      <c r="BP40" s="3"/>
    </row>
    <row r="41" spans="1:69" hidden="1" x14ac:dyDescent="0.15">
      <c r="A41" s="12" t="s">
        <v>78</v>
      </c>
      <c r="B41" s="13" t="s">
        <v>79</v>
      </c>
      <c r="C41" s="13" t="s">
        <v>27</v>
      </c>
      <c r="D41" s="13" t="s">
        <v>44</v>
      </c>
      <c r="E41" s="13" t="s">
        <v>45</v>
      </c>
      <c r="F41" s="14">
        <v>0</v>
      </c>
      <c r="G41" s="14">
        <v>0</v>
      </c>
      <c r="H41" s="14">
        <v>0</v>
      </c>
      <c r="I41" s="14">
        <v>0</v>
      </c>
      <c r="J41" s="14">
        <v>15015.66</v>
      </c>
      <c r="K41" s="14">
        <v>326471.92</v>
      </c>
      <c r="L41" s="14">
        <v>138665.04999999999</v>
      </c>
      <c r="M41" s="15">
        <v>85507.51</v>
      </c>
      <c r="N41" s="670">
        <v>174722.74</v>
      </c>
      <c r="O41" s="14">
        <v>15657.66</v>
      </c>
      <c r="P41" s="15"/>
      <c r="Q41" s="15">
        <f>IF(ISTEXT('Incurred 2.5% cpi'!Q41),"",'Incurred 2.5% cpi'!Q41/'Incurred 2.5% cpi'!Q$17*Incurred!Q$17)</f>
        <v>-756040.54</v>
      </c>
      <c r="R41" s="110" t="str">
        <f>IF(ISTEXT('Incurred 2.5% cpi'!R41),"",'Incurred 2.5% cpi'!R41/'Incurred 2.5% cpi'!R$17*Incurred!R$17*BG41)</f>
        <v/>
      </c>
      <c r="S41" s="102" t="str">
        <f>IF(ISTEXT('Incurred 2.5% cpi'!S41),"",'Incurred 2.5% cpi'!S41/'Incurred 2.5% cpi'!S$17*Incurred!S$17*BH41)</f>
        <v/>
      </c>
      <c r="T41" s="16" t="str">
        <f>IF(ISTEXT('Incurred 2.5% cpi'!T41),"",'Incurred 2.5% cpi'!T41/'Incurred 2.5% cpi'!T$17*Incurred!T$17*BI41)</f>
        <v/>
      </c>
      <c r="U41" s="16" t="str">
        <f>IF(ISTEXT('Incurred 2.5% cpi'!U41),"",'Incurred 2.5% cpi'!U41/'Incurred 2.5% cpi'!U$17*Incurred!U$17*BJ41)</f>
        <v/>
      </c>
      <c r="V41" s="16" t="str">
        <f>IF(ISTEXT('Incurred 2.5% cpi'!V41),"",'Incurred 2.5% cpi'!V41/'Incurred 2.5% cpi'!V$17*Incurred!V$17*BK41)</f>
        <v/>
      </c>
      <c r="W41" s="110" t="str">
        <f>IF(ISTEXT('Incurred 2.5% cpi'!W41),"",'Incurred 2.5% cpi'!W41/'Incurred 2.5% cpi'!W$17*Incurred!W$17*BL41)</f>
        <v/>
      </c>
      <c r="X41" s="102" t="str">
        <f>IF(ISTEXT('Incurred 2.5% cpi'!X41),"",'Incurred 2.5% cpi'!X41/'Incurred 2.5% cpi'!X$17*Incurred!X$17*BM41)</f>
        <v/>
      </c>
      <c r="Y41" s="80">
        <f t="shared" si="51"/>
        <v>0</v>
      </c>
      <c r="Z41" s="80">
        <f t="shared" si="35"/>
        <v>1512081.08</v>
      </c>
      <c r="AA41" s="572">
        <f>IF(ROUND(Y41,0)=0,0,SUMPRODUCT($F$20:$W$20,F41:W41))*0</f>
        <v>0</v>
      </c>
      <c r="AB41" s="566" t="str">
        <f t="shared" si="37"/>
        <v/>
      </c>
      <c r="AC41" s="567" t="str">
        <f t="shared" si="38"/>
        <v/>
      </c>
      <c r="AD41" s="568" t="str">
        <f t="shared" si="39"/>
        <v>2017</v>
      </c>
      <c r="AE41" s="569"/>
      <c r="AF41" s="568"/>
      <c r="AG41" s="569"/>
      <c r="AH41" s="572">
        <f>IF(ROUND(Y41,0)=0,0,SUMPRODUCT($F$19:$W$19,F41:W41))*0</f>
        <v>0</v>
      </c>
      <c r="AI41" s="80">
        <f t="shared" si="40"/>
        <v>-756040.54</v>
      </c>
      <c r="AJ41" s="571" t="s">
        <v>0</v>
      </c>
      <c r="AK41" s="875">
        <f t="shared" si="41"/>
        <v>0</v>
      </c>
      <c r="AL41" s="28">
        <f t="shared" si="70"/>
        <v>0</v>
      </c>
      <c r="AM41" s="28">
        <f t="shared" si="70"/>
        <v>0</v>
      </c>
      <c r="AN41" s="28">
        <f t="shared" si="70"/>
        <v>0</v>
      </c>
      <c r="AO41" s="28">
        <f t="shared" si="70"/>
        <v>0</v>
      </c>
      <c r="AP41" s="28">
        <f t="shared" si="70"/>
        <v>0.95</v>
      </c>
      <c r="AQ41" s="28">
        <f t="shared" si="70"/>
        <v>0.05</v>
      </c>
      <c r="AR41" s="28">
        <f t="shared" si="70"/>
        <v>0</v>
      </c>
      <c r="AS41" s="28">
        <f t="shared" si="70"/>
        <v>0</v>
      </c>
      <c r="AT41" s="28">
        <f t="shared" si="70"/>
        <v>0</v>
      </c>
      <c r="AU41" s="28">
        <f t="shared" si="70"/>
        <v>0</v>
      </c>
      <c r="AV41" s="28">
        <f t="shared" si="71"/>
        <v>0</v>
      </c>
      <c r="AW41" s="28">
        <f t="shared" si="71"/>
        <v>0</v>
      </c>
      <c r="AX41" s="28">
        <f t="shared" si="71"/>
        <v>0</v>
      </c>
      <c r="AY41" s="28">
        <f t="shared" si="71"/>
        <v>0</v>
      </c>
      <c r="AZ41" s="28">
        <f t="shared" si="71"/>
        <v>0</v>
      </c>
      <c r="BA41" s="28">
        <f t="shared" si="71"/>
        <v>0</v>
      </c>
      <c r="BB41" s="28">
        <f t="shared" si="71"/>
        <v>0</v>
      </c>
      <c r="BC41" s="28">
        <f t="shared" si="71"/>
        <v>0</v>
      </c>
      <c r="BD41" s="28">
        <f t="shared" si="71"/>
        <v>0</v>
      </c>
      <c r="BE41" s="28">
        <f t="shared" si="71"/>
        <v>0</v>
      </c>
      <c r="BF41" s="27">
        <f t="shared" si="72"/>
        <v>1</v>
      </c>
      <c r="BG41" s="520">
        <f t="shared" si="43"/>
        <v>1.0013788876313259</v>
      </c>
      <c r="BH41" s="520">
        <f t="shared" si="44"/>
        <v>1.0026350070272714</v>
      </c>
      <c r="BI41" s="520">
        <f t="shared" si="45"/>
        <v>1.0039944673298349</v>
      </c>
      <c r="BJ41" s="520">
        <f t="shared" si="46"/>
        <v>1.0055648032156956</v>
      </c>
      <c r="BK41" s="520">
        <f t="shared" si="47"/>
        <v>1.0078525928249935</v>
      </c>
      <c r="BL41" s="520">
        <f t="shared" si="48"/>
        <v>1.0104259499867456</v>
      </c>
      <c r="BM41" s="520">
        <f t="shared" si="49"/>
        <v>1.0121487427420144</v>
      </c>
      <c r="BN41" s="521" t="str">
        <f t="shared" si="50"/>
        <v>Category</v>
      </c>
      <c r="BP41" s="3"/>
    </row>
    <row r="42" spans="1:69" hidden="1" x14ac:dyDescent="0.15">
      <c r="A42" s="12" t="s">
        <v>80</v>
      </c>
      <c r="B42" s="13" t="s">
        <v>81</v>
      </c>
      <c r="C42" s="13" t="s">
        <v>27</v>
      </c>
      <c r="D42" s="13" t="s">
        <v>55</v>
      </c>
      <c r="E42" s="13" t="s">
        <v>45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164575.43</v>
      </c>
      <c r="L42" s="14">
        <v>240508.19</v>
      </c>
      <c r="M42" s="15">
        <v>117943.46</v>
      </c>
      <c r="N42" s="670"/>
      <c r="O42" s="14">
        <v>39373.82</v>
      </c>
      <c r="P42" s="15"/>
      <c r="Q42" s="15" t="str">
        <f>IF(ISTEXT('Incurred 2.5% cpi'!Q42),"",'Incurred 2.5% cpi'!Q42/'Incurred 2.5% cpi'!Q$17*Incurred!Q$17)</f>
        <v/>
      </c>
      <c r="R42" s="110">
        <f>IF(ISTEXT('Incurred 2.5% cpi'!R42),"",'Incurred 2.5% cpi'!R42/'Incurred 2.5% cpi'!R$17*Incurred!R$17*BG42)</f>
        <v>596332.27852691687</v>
      </c>
      <c r="S42" s="102" t="str">
        <f>IF(ISTEXT('Incurred 2.5% cpi'!S42),"",'Incurred 2.5% cpi'!S42/'Incurred 2.5% cpi'!S$17*Incurred!S$17*BH42)</f>
        <v/>
      </c>
      <c r="T42" s="16" t="str">
        <f>IF(ISTEXT('Incurred 2.5% cpi'!T42),"",'Incurred 2.5% cpi'!T42/'Incurred 2.5% cpi'!T$17*Incurred!T$17*BI42)</f>
        <v/>
      </c>
      <c r="U42" s="16" t="str">
        <f>IF(ISTEXT('Incurred 2.5% cpi'!U42),"",'Incurred 2.5% cpi'!U42/'Incurred 2.5% cpi'!U$17*Incurred!U$17*BJ42)</f>
        <v/>
      </c>
      <c r="V42" s="16" t="str">
        <f>IF(ISTEXT('Incurred 2.5% cpi'!V42),"",'Incurred 2.5% cpi'!V42/'Incurred 2.5% cpi'!V$17*Incurred!V$17*BK42)</f>
        <v/>
      </c>
      <c r="W42" s="110" t="str">
        <f>IF(ISTEXT('Incurred 2.5% cpi'!W42),"",'Incurred 2.5% cpi'!W42/'Incurred 2.5% cpi'!W$17*Incurred!W$17*BL42)</f>
        <v/>
      </c>
      <c r="X42" s="102" t="str">
        <f>IF(ISTEXT('Incurred 2.5% cpi'!X42),"",'Incurred 2.5% cpi'!X42/'Incurred 2.5% cpi'!X$17*Incurred!X$17*BM42)</f>
        <v/>
      </c>
      <c r="Y42" s="80">
        <f t="shared" si="51"/>
        <v>1158733.178526917</v>
      </c>
      <c r="Z42" s="80">
        <f t="shared" si="35"/>
        <v>1158733.178526917</v>
      </c>
      <c r="AA42" s="566">
        <f t="shared" si="36"/>
        <v>1392591.0493832328</v>
      </c>
      <c r="AB42" s="566">
        <f t="shared" si="37"/>
        <v>1230847.5698840071</v>
      </c>
      <c r="AC42" s="567">
        <f t="shared" si="38"/>
        <v>1.1314082128906247</v>
      </c>
      <c r="AD42" s="568" t="str">
        <f t="shared" si="39"/>
        <v>2018</v>
      </c>
      <c r="AE42" s="569">
        <v>43249</v>
      </c>
      <c r="AF42" s="568">
        <v>2018</v>
      </c>
      <c r="AG42" s="569"/>
      <c r="AH42" s="566">
        <f t="shared" ref="AH42:AH46" si="73">IF(ROUND(Y42,0)=0,0,SUMPRODUCT($F$19:$W$19,F42:W42))</f>
        <v>1230847.5698840073</v>
      </c>
      <c r="AI42" s="80">
        <f t="shared" si="40"/>
        <v>596332.27852691687</v>
      </c>
      <c r="AJ42" s="571" t="s">
        <v>0</v>
      </c>
      <c r="AK42" s="875">
        <f>IF(ISNA(VLOOKUP(LEFT($A42,8),Estimates,72,FALSE)),0,VLOOKUP(LEFT($A42,8),Estimates,72,FALSE))</f>
        <v>0</v>
      </c>
      <c r="AL42" s="28">
        <f t="shared" si="70"/>
        <v>0</v>
      </c>
      <c r="AM42" s="28">
        <f t="shared" si="70"/>
        <v>0</v>
      </c>
      <c r="AN42" s="28">
        <f t="shared" si="70"/>
        <v>0</v>
      </c>
      <c r="AO42" s="28">
        <f t="shared" si="70"/>
        <v>1</v>
      </c>
      <c r="AP42" s="28">
        <f t="shared" si="70"/>
        <v>0</v>
      </c>
      <c r="AQ42" s="28">
        <f t="shared" si="70"/>
        <v>0</v>
      </c>
      <c r="AR42" s="28">
        <f t="shared" si="70"/>
        <v>0</v>
      </c>
      <c r="AS42" s="28">
        <f t="shared" si="70"/>
        <v>0</v>
      </c>
      <c r="AT42" s="28">
        <f t="shared" si="70"/>
        <v>0</v>
      </c>
      <c r="AU42" s="28">
        <f t="shared" si="70"/>
        <v>0</v>
      </c>
      <c r="AV42" s="28">
        <f t="shared" si="71"/>
        <v>0</v>
      </c>
      <c r="AW42" s="28">
        <f t="shared" si="71"/>
        <v>0</v>
      </c>
      <c r="AX42" s="28">
        <f t="shared" si="71"/>
        <v>0</v>
      </c>
      <c r="AY42" s="28">
        <f t="shared" si="71"/>
        <v>0</v>
      </c>
      <c r="AZ42" s="28">
        <f t="shared" si="71"/>
        <v>0</v>
      </c>
      <c r="BA42" s="28">
        <f t="shared" si="71"/>
        <v>0</v>
      </c>
      <c r="BB42" s="28">
        <f t="shared" si="71"/>
        <v>0</v>
      </c>
      <c r="BC42" s="28">
        <f t="shared" si="71"/>
        <v>0</v>
      </c>
      <c r="BD42" s="28">
        <f t="shared" si="71"/>
        <v>0</v>
      </c>
      <c r="BE42" s="28">
        <f t="shared" si="71"/>
        <v>0</v>
      </c>
      <c r="BF42" s="27">
        <f t="shared" ref="BF42:BF44" si="74">SUM(AL42:BD42)</f>
        <v>1</v>
      </c>
      <c r="BG42" s="520">
        <f t="shared" si="43"/>
        <v>1.0046190746045656</v>
      </c>
      <c r="BH42" s="520">
        <f t="shared" si="44"/>
        <v>1.0088268933348963</v>
      </c>
      <c r="BI42" s="520">
        <f t="shared" si="45"/>
        <v>1.0133808891912874</v>
      </c>
      <c r="BJ42" s="520">
        <f t="shared" si="46"/>
        <v>1.018641287824382</v>
      </c>
      <c r="BK42" s="520">
        <f t="shared" si="47"/>
        <v>1.0263050529092395</v>
      </c>
      <c r="BL42" s="520">
        <f t="shared" si="48"/>
        <v>1.0349254280901359</v>
      </c>
      <c r="BM42" s="520">
        <f t="shared" si="49"/>
        <v>1.0406965352376705</v>
      </c>
      <c r="BN42" s="521" t="str">
        <f t="shared" si="50"/>
        <v>Category</v>
      </c>
      <c r="BP42" s="3"/>
    </row>
    <row r="43" spans="1:69" hidden="1" x14ac:dyDescent="0.15">
      <c r="A43" s="12" t="s">
        <v>2269</v>
      </c>
      <c r="B43" s="13" t="s">
        <v>2268</v>
      </c>
      <c r="C43" s="13" t="s">
        <v>27</v>
      </c>
      <c r="D43" s="13" t="s">
        <v>55</v>
      </c>
      <c r="E43" s="13" t="s">
        <v>32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254962.77</v>
      </c>
      <c r="L43" s="14">
        <v>0</v>
      </c>
      <c r="M43" s="15">
        <v>0</v>
      </c>
      <c r="N43" s="670"/>
      <c r="O43" s="14"/>
      <c r="P43" s="15">
        <f>-254962.77+20013.73</f>
        <v>-234949.03999999998</v>
      </c>
      <c r="Q43" s="15" t="str">
        <f>IF(ISTEXT('Incurred 2.5% cpi'!Q43),"",'Incurred 2.5% cpi'!Q43/'Incurred 2.5% cpi'!Q$17*Incurred!Q$17)</f>
        <v/>
      </c>
      <c r="R43" s="110" t="str">
        <f>IF(ISTEXT('Incurred 2.5% cpi'!R43),"",'Incurred 2.5% cpi'!R43/'Incurred 2.5% cpi'!R$17*Incurred!R$17*BG43)</f>
        <v/>
      </c>
      <c r="S43" s="102" t="str">
        <f>IF(ISTEXT('Incurred 2.5% cpi'!S43),"",'Incurred 2.5% cpi'!S43/'Incurred 2.5% cpi'!S$17*Incurred!S$17*BH43)</f>
        <v/>
      </c>
      <c r="T43" s="16" t="str">
        <f>IF(ISTEXT('Incurred 2.5% cpi'!T43),"",'Incurred 2.5% cpi'!T43/'Incurred 2.5% cpi'!T$17*Incurred!T$17*BI43)</f>
        <v/>
      </c>
      <c r="U43" s="16" t="str">
        <f>IF(ISTEXT('Incurred 2.5% cpi'!U43),"",'Incurred 2.5% cpi'!U43/'Incurred 2.5% cpi'!U$17*Incurred!U$17*BJ43)</f>
        <v/>
      </c>
      <c r="V43" s="16" t="str">
        <f>IF(ISTEXT('Incurred 2.5% cpi'!V43),"",'Incurred 2.5% cpi'!V43/'Incurred 2.5% cpi'!V$17*Incurred!V$17*BK43)</f>
        <v/>
      </c>
      <c r="W43" s="110" t="str">
        <f>IF(ISTEXT('Incurred 2.5% cpi'!W43),"",'Incurred 2.5% cpi'!W43/'Incurred 2.5% cpi'!W$17*Incurred!W$17*BL43)</f>
        <v/>
      </c>
      <c r="X43" s="102" t="str">
        <f>IF(ISTEXT('Incurred 2.5% cpi'!X43),"",'Incurred 2.5% cpi'!X43/'Incurred 2.5% cpi'!X$17*Incurred!X$17*BM43)</f>
        <v/>
      </c>
      <c r="Y43" s="80">
        <f t="shared" si="51"/>
        <v>20013.73000000001</v>
      </c>
      <c r="Z43" s="80">
        <f t="shared" si="35"/>
        <v>489911.80999999994</v>
      </c>
      <c r="AA43" s="566">
        <f t="shared" si="36"/>
        <v>54114.576816504705</v>
      </c>
      <c r="AB43" s="566" t="str">
        <f t="shared" si="37"/>
        <v/>
      </c>
      <c r="AC43" s="567" t="str">
        <f t="shared" si="38"/>
        <v/>
      </c>
      <c r="AD43" s="568" t="str">
        <f t="shared" si="39"/>
        <v>2016</v>
      </c>
      <c r="AE43" s="569" t="s">
        <v>0</v>
      </c>
      <c r="AF43" s="568" t="s">
        <v>0</v>
      </c>
      <c r="AG43" s="569"/>
      <c r="AH43" s="566">
        <f t="shared" si="73"/>
        <v>47829.400741442194</v>
      </c>
      <c r="AI43" s="80">
        <f t="shared" si="40"/>
        <v>-234949.03999999998</v>
      </c>
      <c r="AJ43" s="571" t="s">
        <v>0</v>
      </c>
      <c r="AK43" s="875">
        <f t="shared" si="41"/>
        <v>0</v>
      </c>
      <c r="AL43" s="28">
        <f t="shared" si="70"/>
        <v>0</v>
      </c>
      <c r="AM43" s="28">
        <f t="shared" si="70"/>
        <v>0</v>
      </c>
      <c r="AN43" s="28">
        <f t="shared" si="70"/>
        <v>0</v>
      </c>
      <c r="AO43" s="28">
        <f t="shared" si="70"/>
        <v>1</v>
      </c>
      <c r="AP43" s="28">
        <f t="shared" si="70"/>
        <v>0</v>
      </c>
      <c r="AQ43" s="28">
        <f t="shared" si="70"/>
        <v>0</v>
      </c>
      <c r="AR43" s="28">
        <f t="shared" si="70"/>
        <v>0</v>
      </c>
      <c r="AS43" s="28">
        <f t="shared" si="70"/>
        <v>0</v>
      </c>
      <c r="AT43" s="28">
        <f t="shared" si="70"/>
        <v>0</v>
      </c>
      <c r="AU43" s="28">
        <f t="shared" si="70"/>
        <v>0</v>
      </c>
      <c r="AV43" s="28">
        <f t="shared" si="71"/>
        <v>0</v>
      </c>
      <c r="AW43" s="28">
        <f t="shared" si="71"/>
        <v>0</v>
      </c>
      <c r="AX43" s="28">
        <f t="shared" si="71"/>
        <v>0</v>
      </c>
      <c r="AY43" s="28">
        <f t="shared" si="71"/>
        <v>0</v>
      </c>
      <c r="AZ43" s="28">
        <f t="shared" si="71"/>
        <v>0</v>
      </c>
      <c r="BA43" s="28">
        <f t="shared" si="71"/>
        <v>0</v>
      </c>
      <c r="BB43" s="28">
        <f t="shared" si="71"/>
        <v>0</v>
      </c>
      <c r="BC43" s="28">
        <f t="shared" si="71"/>
        <v>0</v>
      </c>
      <c r="BD43" s="28">
        <f t="shared" si="71"/>
        <v>0</v>
      </c>
      <c r="BE43" s="28">
        <f t="shared" si="71"/>
        <v>0</v>
      </c>
      <c r="BF43" s="27">
        <f t="shared" si="74"/>
        <v>1</v>
      </c>
      <c r="BG43" s="520">
        <f t="shared" si="43"/>
        <v>1.0046190746045656</v>
      </c>
      <c r="BH43" s="520">
        <f t="shared" si="44"/>
        <v>1.0088268933348963</v>
      </c>
      <c r="BI43" s="520">
        <f t="shared" si="45"/>
        <v>1.0133808891912874</v>
      </c>
      <c r="BJ43" s="520">
        <f t="shared" si="46"/>
        <v>1.018641287824382</v>
      </c>
      <c r="BK43" s="520">
        <f t="shared" si="47"/>
        <v>1.0263050529092395</v>
      </c>
      <c r="BL43" s="520">
        <f t="shared" si="48"/>
        <v>1.0349254280901359</v>
      </c>
      <c r="BM43" s="520">
        <f t="shared" si="49"/>
        <v>1.0406965352376705</v>
      </c>
      <c r="BN43" s="521" t="str">
        <f t="shared" si="50"/>
        <v>Category</v>
      </c>
      <c r="BP43" s="3"/>
    </row>
    <row r="44" spans="1:69" hidden="1" x14ac:dyDescent="0.15">
      <c r="A44" s="12" t="s">
        <v>82</v>
      </c>
      <c r="B44" s="13" t="s">
        <v>83</v>
      </c>
      <c r="C44" s="13" t="s">
        <v>2370</v>
      </c>
      <c r="D44" s="13" t="s">
        <v>28</v>
      </c>
      <c r="E44" s="13" t="s">
        <v>84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1413756.58</v>
      </c>
      <c r="M44" s="15">
        <v>871332.2</v>
      </c>
      <c r="N44" s="670">
        <v>45.45</v>
      </c>
      <c r="O44" s="14"/>
      <c r="P44" s="15"/>
      <c r="Q44" s="15" t="str">
        <f>IF(ISTEXT('Incurred 2.5% cpi'!Q44),"",'Incurred 2.5% cpi'!Q44/'Incurred 2.5% cpi'!Q$17*Incurred!Q$17)</f>
        <v/>
      </c>
      <c r="R44" s="110" t="str">
        <f>IF(ISTEXT('Incurred 2.5% cpi'!R44),"",'Incurred 2.5% cpi'!R44/'Incurred 2.5% cpi'!R$17*Incurred!R$17*BG44)</f>
        <v/>
      </c>
      <c r="S44" s="102" t="str">
        <f>IF(ISTEXT('Incurred 2.5% cpi'!S44),"",'Incurred 2.5% cpi'!S44/'Incurred 2.5% cpi'!S$17*Incurred!S$17*BH44)</f>
        <v/>
      </c>
      <c r="T44" s="16" t="str">
        <f>IF(ISTEXT('Incurred 2.5% cpi'!T44),"",'Incurred 2.5% cpi'!T44/'Incurred 2.5% cpi'!T$17*Incurred!T$17*BI44)</f>
        <v/>
      </c>
      <c r="U44" s="16" t="str">
        <f>IF(ISTEXT('Incurred 2.5% cpi'!U44),"",'Incurred 2.5% cpi'!U44/'Incurred 2.5% cpi'!U$17*Incurred!U$17*BJ44)</f>
        <v/>
      </c>
      <c r="V44" s="16" t="str">
        <f>IF(ISTEXT('Incurred 2.5% cpi'!V44),"",'Incurred 2.5% cpi'!V44/'Incurred 2.5% cpi'!V$17*Incurred!V$17*BK44)</f>
        <v/>
      </c>
      <c r="W44" s="110" t="str">
        <f>IF(ISTEXT('Incurred 2.5% cpi'!W44),"",'Incurred 2.5% cpi'!W44/'Incurred 2.5% cpi'!W$17*Incurred!W$17*BL44)</f>
        <v/>
      </c>
      <c r="X44" s="102" t="str">
        <f>IF(ISTEXT('Incurred 2.5% cpi'!X44),"",'Incurred 2.5% cpi'!X44/'Incurred 2.5% cpi'!X$17*Incurred!X$17*BM44)</f>
        <v/>
      </c>
      <c r="Y44" s="80">
        <f t="shared" si="51"/>
        <v>2285134.2300000004</v>
      </c>
      <c r="Z44" s="80">
        <f t="shared" si="35"/>
        <v>2285134.2300000004</v>
      </c>
      <c r="AA44" s="566">
        <f t="shared" si="36"/>
        <v>2903951.611335767</v>
      </c>
      <c r="AB44" s="566">
        <f t="shared" si="37"/>
        <v>2388495.9868932213</v>
      </c>
      <c r="AC44" s="567">
        <f t="shared" si="38"/>
        <v>1.2158076158683491</v>
      </c>
      <c r="AD44" s="568" t="str">
        <f t="shared" si="39"/>
        <v>2014</v>
      </c>
      <c r="AE44" s="569">
        <v>40746</v>
      </c>
      <c r="AF44" s="568" t="s">
        <v>3153</v>
      </c>
      <c r="AG44" s="569"/>
      <c r="AH44" s="566">
        <f t="shared" si="73"/>
        <v>2566670.0826896834</v>
      </c>
      <c r="AI44" s="80">
        <f t="shared" si="40"/>
        <v>45.45</v>
      </c>
      <c r="AJ44" s="571" t="s">
        <v>0</v>
      </c>
      <c r="AK44" s="875">
        <f t="shared" si="41"/>
        <v>0</v>
      </c>
      <c r="AL44" s="28">
        <f t="shared" si="70"/>
        <v>0</v>
      </c>
      <c r="AM44" s="28">
        <f t="shared" si="70"/>
        <v>8.4897030931944104E-4</v>
      </c>
      <c r="AN44" s="28">
        <f t="shared" si="70"/>
        <v>3.425283513470974E-3</v>
      </c>
      <c r="AO44" s="28">
        <f t="shared" si="70"/>
        <v>0</v>
      </c>
      <c r="AP44" s="28">
        <f t="shared" si="70"/>
        <v>0</v>
      </c>
      <c r="AQ44" s="28">
        <f t="shared" si="70"/>
        <v>9.8933283246155444E-4</v>
      </c>
      <c r="AR44" s="28">
        <f t="shared" si="70"/>
        <v>0</v>
      </c>
      <c r="AS44" s="28">
        <f t="shared" si="70"/>
        <v>0</v>
      </c>
      <c r="AT44" s="28">
        <f t="shared" si="70"/>
        <v>0</v>
      </c>
      <c r="AU44" s="28">
        <f t="shared" si="70"/>
        <v>0.11145871112366139</v>
      </c>
      <c r="AV44" s="28">
        <f t="shared" si="71"/>
        <v>3.2212957180222388E-3</v>
      </c>
      <c r="AW44" s="28">
        <f t="shared" si="71"/>
        <v>3.3295346485484864E-2</v>
      </c>
      <c r="AX44" s="28">
        <f t="shared" si="71"/>
        <v>1.6907698106837219E-3</v>
      </c>
      <c r="AY44" s="28">
        <f t="shared" si="71"/>
        <v>0</v>
      </c>
      <c r="AZ44" s="28">
        <f t="shared" si="71"/>
        <v>1.976345725093211E-2</v>
      </c>
      <c r="BA44" s="28">
        <f t="shared" si="71"/>
        <v>0.82530683295596374</v>
      </c>
      <c r="BB44" s="28">
        <f t="shared" si="71"/>
        <v>0</v>
      </c>
      <c r="BC44" s="28">
        <f t="shared" si="71"/>
        <v>0</v>
      </c>
      <c r="BD44" s="28">
        <f t="shared" si="71"/>
        <v>0</v>
      </c>
      <c r="BE44" s="28">
        <f t="shared" si="71"/>
        <v>0</v>
      </c>
      <c r="BF44" s="27">
        <f t="shared" si="74"/>
        <v>1</v>
      </c>
      <c r="BG44" s="520">
        <f t="shared" si="43"/>
        <v>1.0030444840366091</v>
      </c>
      <c r="BH44" s="520">
        <f t="shared" si="44"/>
        <v>1.0058179046998681</v>
      </c>
      <c r="BI44" s="520">
        <f t="shared" si="45"/>
        <v>1.0088194946014175</v>
      </c>
      <c r="BJ44" s="520">
        <f t="shared" si="46"/>
        <v>1.0122866825201464</v>
      </c>
      <c r="BK44" s="520">
        <f t="shared" si="47"/>
        <v>1.0173379563051834</v>
      </c>
      <c r="BL44" s="520">
        <f t="shared" si="48"/>
        <v>1.023019742566414</v>
      </c>
      <c r="BM44" s="520">
        <f t="shared" si="49"/>
        <v>1.026823544212498</v>
      </c>
      <c r="BN44" s="521" t="str">
        <f t="shared" si="50"/>
        <v>Category</v>
      </c>
      <c r="BP44" s="3"/>
    </row>
    <row r="45" spans="1:69" hidden="1" x14ac:dyDescent="0.15">
      <c r="A45" s="12" t="s">
        <v>85</v>
      </c>
      <c r="B45" s="13" t="s">
        <v>86</v>
      </c>
      <c r="C45" s="13" t="s">
        <v>27</v>
      </c>
      <c r="D45" s="13" t="s">
        <v>54</v>
      </c>
      <c r="E45" s="13" t="s">
        <v>32</v>
      </c>
      <c r="F45" s="14">
        <v>0</v>
      </c>
      <c r="G45" s="14">
        <v>0</v>
      </c>
      <c r="H45" s="14">
        <v>5915</v>
      </c>
      <c r="I45" s="14">
        <v>0</v>
      </c>
      <c r="J45" s="14">
        <v>5170.29</v>
      </c>
      <c r="K45" s="14">
        <v>166130.54999999999</v>
      </c>
      <c r="L45" s="14">
        <v>291183.75</v>
      </c>
      <c r="M45" s="15">
        <v>2416906.69</v>
      </c>
      <c r="N45" s="670">
        <v>116388.69</v>
      </c>
      <c r="O45" s="14"/>
      <c r="P45" s="15">
        <v>-15090</v>
      </c>
      <c r="Q45" s="15" t="str">
        <f>IF(ISTEXT('Incurred 2.5% cpi'!Q45),"",'Incurred 2.5% cpi'!Q45/'Incurred 2.5% cpi'!Q$17*Incurred!Q$17)</f>
        <v/>
      </c>
      <c r="R45" s="110" t="str">
        <f>IF(ISTEXT('Incurred 2.5% cpi'!R45),"",'Incurred 2.5% cpi'!R45/'Incurred 2.5% cpi'!R$17*Incurred!R$17*BG45)</f>
        <v/>
      </c>
      <c r="S45" s="102" t="str">
        <f>IF(ISTEXT('Incurred 2.5% cpi'!S45),"",'Incurred 2.5% cpi'!S45/'Incurred 2.5% cpi'!S$17*Incurred!S$17*BH45)</f>
        <v/>
      </c>
      <c r="T45" s="16" t="str">
        <f>IF(ISTEXT('Incurred 2.5% cpi'!T45),"",'Incurred 2.5% cpi'!T45/'Incurred 2.5% cpi'!T$17*Incurred!T$17*BI45)</f>
        <v/>
      </c>
      <c r="U45" s="16" t="str">
        <f>IF(ISTEXT('Incurred 2.5% cpi'!U45),"",'Incurred 2.5% cpi'!U45/'Incurred 2.5% cpi'!U$17*Incurred!U$17*BJ45)</f>
        <v/>
      </c>
      <c r="V45" s="16" t="str">
        <f>IF(ISTEXT('Incurred 2.5% cpi'!V45),"",'Incurred 2.5% cpi'!V45/'Incurred 2.5% cpi'!V$17*Incurred!V$17*BK45)</f>
        <v/>
      </c>
      <c r="W45" s="110" t="str">
        <f>IF(ISTEXT('Incurred 2.5% cpi'!W45),"",'Incurred 2.5% cpi'!W45/'Incurred 2.5% cpi'!W$17*Incurred!W$17*BL45)</f>
        <v/>
      </c>
      <c r="X45" s="102" t="str">
        <f>IF(ISTEXT('Incurred 2.5% cpi'!X45),"",'Incurred 2.5% cpi'!X45/'Incurred 2.5% cpi'!X$17*Incurred!X$17*BM45)</f>
        <v/>
      </c>
      <c r="Y45" s="80">
        <f t="shared" si="51"/>
        <v>2986604.9699999997</v>
      </c>
      <c r="Z45" s="80">
        <f t="shared" si="35"/>
        <v>3016784.9699999997</v>
      </c>
      <c r="AA45" s="566">
        <f t="shared" si="36"/>
        <v>3753656.1586844437</v>
      </c>
      <c r="AB45" s="566">
        <f t="shared" si="37"/>
        <v>2999500.7458132114</v>
      </c>
      <c r="AC45" s="567">
        <f t="shared" si="38"/>
        <v>1.2514269796144921</v>
      </c>
      <c r="AD45" s="568" t="str">
        <f t="shared" si="39"/>
        <v>2016</v>
      </c>
      <c r="AE45" s="569">
        <v>41381</v>
      </c>
      <c r="AF45" s="568">
        <v>2013</v>
      </c>
      <c r="AG45" s="569"/>
      <c r="AH45" s="566">
        <f t="shared" si="73"/>
        <v>3317685.0900651161</v>
      </c>
      <c r="AI45" s="80">
        <f t="shared" si="40"/>
        <v>-15090</v>
      </c>
      <c r="AJ45" s="571" t="s">
        <v>0</v>
      </c>
      <c r="AK45" s="875">
        <f t="shared" si="41"/>
        <v>0</v>
      </c>
      <c r="AL45" s="28">
        <f t="shared" ref="AL45:AU46" si="75">IF($AK45=0,VLOOKUP(MID($A45,4,5),ProjectSplits,AL$23,FALSE),IF(ISNA(VLOOKUP($A45,Estimates,AL$22,FALSE)),VLOOKUP(MID($A45,4,5),ProjectSplits,AL$23,FALSE),VLOOKUP($A45,Estimates,AL$22,FALSE)))</f>
        <v>0</v>
      </c>
      <c r="AM45" s="28">
        <f t="shared" si="75"/>
        <v>0</v>
      </c>
      <c r="AN45" s="28">
        <f t="shared" si="75"/>
        <v>0</v>
      </c>
      <c r="AO45" s="28">
        <f t="shared" si="75"/>
        <v>0</v>
      </c>
      <c r="AP45" s="28">
        <f t="shared" si="75"/>
        <v>0</v>
      </c>
      <c r="AQ45" s="28">
        <f t="shared" si="75"/>
        <v>0</v>
      </c>
      <c r="AR45" s="28">
        <f t="shared" si="75"/>
        <v>0</v>
      </c>
      <c r="AS45" s="28">
        <f t="shared" si="75"/>
        <v>0</v>
      </c>
      <c r="AT45" s="28">
        <f t="shared" si="75"/>
        <v>0</v>
      </c>
      <c r="AU45" s="28">
        <f t="shared" si="75"/>
        <v>0.25410410952001239</v>
      </c>
      <c r="AV45" s="28">
        <f t="shared" ref="AV45:BE46" si="76">IF($AK45=0,VLOOKUP(MID($A45,4,5),ProjectSplits,AV$23,FALSE),IF(ISNA(VLOOKUP($A45,Estimates,AV$22,FALSE)),VLOOKUP(MID($A45,4,5),ProjectSplits,AV$23,FALSE),VLOOKUP($A45,Estimates,AV$22,FALSE)))</f>
        <v>0</v>
      </c>
      <c r="AW45" s="28">
        <f t="shared" si="76"/>
        <v>0</v>
      </c>
      <c r="AX45" s="28">
        <f t="shared" si="76"/>
        <v>0</v>
      </c>
      <c r="AY45" s="28">
        <f t="shared" si="76"/>
        <v>0</v>
      </c>
      <c r="AZ45" s="28">
        <f t="shared" si="76"/>
        <v>0.74589589047998761</v>
      </c>
      <c r="BA45" s="28">
        <f t="shared" si="76"/>
        <v>0</v>
      </c>
      <c r="BB45" s="28">
        <f t="shared" si="76"/>
        <v>0</v>
      </c>
      <c r="BC45" s="28">
        <f t="shared" si="76"/>
        <v>0</v>
      </c>
      <c r="BD45" s="28">
        <f t="shared" si="76"/>
        <v>0</v>
      </c>
      <c r="BE45" s="28">
        <f t="shared" si="76"/>
        <v>0</v>
      </c>
      <c r="BF45" s="27">
        <f t="shared" ref="BF45:BF46" si="77">SUM(AL45:BD45)</f>
        <v>1</v>
      </c>
      <c r="BG45" s="520">
        <f t="shared" si="43"/>
        <v>1.0030818160192299</v>
      </c>
      <c r="BH45" s="520">
        <f t="shared" si="44"/>
        <v>1.0058892448397847</v>
      </c>
      <c r="BI45" s="520">
        <f t="shared" si="45"/>
        <v>1.0089276407487533</v>
      </c>
      <c r="BJ45" s="520">
        <f t="shared" si="46"/>
        <v>1.0124373439172154</v>
      </c>
      <c r="BK45" s="520">
        <f t="shared" si="47"/>
        <v>1.0175505572831101</v>
      </c>
      <c r="BL45" s="520">
        <f t="shared" si="48"/>
        <v>1.023302014576742</v>
      </c>
      <c r="BM45" s="520">
        <f t="shared" si="49"/>
        <v>1.0271524590875074</v>
      </c>
      <c r="BN45" s="521" t="str">
        <f t="shared" si="50"/>
        <v>Category</v>
      </c>
      <c r="BP45" s="3"/>
    </row>
    <row r="46" spans="1:69" hidden="1" x14ac:dyDescent="0.15">
      <c r="A46" s="12" t="s">
        <v>87</v>
      </c>
      <c r="B46" s="13" t="s">
        <v>88</v>
      </c>
      <c r="C46" s="13" t="s">
        <v>27</v>
      </c>
      <c r="D46" s="13" t="s">
        <v>31</v>
      </c>
      <c r="E46" s="13" t="s">
        <v>32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459297.58</v>
      </c>
      <c r="L46" s="14">
        <v>1236085.3700000001</v>
      </c>
      <c r="M46" s="15">
        <v>4746280.5199999996</v>
      </c>
      <c r="N46" s="670">
        <v>7405961.0599999996</v>
      </c>
      <c r="O46" s="14">
        <v>18429504.32</v>
      </c>
      <c r="P46" s="15">
        <v>37006.379999999997</v>
      </c>
      <c r="Q46" s="15">
        <f>IF(ISTEXT('Incurred 2.5% cpi'!Q46),"",'Incurred 2.5% cpi'!Q46/'Incurred 2.5% cpi'!Q$17*Incurred!Q$17)</f>
        <v>193768.15</v>
      </c>
      <c r="R46" s="110" t="str">
        <f>IF(ISTEXT('Incurred 2.5% cpi'!R46),"",'Incurred 2.5% cpi'!R46/'Incurred 2.5% cpi'!R$17*Incurred!R$17*BG46)</f>
        <v/>
      </c>
      <c r="S46" s="102" t="str">
        <f>IF(ISTEXT('Incurred 2.5% cpi'!S46),"",'Incurred 2.5% cpi'!S46/'Incurred 2.5% cpi'!S$17*Incurred!S$17*BH46)</f>
        <v/>
      </c>
      <c r="T46" s="16" t="str">
        <f>IF(ISTEXT('Incurred 2.5% cpi'!T46),"",'Incurred 2.5% cpi'!T46/'Incurred 2.5% cpi'!T$17*Incurred!T$17*BI46)</f>
        <v/>
      </c>
      <c r="U46" s="16" t="str">
        <f>IF(ISTEXT('Incurred 2.5% cpi'!U46),"",'Incurred 2.5% cpi'!U46/'Incurred 2.5% cpi'!U$17*Incurred!U$17*BJ46)</f>
        <v/>
      </c>
      <c r="V46" s="16" t="str">
        <f>IF(ISTEXT('Incurred 2.5% cpi'!V46),"",'Incurred 2.5% cpi'!V46/'Incurred 2.5% cpi'!V$17*Incurred!V$17*BK46)</f>
        <v/>
      </c>
      <c r="W46" s="110" t="str">
        <f>IF(ISTEXT('Incurred 2.5% cpi'!W46),"",'Incurred 2.5% cpi'!W46/'Incurred 2.5% cpi'!W$17*Incurred!W$17*BL46)</f>
        <v/>
      </c>
      <c r="X46" s="102" t="str">
        <f>IF(ISTEXT('Incurred 2.5% cpi'!X46),"",'Incurred 2.5% cpi'!X46/'Incurred 2.5% cpi'!X$17*Incurred!X$17*BM46)</f>
        <v/>
      </c>
      <c r="Y46" s="80">
        <f t="shared" si="51"/>
        <v>32507903.379999999</v>
      </c>
      <c r="Z46" s="80">
        <f t="shared" si="35"/>
        <v>32507903.379999999</v>
      </c>
      <c r="AA46" s="566">
        <f t="shared" si="36"/>
        <v>39509729.689342618</v>
      </c>
      <c r="AB46" s="566">
        <f t="shared" si="37"/>
        <v>34069116.086066842</v>
      </c>
      <c r="AC46" s="567">
        <f t="shared" si="38"/>
        <v>1.1596934182128902</v>
      </c>
      <c r="AD46" s="568" t="str">
        <f t="shared" si="39"/>
        <v>2017</v>
      </c>
      <c r="AE46" s="569">
        <v>42219</v>
      </c>
      <c r="AF46" s="568" t="s">
        <v>3152</v>
      </c>
      <c r="AG46" s="569"/>
      <c r="AH46" s="566">
        <f t="shared" si="73"/>
        <v>34920843.988218509</v>
      </c>
      <c r="AI46" s="80">
        <f t="shared" si="40"/>
        <v>193768.15</v>
      </c>
      <c r="AJ46" s="571" t="s">
        <v>0</v>
      </c>
      <c r="AK46" s="875">
        <f t="shared" si="41"/>
        <v>0</v>
      </c>
      <c r="AL46" s="28">
        <f t="shared" si="75"/>
        <v>0</v>
      </c>
      <c r="AM46" s="28">
        <f t="shared" si="75"/>
        <v>1.2122431221694171E-2</v>
      </c>
      <c r="AN46" s="28">
        <f t="shared" si="75"/>
        <v>7.4994971210511546E-2</v>
      </c>
      <c r="AO46" s="28">
        <f t="shared" si="75"/>
        <v>0</v>
      </c>
      <c r="AP46" s="28">
        <f t="shared" si="75"/>
        <v>0</v>
      </c>
      <c r="AQ46" s="28">
        <f t="shared" si="75"/>
        <v>0</v>
      </c>
      <c r="AR46" s="28">
        <f t="shared" si="75"/>
        <v>0</v>
      </c>
      <c r="AS46" s="28">
        <f t="shared" si="75"/>
        <v>0</v>
      </c>
      <c r="AT46" s="28">
        <f t="shared" si="75"/>
        <v>0</v>
      </c>
      <c r="AU46" s="28">
        <f t="shared" si="75"/>
        <v>0.27203656908146467</v>
      </c>
      <c r="AV46" s="28">
        <f t="shared" si="76"/>
        <v>0</v>
      </c>
      <c r="AW46" s="28">
        <f t="shared" si="76"/>
        <v>8.95830733225607E-2</v>
      </c>
      <c r="AX46" s="28">
        <f t="shared" si="76"/>
        <v>0</v>
      </c>
      <c r="AY46" s="28">
        <f t="shared" si="76"/>
        <v>0</v>
      </c>
      <c r="AZ46" s="28">
        <f t="shared" si="76"/>
        <v>0.1773164428214706</v>
      </c>
      <c r="BA46" s="28">
        <f t="shared" si="76"/>
        <v>0.37394651234229831</v>
      </c>
      <c r="BB46" s="28">
        <f t="shared" si="76"/>
        <v>0</v>
      </c>
      <c r="BC46" s="28">
        <f t="shared" si="76"/>
        <v>0</v>
      </c>
      <c r="BD46" s="28">
        <f t="shared" si="76"/>
        <v>0</v>
      </c>
      <c r="BE46" s="28">
        <f t="shared" si="76"/>
        <v>0</v>
      </c>
      <c r="BF46" s="27">
        <f t="shared" si="77"/>
        <v>1</v>
      </c>
      <c r="BG46" s="520">
        <f t="shared" si="43"/>
        <v>1.0031222795856722</v>
      </c>
      <c r="BH46" s="520">
        <f t="shared" si="44"/>
        <v>1.005966569329106</v>
      </c>
      <c r="BI46" s="520">
        <f t="shared" si="45"/>
        <v>1.0090448587080203</v>
      </c>
      <c r="BJ46" s="520">
        <f t="shared" si="46"/>
        <v>1.012600643507074</v>
      </c>
      <c r="BK46" s="520">
        <f t="shared" si="47"/>
        <v>1.0177809922397374</v>
      </c>
      <c r="BL46" s="520">
        <f t="shared" si="48"/>
        <v>1.023607964902518</v>
      </c>
      <c r="BM46" s="520">
        <f t="shared" si="49"/>
        <v>1.0275089649027487</v>
      </c>
      <c r="BN46" s="521" t="str">
        <f t="shared" si="50"/>
        <v>Category</v>
      </c>
      <c r="BP46" s="3"/>
    </row>
    <row r="47" spans="1:69" hidden="1" x14ac:dyDescent="0.15">
      <c r="A47" s="12" t="s">
        <v>89</v>
      </c>
      <c r="B47" s="13" t="s">
        <v>90</v>
      </c>
      <c r="C47" s="13" t="s">
        <v>27</v>
      </c>
      <c r="D47" s="13" t="s">
        <v>54</v>
      </c>
      <c r="E47" s="13" t="s">
        <v>32</v>
      </c>
      <c r="F47" s="14">
        <v>0</v>
      </c>
      <c r="G47" s="14">
        <v>0</v>
      </c>
      <c r="H47" s="14">
        <v>0</v>
      </c>
      <c r="I47" s="14">
        <v>107614.86</v>
      </c>
      <c r="J47" s="14">
        <v>2026660.21</v>
      </c>
      <c r="K47" s="14">
        <v>5821932.9500000002</v>
      </c>
      <c r="L47" s="14">
        <v>5526002.0099999998</v>
      </c>
      <c r="M47" s="15">
        <v>580408.01</v>
      </c>
      <c r="N47" s="670">
        <v>546782.29</v>
      </c>
      <c r="O47" s="14">
        <v>3550.71</v>
      </c>
      <c r="P47" s="15">
        <v>148.43</v>
      </c>
      <c r="Q47" s="15" t="str">
        <f>IF(ISTEXT('Incurred 2.5% cpi'!Q47),"",'Incurred 2.5% cpi'!Q47/'Incurred 2.5% cpi'!Q$17*Incurred!Q$17)</f>
        <v/>
      </c>
      <c r="R47" s="110" t="str">
        <f>IF(ISTEXT('Incurred 2.5% cpi'!R47),"",'Incurred 2.5% cpi'!R47/'Incurred 2.5% cpi'!R$17*Incurred!R$17*BG47)</f>
        <v/>
      </c>
      <c r="S47" s="102" t="str">
        <f>IF(ISTEXT('Incurred 2.5% cpi'!S47),"",'Incurred 2.5% cpi'!S47/'Incurred 2.5% cpi'!S$17*Incurred!S$17*BH47)</f>
        <v/>
      </c>
      <c r="T47" s="16" t="str">
        <f>IF(ISTEXT('Incurred 2.5% cpi'!T47),"",'Incurred 2.5% cpi'!T47/'Incurred 2.5% cpi'!T$17*Incurred!T$17*BI47)</f>
        <v/>
      </c>
      <c r="U47" s="16" t="str">
        <f>IF(ISTEXT('Incurred 2.5% cpi'!U47),"",'Incurred 2.5% cpi'!U47/'Incurred 2.5% cpi'!U$17*Incurred!U$17*BJ47)</f>
        <v/>
      </c>
      <c r="V47" s="16" t="str">
        <f>IF(ISTEXT('Incurred 2.5% cpi'!V47),"",'Incurred 2.5% cpi'!V47/'Incurred 2.5% cpi'!V$17*Incurred!V$17*BK47)</f>
        <v/>
      </c>
      <c r="W47" s="110" t="str">
        <f>IF(ISTEXT('Incurred 2.5% cpi'!W47),"",'Incurred 2.5% cpi'!W47/'Incurred 2.5% cpi'!W$17*Incurred!W$17*BL47)</f>
        <v/>
      </c>
      <c r="X47" s="102" t="str">
        <f>IF(ISTEXT('Incurred 2.5% cpi'!X47),"",'Incurred 2.5% cpi'!X47/'Incurred 2.5% cpi'!X$17*Incurred!X$17*BM47)</f>
        <v/>
      </c>
      <c r="Y47" s="80">
        <f t="shared" si="51"/>
        <v>14613099.469999999</v>
      </c>
      <c r="Z47" s="80">
        <f t="shared" si="35"/>
        <v>14613099.469999999</v>
      </c>
      <c r="AA47" s="566">
        <f t="shared" si="36"/>
        <v>18950724.596107159</v>
      </c>
      <c r="AB47" s="566">
        <f t="shared" si="37"/>
        <v>16001017.884081468</v>
      </c>
      <c r="AC47" s="567">
        <f t="shared" si="38"/>
        <v>1.1843449418902401</v>
      </c>
      <c r="AD47" s="568" t="str">
        <f t="shared" si="39"/>
        <v>2016</v>
      </c>
      <c r="AE47" s="569">
        <v>41134</v>
      </c>
      <c r="AF47" s="568" t="s">
        <v>3152</v>
      </c>
      <c r="AG47" s="569"/>
      <c r="AH47" s="566">
        <f>IF(ROUND(Y47,0)=0,0,SUMPRODUCT($F$19:$W$19,F47:W47))</f>
        <v>16749679.187576443</v>
      </c>
      <c r="AI47" s="80">
        <f t="shared" si="40"/>
        <v>148.43</v>
      </c>
      <c r="AJ47" s="571" t="s">
        <v>0</v>
      </c>
      <c r="AK47" s="875">
        <f t="shared" si="41"/>
        <v>0</v>
      </c>
      <c r="AL47" s="28">
        <f t="shared" ref="AL47:AU50" si="78">IF($AK47=0,VLOOKUP(MID($A47,4,5),ProjectSplits,AL$23,FALSE),IF(ISNA(VLOOKUP($A47,Estimates,AL$22,FALSE)),VLOOKUP(MID($A47,4,5),ProjectSplits,AL$23,FALSE),VLOOKUP($A47,Estimates,AL$22,FALSE)))</f>
        <v>0</v>
      </c>
      <c r="AM47" s="28">
        <f t="shared" si="78"/>
        <v>0</v>
      </c>
      <c r="AN47" s="28">
        <f t="shared" si="78"/>
        <v>0.98529252208264806</v>
      </c>
      <c r="AO47" s="28">
        <f t="shared" si="78"/>
        <v>0</v>
      </c>
      <c r="AP47" s="28">
        <f t="shared" si="78"/>
        <v>0</v>
      </c>
      <c r="AQ47" s="28">
        <f t="shared" si="78"/>
        <v>0</v>
      </c>
      <c r="AR47" s="28">
        <f t="shared" si="78"/>
        <v>0</v>
      </c>
      <c r="AS47" s="28">
        <f t="shared" si="78"/>
        <v>0</v>
      </c>
      <c r="AT47" s="28">
        <f t="shared" si="78"/>
        <v>0</v>
      </c>
      <c r="AU47" s="28">
        <f t="shared" si="78"/>
        <v>0</v>
      </c>
      <c r="AV47" s="28">
        <f t="shared" ref="AV47:BE50" si="79">IF($AK47=0,VLOOKUP(MID($A47,4,5),ProjectSplits,AV$23,FALSE),IF(ISNA(VLOOKUP($A47,Estimates,AV$22,FALSE)),VLOOKUP(MID($A47,4,5),ProjectSplits,AV$23,FALSE),VLOOKUP($A47,Estimates,AV$22,FALSE)))</f>
        <v>0</v>
      </c>
      <c r="AW47" s="28">
        <f t="shared" si="79"/>
        <v>1.470747791735184E-2</v>
      </c>
      <c r="AX47" s="28">
        <f t="shared" si="79"/>
        <v>0</v>
      </c>
      <c r="AY47" s="28">
        <f t="shared" si="79"/>
        <v>0</v>
      </c>
      <c r="AZ47" s="28">
        <f t="shared" si="79"/>
        <v>0</v>
      </c>
      <c r="BA47" s="28">
        <f t="shared" si="79"/>
        <v>0</v>
      </c>
      <c r="BB47" s="28">
        <f t="shared" si="79"/>
        <v>0</v>
      </c>
      <c r="BC47" s="28">
        <f t="shared" si="79"/>
        <v>0</v>
      </c>
      <c r="BD47" s="28">
        <f t="shared" si="79"/>
        <v>0</v>
      </c>
      <c r="BE47" s="28">
        <f t="shared" si="79"/>
        <v>0</v>
      </c>
      <c r="BF47" s="27">
        <f t="shared" ref="BF47:BF49" si="80">SUM(AL47:BD47)</f>
        <v>0.99999999999999989</v>
      </c>
      <c r="BG47" s="520">
        <f t="shared" si="43"/>
        <v>1.0030818160192299</v>
      </c>
      <c r="BH47" s="520">
        <f t="shared" si="44"/>
        <v>1.0058892448397847</v>
      </c>
      <c r="BI47" s="520">
        <f t="shared" si="45"/>
        <v>1.0089276407487533</v>
      </c>
      <c r="BJ47" s="520">
        <f t="shared" si="46"/>
        <v>1.0124373439172154</v>
      </c>
      <c r="BK47" s="520">
        <f t="shared" si="47"/>
        <v>1.0175505572831101</v>
      </c>
      <c r="BL47" s="520">
        <f t="shared" si="48"/>
        <v>1.023302014576742</v>
      </c>
      <c r="BM47" s="520">
        <f t="shared" si="49"/>
        <v>1.0271524590875074</v>
      </c>
      <c r="BN47" s="521" t="str">
        <f t="shared" si="50"/>
        <v>Category</v>
      </c>
      <c r="BP47" s="3"/>
    </row>
    <row r="48" spans="1:69" hidden="1" x14ac:dyDescent="0.15">
      <c r="A48" s="12" t="s">
        <v>91</v>
      </c>
      <c r="B48" s="13" t="s">
        <v>92</v>
      </c>
      <c r="C48" s="13" t="s">
        <v>27</v>
      </c>
      <c r="D48" s="13" t="s">
        <v>55</v>
      </c>
      <c r="E48" s="13" t="s">
        <v>32</v>
      </c>
      <c r="F48" s="14">
        <v>0</v>
      </c>
      <c r="G48" s="14">
        <v>0</v>
      </c>
      <c r="H48" s="14">
        <v>0</v>
      </c>
      <c r="I48" s="14">
        <v>0</v>
      </c>
      <c r="J48" s="14">
        <v>238513.45</v>
      </c>
      <c r="K48" s="14">
        <v>135131.38</v>
      </c>
      <c r="L48" s="14">
        <v>94858.79</v>
      </c>
      <c r="M48" s="15">
        <v>95193.71</v>
      </c>
      <c r="N48" s="670">
        <v>182971.82</v>
      </c>
      <c r="O48" s="14">
        <v>320398.09000000003</v>
      </c>
      <c r="P48" s="15">
        <v>344966.82</v>
      </c>
      <c r="Q48" s="15">
        <f>IF(ISTEXT('Incurred 2.5% cpi'!Q48),"",'Incurred 2.5% cpi'!Q48/'Incurred 2.5% cpi'!Q$17*Incurred!Q$17)</f>
        <v>384962.43</v>
      </c>
      <c r="R48" s="110">
        <f>IF(ISTEXT('Incurred 2.5% cpi'!R48),"",'Incurred 2.5% cpi'!R48/'Incurred 2.5% cpi'!R$17*Incurred!R$17*BG48)</f>
        <v>7229.1383989469932</v>
      </c>
      <c r="S48" s="102" t="str">
        <f>IF(ISTEXT('Incurred 2.5% cpi'!S48),"",'Incurred 2.5% cpi'!S48/'Incurred 2.5% cpi'!S$17*Incurred!S$17*BH48)</f>
        <v/>
      </c>
      <c r="T48" s="16" t="str">
        <f>IF(ISTEXT('Incurred 2.5% cpi'!T48),"",'Incurred 2.5% cpi'!T48/'Incurred 2.5% cpi'!T$17*Incurred!T$17*BI48)</f>
        <v/>
      </c>
      <c r="U48" s="16" t="str">
        <f>IF(ISTEXT('Incurred 2.5% cpi'!U48),"",'Incurred 2.5% cpi'!U48/'Incurred 2.5% cpi'!U$17*Incurred!U$17*BJ48)</f>
        <v/>
      </c>
      <c r="V48" s="16" t="str">
        <f>IF(ISTEXT('Incurred 2.5% cpi'!V48),"",'Incurred 2.5% cpi'!V48/'Incurred 2.5% cpi'!V$17*Incurred!V$17*BK48)</f>
        <v/>
      </c>
      <c r="W48" s="110" t="str">
        <f>IF(ISTEXT('Incurred 2.5% cpi'!W48),"",'Incurred 2.5% cpi'!W48/'Incurred 2.5% cpi'!W$17*Incurred!W$17*BL48)</f>
        <v/>
      </c>
      <c r="X48" s="102" t="str">
        <f>IF(ISTEXT('Incurred 2.5% cpi'!X48),"",'Incurred 2.5% cpi'!X48/'Incurred 2.5% cpi'!X$17*Incurred!X$17*BM48)</f>
        <v/>
      </c>
      <c r="Y48" s="80">
        <f t="shared" si="51"/>
        <v>1804225.628398947</v>
      </c>
      <c r="Z48" s="80">
        <f t="shared" ref="Z48:Z69" si="81">-SUMIFS(F48:W48,F48:W48,"&lt;0")+SUMIFS(F48:W48,F48:W48,"&gt;0")</f>
        <v>1804225.628398947</v>
      </c>
      <c r="AA48" s="566">
        <f t="shared" ref="AA48:AA69" si="82">IF(ROUND(Y48,0)=0,0,SUMPRODUCT($F$20:$W$20,F48:W48))</f>
        <v>2208096.1356723928</v>
      </c>
      <c r="AB48" s="566">
        <f t="shared" ref="AB48:AB69" si="83">IF(AC48="","",AA48/AC48)</f>
        <v>1951635.2369680505</v>
      </c>
      <c r="AC48" s="567">
        <f t="shared" ref="AC48:AC69" si="84">IF(AF48="","",IF(AF48&lt;AD48,INDEX($F$20:$W$20,1,MATCH(TEXT(AF48,"000"),$F$24:$W$24)),INDEX($F$20:$W$20,1,MATCH(AD48,$F$24:$W$24))))</f>
        <v>1.1314082128906247</v>
      </c>
      <c r="AD48" s="568" t="str">
        <f t="shared" ref="AD48:AD69" si="85">IF(AI48=0,"",INDEX($F$24:$W$24,1,MATCH(AI48,F48:W48,0)))</f>
        <v>2018</v>
      </c>
      <c r="AE48" s="569">
        <v>42685</v>
      </c>
      <c r="AF48" s="568" t="s">
        <v>3152</v>
      </c>
      <c r="AG48" s="569"/>
      <c r="AH48" s="566">
        <f>IF(ROUND(Y48,0)=0,0,SUMPRODUCT($F$19:$W$19,F48:W48))</f>
        <v>1951635.2369680505</v>
      </c>
      <c r="AI48" s="80">
        <f t="shared" ref="AI48:AI69" si="86">IF(ROUND(Z48,0)=0,0,LOOKUP(2,1/(F48:W48&lt;&gt;""),F48:W48))</f>
        <v>7229.1383989469932</v>
      </c>
      <c r="AJ48" s="571" t="s">
        <v>0</v>
      </c>
      <c r="AK48" s="875">
        <f t="shared" ref="AK48:AK68" si="87">IF(ISNA(VLOOKUP($A48,Estimates,71,FALSE)),0,VLOOKUP($A48,Estimates,71,FALSE))</f>
        <v>0</v>
      </c>
      <c r="AL48" s="28">
        <f t="shared" si="78"/>
        <v>0</v>
      </c>
      <c r="AM48" s="28">
        <f t="shared" si="78"/>
        <v>0</v>
      </c>
      <c r="AN48" s="28">
        <f t="shared" si="78"/>
        <v>0</v>
      </c>
      <c r="AO48" s="28">
        <f t="shared" si="78"/>
        <v>1</v>
      </c>
      <c r="AP48" s="28">
        <f t="shared" si="78"/>
        <v>0</v>
      </c>
      <c r="AQ48" s="28">
        <f t="shared" si="78"/>
        <v>0</v>
      </c>
      <c r="AR48" s="28">
        <f t="shared" si="78"/>
        <v>0</v>
      </c>
      <c r="AS48" s="28">
        <f t="shared" si="78"/>
        <v>0</v>
      </c>
      <c r="AT48" s="28">
        <f t="shared" si="78"/>
        <v>0</v>
      </c>
      <c r="AU48" s="28">
        <f t="shared" si="78"/>
        <v>0</v>
      </c>
      <c r="AV48" s="28">
        <f t="shared" si="79"/>
        <v>0</v>
      </c>
      <c r="AW48" s="28">
        <f t="shared" si="79"/>
        <v>0</v>
      </c>
      <c r="AX48" s="28">
        <f t="shared" si="79"/>
        <v>0</v>
      </c>
      <c r="AY48" s="28">
        <f t="shared" si="79"/>
        <v>0</v>
      </c>
      <c r="AZ48" s="28">
        <f t="shared" si="79"/>
        <v>0</v>
      </c>
      <c r="BA48" s="28">
        <f t="shared" si="79"/>
        <v>0</v>
      </c>
      <c r="BB48" s="28">
        <f t="shared" si="79"/>
        <v>0</v>
      </c>
      <c r="BC48" s="28">
        <f t="shared" si="79"/>
        <v>0</v>
      </c>
      <c r="BD48" s="28">
        <f t="shared" si="79"/>
        <v>0</v>
      </c>
      <c r="BE48" s="28">
        <f t="shared" si="79"/>
        <v>0</v>
      </c>
      <c r="BF48" s="27">
        <f t="shared" si="80"/>
        <v>1</v>
      </c>
      <c r="BG48" s="520">
        <f t="shared" si="43"/>
        <v>1.0046190746045656</v>
      </c>
      <c r="BH48" s="520">
        <f t="shared" ref="BH48:BH69" si="88">1+IF(ISNA(VLOOKUP($A48,ProjLabEsc,7,FALSE)),VLOOKUP($D48,CatLabEsc,4,FALSE),VLOOKUP($A48,ProjLabEsc,7,FALSE))*LabEsc19*LabIn</f>
        <v>1.0088268933348963</v>
      </c>
      <c r="BI48" s="520">
        <f t="shared" ref="BI48:BI69" si="89">1+IF(ISNA(VLOOKUP($A48,ProjLabEsc,7,FALSE)),VLOOKUP($D48,CatLabEsc,4,FALSE),VLOOKUP($A48,ProjLabEsc,7,FALSE))*LabEsc20*LabIn</f>
        <v>1.0133808891912874</v>
      </c>
      <c r="BJ48" s="520">
        <f t="shared" ref="BJ48:BJ69" si="90">1+IF(ISNA(VLOOKUP($A48,ProjLabEsc,7,FALSE)),VLOOKUP($D48,CatLabEsc,4,FALSE),VLOOKUP($A48,ProjLabEsc,7,FALSE))*LabEsc21*LabIn</f>
        <v>1.018641287824382</v>
      </c>
      <c r="BK48" s="520">
        <f t="shared" ref="BK48:BK69" si="91">1+IF(ISNA(VLOOKUP($A48,ProjLabEsc,7,FALSE)),VLOOKUP($D48,CatLabEsc,4,FALSE),VLOOKUP($A48,ProjLabEsc,7,FALSE))*LabEsc22*LabIn</f>
        <v>1.0263050529092395</v>
      </c>
      <c r="BL48" s="520">
        <f t="shared" ref="BL48:BL69" si="92">1+IF(ISNA(VLOOKUP($A48,ProjLabEsc,7,FALSE)),VLOOKUP($D48,CatLabEsc,4,FALSE),VLOOKUP($A48,ProjLabEsc,7,FALSE))*LabEsc23*LabIn</f>
        <v>1.0349254280901359</v>
      </c>
      <c r="BM48" s="520">
        <f t="shared" ref="BM48:BM69" si="93">1+IF(ISNA(VLOOKUP($A48,ProjLabEsc,7,FALSE)),VLOOKUP($D48,CatLabEsc,4,FALSE),VLOOKUP($A48,ProjLabEsc,7,FALSE))*LabEsc24*LabIn</f>
        <v>1.0406965352376705</v>
      </c>
      <c r="BN48" s="521" t="str">
        <f t="shared" ref="BN48:BN69" si="94">IF(ISNA(VLOOKUP($A48,ProjLabEsc,7,FALSE)),"Category","Project")</f>
        <v>Category</v>
      </c>
      <c r="BP48" s="3"/>
    </row>
    <row r="49" spans="1:69" hidden="1" x14ac:dyDescent="0.15">
      <c r="A49" s="12" t="s">
        <v>93</v>
      </c>
      <c r="B49" s="13" t="s">
        <v>94</v>
      </c>
      <c r="C49" s="13" t="s">
        <v>27</v>
      </c>
      <c r="D49" s="13" t="s">
        <v>40</v>
      </c>
      <c r="E49" s="13" t="s">
        <v>29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2703.28</v>
      </c>
      <c r="L49" s="14">
        <v>236981.66</v>
      </c>
      <c r="M49" s="15">
        <v>1081055.72</v>
      </c>
      <c r="N49" s="670">
        <v>635020.11</v>
      </c>
      <c r="O49" s="14">
        <v>650420.4</v>
      </c>
      <c r="P49" s="15">
        <v>373843.75</v>
      </c>
      <c r="Q49" s="15">
        <f>IF(ISTEXT('Incurred 2.5% cpi'!Q49),"",'Incurred 2.5% cpi'!Q49/'Incurred 2.5% cpi'!Q$17*Incurred!Q$17)</f>
        <v>716673.3</v>
      </c>
      <c r="R49" s="110">
        <f>IF(ISTEXT('Incurred 2.5% cpi'!R49),"",'Incurred 2.5% cpi'!R49/'Incurred 2.5% cpi'!R$17*Incurred!R$17*BG49)</f>
        <v>358.84371702232363</v>
      </c>
      <c r="S49" s="102" t="str">
        <f>IF(ISTEXT('Incurred 2.5% cpi'!S49),"",'Incurred 2.5% cpi'!S49/'Incurred 2.5% cpi'!S$17*Incurred!S$17*BH49)</f>
        <v/>
      </c>
      <c r="T49" s="16" t="str">
        <f>IF(ISTEXT('Incurred 2.5% cpi'!T49),"",'Incurred 2.5% cpi'!T49/'Incurred 2.5% cpi'!T$17*Incurred!T$17*BI49)</f>
        <v/>
      </c>
      <c r="U49" s="16" t="str">
        <f>IF(ISTEXT('Incurred 2.5% cpi'!U49),"",'Incurred 2.5% cpi'!U49/'Incurred 2.5% cpi'!U$17*Incurred!U$17*BJ49)</f>
        <v/>
      </c>
      <c r="V49" s="16" t="str">
        <f>IF(ISTEXT('Incurred 2.5% cpi'!V49),"",'Incurred 2.5% cpi'!V49/'Incurred 2.5% cpi'!V$17*Incurred!V$17*BK49)</f>
        <v/>
      </c>
      <c r="W49" s="110" t="str">
        <f>IF(ISTEXT('Incurred 2.5% cpi'!W49),"",'Incurred 2.5% cpi'!W49/'Incurred 2.5% cpi'!W$17*Incurred!W$17*BL49)</f>
        <v/>
      </c>
      <c r="X49" s="102" t="str">
        <f>IF(ISTEXT('Incurred 2.5% cpi'!X49),"",'Incurred 2.5% cpi'!X49/'Incurred 2.5% cpi'!X$17*Incurred!X$17*BM49)</f>
        <v/>
      </c>
      <c r="Y49" s="80">
        <f t="shared" si="51"/>
        <v>3697057.0637170221</v>
      </c>
      <c r="Z49" s="80">
        <f t="shared" si="81"/>
        <v>3697057.0637170221</v>
      </c>
      <c r="AA49" s="566">
        <f t="shared" si="82"/>
        <v>4487142.6618958814</v>
      </c>
      <c r="AB49" s="566">
        <f t="shared" si="83"/>
        <v>3965980.2808322567</v>
      </c>
      <c r="AC49" s="567">
        <f t="shared" si="84"/>
        <v>1.1314082128906247</v>
      </c>
      <c r="AD49" s="568" t="str">
        <f t="shared" si="85"/>
        <v>2018</v>
      </c>
      <c r="AE49" s="569">
        <v>42814</v>
      </c>
      <c r="AF49" s="568" t="s">
        <v>3152</v>
      </c>
      <c r="AG49" s="569"/>
      <c r="AH49" s="566">
        <f>IF(ROUND(Y49,0)=0,0,SUMPRODUCT($F$19:$W$19,F49:W49))</f>
        <v>3965980.2808322562</v>
      </c>
      <c r="AI49" s="80">
        <f t="shared" si="86"/>
        <v>358.84371702232363</v>
      </c>
      <c r="AJ49" s="571" t="s">
        <v>0</v>
      </c>
      <c r="AK49" s="875">
        <f t="shared" si="87"/>
        <v>0</v>
      </c>
      <c r="AL49" s="28">
        <f t="shared" si="78"/>
        <v>0</v>
      </c>
      <c r="AM49" s="28">
        <f t="shared" si="78"/>
        <v>0</v>
      </c>
      <c r="AN49" s="28">
        <f t="shared" si="78"/>
        <v>0</v>
      </c>
      <c r="AO49" s="28">
        <f t="shared" si="78"/>
        <v>1</v>
      </c>
      <c r="AP49" s="28">
        <f t="shared" si="78"/>
        <v>0</v>
      </c>
      <c r="AQ49" s="28">
        <f t="shared" si="78"/>
        <v>0</v>
      </c>
      <c r="AR49" s="28">
        <f t="shared" si="78"/>
        <v>0</v>
      </c>
      <c r="AS49" s="28">
        <f t="shared" si="78"/>
        <v>0</v>
      </c>
      <c r="AT49" s="28">
        <f t="shared" si="78"/>
        <v>0</v>
      </c>
      <c r="AU49" s="28">
        <f t="shared" si="78"/>
        <v>0</v>
      </c>
      <c r="AV49" s="28">
        <f t="shared" si="79"/>
        <v>0</v>
      </c>
      <c r="AW49" s="28">
        <f t="shared" si="79"/>
        <v>0</v>
      </c>
      <c r="AX49" s="28">
        <f t="shared" si="79"/>
        <v>0</v>
      </c>
      <c r="AY49" s="28">
        <f t="shared" si="79"/>
        <v>0</v>
      </c>
      <c r="AZ49" s="28">
        <f t="shared" si="79"/>
        <v>0</v>
      </c>
      <c r="BA49" s="28">
        <f t="shared" si="79"/>
        <v>0</v>
      </c>
      <c r="BB49" s="28">
        <f t="shared" si="79"/>
        <v>0</v>
      </c>
      <c r="BC49" s="28">
        <f t="shared" si="79"/>
        <v>0</v>
      </c>
      <c r="BD49" s="28">
        <f t="shared" si="79"/>
        <v>0</v>
      </c>
      <c r="BE49" s="28">
        <f t="shared" si="79"/>
        <v>0</v>
      </c>
      <c r="BF49" s="27">
        <f t="shared" si="80"/>
        <v>1</v>
      </c>
      <c r="BG49" s="520">
        <f t="shared" si="43"/>
        <v>1.0034498951996242</v>
      </c>
      <c r="BH49" s="520">
        <f t="shared" si="88"/>
        <v>1.0065926315443261</v>
      </c>
      <c r="BI49" s="520">
        <f t="shared" si="89"/>
        <v>1.0099939207178206</v>
      </c>
      <c r="BJ49" s="520">
        <f t="shared" si="90"/>
        <v>1.0139228081132494</v>
      </c>
      <c r="BK49" s="520">
        <f t="shared" si="91"/>
        <v>1.0196467222390713</v>
      </c>
      <c r="BL49" s="520">
        <f t="shared" si="92"/>
        <v>1.0260851094706045</v>
      </c>
      <c r="BM49" s="520">
        <f t="shared" si="93"/>
        <v>1.0303954349252136</v>
      </c>
      <c r="BN49" s="521" t="str">
        <f t="shared" si="94"/>
        <v>Category</v>
      </c>
      <c r="BP49" s="3">
        <f>SUMPRODUCT(F49:P49,$F$19:$P$19)/$Q$19</f>
        <v>3152225.6630392531</v>
      </c>
      <c r="BQ49" s="3"/>
    </row>
    <row r="50" spans="1:69" hidden="1" x14ac:dyDescent="0.15">
      <c r="A50" s="12" t="s">
        <v>95</v>
      </c>
      <c r="B50" s="13" t="s">
        <v>96</v>
      </c>
      <c r="C50" s="13" t="s">
        <v>27</v>
      </c>
      <c r="D50" s="13" t="s">
        <v>55</v>
      </c>
      <c r="E50" s="13" t="s">
        <v>32</v>
      </c>
      <c r="F50" s="14">
        <v>0</v>
      </c>
      <c r="G50" s="14">
        <v>0</v>
      </c>
      <c r="H50" s="14">
        <v>0</v>
      </c>
      <c r="I50" s="14">
        <v>0</v>
      </c>
      <c r="J50" s="14">
        <v>7039.44</v>
      </c>
      <c r="K50" s="14">
        <v>10890.38</v>
      </c>
      <c r="L50" s="14">
        <v>223367.44</v>
      </c>
      <c r="M50" s="15">
        <v>1308235.0900000001</v>
      </c>
      <c r="N50" s="670">
        <v>493502.02</v>
      </c>
      <c r="O50" s="14">
        <v>45049.86</v>
      </c>
      <c r="P50" s="15"/>
      <c r="Q50" s="15" t="str">
        <f>IF(ISTEXT('Incurred 2.5% cpi'!Q50),"",'Incurred 2.5% cpi'!Q50/'Incurred 2.5% cpi'!Q$17*Incurred!Q$17)</f>
        <v/>
      </c>
      <c r="R50" s="110" t="str">
        <f>IF(ISTEXT('Incurred 2.5% cpi'!R50),"",'Incurred 2.5% cpi'!R50/'Incurred 2.5% cpi'!R$17*Incurred!R$17*BG50)</f>
        <v/>
      </c>
      <c r="S50" s="102" t="str">
        <f>IF(ISTEXT('Incurred 2.5% cpi'!S50),"",'Incurred 2.5% cpi'!S50/'Incurred 2.5% cpi'!S$17*Incurred!S$17*BH50)</f>
        <v/>
      </c>
      <c r="T50" s="16" t="str">
        <f>IF(ISTEXT('Incurred 2.5% cpi'!T50),"",'Incurred 2.5% cpi'!T50/'Incurred 2.5% cpi'!T$17*Incurred!T$17*BI50)</f>
        <v/>
      </c>
      <c r="U50" s="16" t="str">
        <f>IF(ISTEXT('Incurred 2.5% cpi'!U50),"",'Incurred 2.5% cpi'!U50/'Incurred 2.5% cpi'!U$17*Incurred!U$17*BJ50)</f>
        <v/>
      </c>
      <c r="V50" s="16" t="str">
        <f>IF(ISTEXT('Incurred 2.5% cpi'!V50),"",'Incurred 2.5% cpi'!V50/'Incurred 2.5% cpi'!V$17*Incurred!V$17*BK50)</f>
        <v/>
      </c>
      <c r="W50" s="110" t="str">
        <f>IF(ISTEXT('Incurred 2.5% cpi'!W50),"",'Incurred 2.5% cpi'!W50/'Incurred 2.5% cpi'!W$17*Incurred!W$17*BL50)</f>
        <v/>
      </c>
      <c r="X50" s="102" t="str">
        <f>IF(ISTEXT('Incurred 2.5% cpi'!X50),"",'Incurred 2.5% cpi'!X50/'Incurred 2.5% cpi'!X$17*Incurred!X$17*BM50)</f>
        <v/>
      </c>
      <c r="Y50" s="80">
        <f t="shared" ref="Y50" si="95">SUM(F50:W50)</f>
        <v>2088084.2300000002</v>
      </c>
      <c r="Z50" s="80">
        <f t="shared" ref="Z50" si="96">-SUMIFS(F50:W50,F50:W50,"&lt;0")+SUMIFS(F50:W50,F50:W50,"&gt;0")</f>
        <v>2088084.2300000002</v>
      </c>
      <c r="AA50" s="566">
        <f t="shared" ref="AA50" si="97">IF(ROUND(Y50,0)=0,0,SUMPRODUCT($F$20:$W$20,F50:W50))</f>
        <v>2601413.9629784361</v>
      </c>
      <c r="AB50" s="566">
        <f t="shared" ref="AB50" si="98">IF(AC50="","",AA50/AC50)</f>
        <v>2243191.1073422018</v>
      </c>
      <c r="AC50" s="567">
        <f t="shared" ref="AC50" si="99">IF(AF50="","",IF(AF50&lt;AD50,INDEX($F$20:$W$20,1,MATCH(TEXT(AF50,"000"),$F$24:$W$24)),INDEX($F$20:$W$20,1,MATCH(AD50,$F$24:$W$24))))</f>
        <v>1.1596934182128902</v>
      </c>
      <c r="AD50" s="568" t="str">
        <f t="shared" ref="AD50" si="100">IF(AI50=0,"",INDEX($F$24:$W$24,1,MATCH(AI50,F50:W50,0)))</f>
        <v>2015</v>
      </c>
      <c r="AE50" s="569">
        <v>41498</v>
      </c>
      <c r="AF50" s="568">
        <v>2017</v>
      </c>
      <c r="AG50" s="569"/>
      <c r="AH50" s="566">
        <f>IF(ROUND(Y50,0)=0,0,SUMPRODUCT($F$19:$W$19,F50:W50))</f>
        <v>2299270.8850257564</v>
      </c>
      <c r="AI50" s="80">
        <f t="shared" ref="AI50" si="101">IF(ROUND(Z50,0)=0,0,LOOKUP(2,1/(F50:W50&lt;&gt;""),F50:W50))</f>
        <v>45049.86</v>
      </c>
      <c r="AJ50" s="571"/>
      <c r="AK50" s="875">
        <f t="shared" si="87"/>
        <v>0</v>
      </c>
      <c r="AL50" s="28">
        <f t="shared" si="78"/>
        <v>0</v>
      </c>
      <c r="AM50" s="28">
        <f t="shared" si="78"/>
        <v>0</v>
      </c>
      <c r="AN50" s="28">
        <f t="shared" si="78"/>
        <v>0</v>
      </c>
      <c r="AO50" s="28">
        <f t="shared" si="78"/>
        <v>1</v>
      </c>
      <c r="AP50" s="28">
        <f t="shared" si="78"/>
        <v>0</v>
      </c>
      <c r="AQ50" s="28">
        <f t="shared" si="78"/>
        <v>0</v>
      </c>
      <c r="AR50" s="28">
        <f t="shared" si="78"/>
        <v>0</v>
      </c>
      <c r="AS50" s="28">
        <f t="shared" si="78"/>
        <v>0</v>
      </c>
      <c r="AT50" s="28">
        <f t="shared" si="78"/>
        <v>0</v>
      </c>
      <c r="AU50" s="28">
        <f t="shared" si="78"/>
        <v>0</v>
      </c>
      <c r="AV50" s="28">
        <f t="shared" si="79"/>
        <v>0</v>
      </c>
      <c r="AW50" s="28">
        <f t="shared" si="79"/>
        <v>0</v>
      </c>
      <c r="AX50" s="28">
        <f t="shared" si="79"/>
        <v>0</v>
      </c>
      <c r="AY50" s="28">
        <f t="shared" si="79"/>
        <v>0</v>
      </c>
      <c r="AZ50" s="28">
        <f t="shared" si="79"/>
        <v>0</v>
      </c>
      <c r="BA50" s="28">
        <f t="shared" si="79"/>
        <v>0</v>
      </c>
      <c r="BB50" s="28">
        <f t="shared" si="79"/>
        <v>0</v>
      </c>
      <c r="BC50" s="28">
        <f t="shared" si="79"/>
        <v>0</v>
      </c>
      <c r="BD50" s="28">
        <f t="shared" si="79"/>
        <v>0</v>
      </c>
      <c r="BE50" s="28">
        <f t="shared" si="79"/>
        <v>0</v>
      </c>
      <c r="BF50" s="27">
        <f t="shared" ref="BF50" si="102">SUM(AL50:BD50)</f>
        <v>1</v>
      </c>
      <c r="BG50" s="520">
        <f t="shared" ref="BG50" si="103">1+IF(ISNA(VLOOKUP($A50,ProjLabEsc,7,FALSE)),VLOOKUP(D50,CatLabEsc,4,FALSE),VLOOKUP(A50,ProjLabEsc,7,FALSE))*Labesc18*LabIn</f>
        <v>1.0046190746045656</v>
      </c>
      <c r="BH50" s="520">
        <f t="shared" si="88"/>
        <v>1.0088268933348963</v>
      </c>
      <c r="BI50" s="520">
        <f t="shared" si="89"/>
        <v>1.0133808891912874</v>
      </c>
      <c r="BJ50" s="520">
        <f t="shared" si="90"/>
        <v>1.018641287824382</v>
      </c>
      <c r="BK50" s="520">
        <f t="shared" si="91"/>
        <v>1.0263050529092395</v>
      </c>
      <c r="BL50" s="520">
        <f t="shared" si="92"/>
        <v>1.0349254280901359</v>
      </c>
      <c r="BM50" s="520">
        <f t="shared" si="93"/>
        <v>1.0406965352376705</v>
      </c>
      <c r="BN50" s="521" t="str">
        <f t="shared" si="94"/>
        <v>Category</v>
      </c>
      <c r="BP50" s="3"/>
    </row>
    <row r="51" spans="1:69" hidden="1" x14ac:dyDescent="0.15">
      <c r="A51" s="12" t="s">
        <v>98</v>
      </c>
      <c r="B51" s="13" t="s">
        <v>99</v>
      </c>
      <c r="C51" s="13" t="s">
        <v>27</v>
      </c>
      <c r="D51" s="13" t="s">
        <v>55</v>
      </c>
      <c r="E51" s="13" t="s">
        <v>32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12682.87</v>
      </c>
      <c r="M51" s="15">
        <v>240717.04</v>
      </c>
      <c r="N51" s="670">
        <v>542699.27</v>
      </c>
      <c r="O51" s="14">
        <v>366767.58</v>
      </c>
      <c r="P51" s="15">
        <v>313547.76</v>
      </c>
      <c r="Q51" s="15" t="str">
        <f>IF(ISTEXT('Incurred 2.5% cpi'!Q51),"",'Incurred 2.5% cpi'!Q51/'Incurred 2.5% cpi'!Q$17*Incurred!Q$17)</f>
        <v/>
      </c>
      <c r="R51" s="110" t="str">
        <f>IF(ISTEXT('Incurred 2.5% cpi'!R51),"",'Incurred 2.5% cpi'!R51/'Incurred 2.5% cpi'!R$17*Incurred!R$17*BG51)</f>
        <v/>
      </c>
      <c r="S51" s="102" t="str">
        <f>IF(ISTEXT('Incurred 2.5% cpi'!S51),"",'Incurred 2.5% cpi'!S51/'Incurred 2.5% cpi'!S$17*Incurred!S$17*BH51)</f>
        <v/>
      </c>
      <c r="T51" s="16" t="str">
        <f>IF(ISTEXT('Incurred 2.5% cpi'!T51),"",'Incurred 2.5% cpi'!T51/'Incurred 2.5% cpi'!T$17*Incurred!T$17*BI51)</f>
        <v/>
      </c>
      <c r="U51" s="16" t="str">
        <f>IF(ISTEXT('Incurred 2.5% cpi'!U51),"",'Incurred 2.5% cpi'!U51/'Incurred 2.5% cpi'!U$17*Incurred!U$17*BJ51)</f>
        <v/>
      </c>
      <c r="V51" s="16" t="str">
        <f>IF(ISTEXT('Incurred 2.5% cpi'!V51),"",'Incurred 2.5% cpi'!V51/'Incurred 2.5% cpi'!V$17*Incurred!V$17*BK51)</f>
        <v/>
      </c>
      <c r="W51" s="110" t="str">
        <f>IF(ISTEXT('Incurred 2.5% cpi'!W51),"",'Incurred 2.5% cpi'!W51/'Incurred 2.5% cpi'!W$17*Incurred!W$17*BL51)</f>
        <v/>
      </c>
      <c r="X51" s="102" t="str">
        <f>IF(ISTEXT('Incurred 2.5% cpi'!X51),"",'Incurred 2.5% cpi'!X51/'Incurred 2.5% cpi'!X$17*Incurred!X$17*BM51)</f>
        <v/>
      </c>
      <c r="Y51" s="80">
        <f t="shared" si="51"/>
        <v>1476414.52</v>
      </c>
      <c r="Z51" s="80">
        <f t="shared" si="81"/>
        <v>1476414.52</v>
      </c>
      <c r="AA51" s="566">
        <f t="shared" si="82"/>
        <v>1788748.7217932849</v>
      </c>
      <c r="AB51" s="566">
        <f t="shared" si="83"/>
        <v>1510327.4886608655</v>
      </c>
      <c r="AC51" s="567">
        <f t="shared" si="84"/>
        <v>1.1843449418902401</v>
      </c>
      <c r="AD51" s="568" t="str">
        <f t="shared" si="85"/>
        <v>2016</v>
      </c>
      <c r="AE51" s="569">
        <v>42262</v>
      </c>
      <c r="AF51" s="568">
        <v>2016</v>
      </c>
      <c r="AG51" s="569"/>
      <c r="AH51" s="566">
        <f t="shared" ref="AH51:AH54" si="104">IF(ROUND(Y51,0)=0,0,SUMPRODUCT($F$19:$W$19,F51:W51))</f>
        <v>1580993.2272130381</v>
      </c>
      <c r="AI51" s="80">
        <f t="shared" si="86"/>
        <v>313547.76</v>
      </c>
      <c r="AJ51" s="571" t="s">
        <v>0</v>
      </c>
      <c r="AK51" s="875">
        <f t="shared" si="87"/>
        <v>0</v>
      </c>
      <c r="AL51" s="28">
        <f t="shared" ref="AL51:AU54" si="105">IF($AK51=0,VLOOKUP(MID($A51,4,5),ProjectSplits,AL$23,FALSE),IF(ISNA(VLOOKUP($A51,Estimates,AL$22,FALSE)),VLOOKUP(MID($A51,4,5),ProjectSplits,AL$23,FALSE),VLOOKUP($A51,Estimates,AL$22,FALSE)))</f>
        <v>0</v>
      </c>
      <c r="AM51" s="28">
        <f t="shared" si="105"/>
        <v>0</v>
      </c>
      <c r="AN51" s="28">
        <f t="shared" si="105"/>
        <v>0</v>
      </c>
      <c r="AO51" s="28">
        <f t="shared" si="105"/>
        <v>1</v>
      </c>
      <c r="AP51" s="28">
        <f t="shared" si="105"/>
        <v>0</v>
      </c>
      <c r="AQ51" s="28">
        <f t="shared" si="105"/>
        <v>0</v>
      </c>
      <c r="AR51" s="28">
        <f t="shared" si="105"/>
        <v>0</v>
      </c>
      <c r="AS51" s="28">
        <f t="shared" si="105"/>
        <v>0</v>
      </c>
      <c r="AT51" s="28">
        <f t="shared" si="105"/>
        <v>0</v>
      </c>
      <c r="AU51" s="28">
        <f t="shared" si="105"/>
        <v>0</v>
      </c>
      <c r="AV51" s="28">
        <f t="shared" ref="AV51:BE54" si="106">IF($AK51=0,VLOOKUP(MID($A51,4,5),ProjectSplits,AV$23,FALSE),IF(ISNA(VLOOKUP($A51,Estimates,AV$22,FALSE)),VLOOKUP(MID($A51,4,5),ProjectSplits,AV$23,FALSE),VLOOKUP($A51,Estimates,AV$22,FALSE)))</f>
        <v>0</v>
      </c>
      <c r="AW51" s="28">
        <f t="shared" si="106"/>
        <v>0</v>
      </c>
      <c r="AX51" s="28">
        <f t="shared" si="106"/>
        <v>0</v>
      </c>
      <c r="AY51" s="28">
        <f t="shared" si="106"/>
        <v>0</v>
      </c>
      <c r="AZ51" s="28">
        <f t="shared" si="106"/>
        <v>0</v>
      </c>
      <c r="BA51" s="28">
        <f t="shared" si="106"/>
        <v>0</v>
      </c>
      <c r="BB51" s="28">
        <f t="shared" si="106"/>
        <v>0</v>
      </c>
      <c r="BC51" s="28">
        <f t="shared" si="106"/>
        <v>0</v>
      </c>
      <c r="BD51" s="28">
        <f t="shared" si="106"/>
        <v>0</v>
      </c>
      <c r="BE51" s="28">
        <f t="shared" si="106"/>
        <v>0</v>
      </c>
      <c r="BF51" s="27">
        <f t="shared" ref="BF51:BF54" si="107">SUM(AL51:BD51)</f>
        <v>1</v>
      </c>
      <c r="BG51" s="520">
        <f t="shared" si="43"/>
        <v>1.0046190746045656</v>
      </c>
      <c r="BH51" s="520">
        <f t="shared" si="88"/>
        <v>1.0088268933348963</v>
      </c>
      <c r="BI51" s="520">
        <f t="shared" si="89"/>
        <v>1.0133808891912874</v>
      </c>
      <c r="BJ51" s="520">
        <f t="shared" si="90"/>
        <v>1.018641287824382</v>
      </c>
      <c r="BK51" s="520">
        <f t="shared" si="91"/>
        <v>1.0263050529092395</v>
      </c>
      <c r="BL51" s="520">
        <f t="shared" si="92"/>
        <v>1.0349254280901359</v>
      </c>
      <c r="BM51" s="520">
        <f t="shared" si="93"/>
        <v>1.0406965352376705</v>
      </c>
      <c r="BN51" s="521" t="str">
        <f t="shared" si="94"/>
        <v>Category</v>
      </c>
      <c r="BP51" s="3"/>
    </row>
    <row r="52" spans="1:69" hidden="1" x14ac:dyDescent="0.15">
      <c r="A52" s="12" t="s">
        <v>100</v>
      </c>
      <c r="B52" s="13" t="s">
        <v>101</v>
      </c>
      <c r="C52" s="13" t="s">
        <v>27</v>
      </c>
      <c r="D52" s="13" t="s">
        <v>54</v>
      </c>
      <c r="E52" s="13" t="s">
        <v>30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35526.65</v>
      </c>
      <c r="L52" s="14">
        <v>197493.65</v>
      </c>
      <c r="M52" s="15">
        <v>331133.13</v>
      </c>
      <c r="N52" s="670">
        <v>501644.35</v>
      </c>
      <c r="O52" s="14">
        <v>142192.95000000001</v>
      </c>
      <c r="P52" s="15">
        <v>30379.49</v>
      </c>
      <c r="Q52" s="15">
        <f>IF(ISTEXT('Incurred 2.5% cpi'!Q52),"",'Incurred 2.5% cpi'!Q52/'Incurred 2.5% cpi'!Q$17*Incurred!Q$17)</f>
        <v>-1238370.22</v>
      </c>
      <c r="R52" s="110" t="str">
        <f>IF(ISTEXT('Incurred 2.5% cpi'!R52),"",'Incurred 2.5% cpi'!R52/'Incurred 2.5% cpi'!R$17*Incurred!R$17*BG52)</f>
        <v/>
      </c>
      <c r="S52" s="102" t="str">
        <f>IF(ISTEXT('Incurred 2.5% cpi'!S52),"",'Incurred 2.5% cpi'!S52/'Incurred 2.5% cpi'!S$17*Incurred!S$17*BH52)</f>
        <v/>
      </c>
      <c r="T52" s="16" t="str">
        <f>IF(ISTEXT('Incurred 2.5% cpi'!T52),"",'Incurred 2.5% cpi'!T52/'Incurred 2.5% cpi'!T$17*Incurred!T$17*BI52)</f>
        <v/>
      </c>
      <c r="U52" s="16" t="str">
        <f>IF(ISTEXT('Incurred 2.5% cpi'!U52),"",'Incurred 2.5% cpi'!U52/'Incurred 2.5% cpi'!U$17*Incurred!U$17*BJ52)</f>
        <v/>
      </c>
      <c r="V52" s="16" t="str">
        <f>IF(ISTEXT('Incurred 2.5% cpi'!V52),"",'Incurred 2.5% cpi'!V52/'Incurred 2.5% cpi'!V$17*Incurred!V$17*BK52)</f>
        <v/>
      </c>
      <c r="W52" s="110" t="str">
        <f>IF(ISTEXT('Incurred 2.5% cpi'!W52),"",'Incurred 2.5% cpi'!W52/'Incurred 2.5% cpi'!W$17*Incurred!W$17*BL52)</f>
        <v/>
      </c>
      <c r="X52" s="102" t="str">
        <f>IF(ISTEXT('Incurred 2.5% cpi'!X52),"",'Incurred 2.5% cpi'!X52/'Incurred 2.5% cpi'!X$17*Incurred!X$17*BM52)</f>
        <v/>
      </c>
      <c r="Y52" s="80">
        <f t="shared" si="51"/>
        <v>0</v>
      </c>
      <c r="Z52" s="80">
        <f t="shared" si="81"/>
        <v>2476740.4399999995</v>
      </c>
      <c r="AA52" s="572">
        <f>IF(ROUND(Y52,0)=0,0,SUMPRODUCT($F$20:$W$20,F52:W52))*0</f>
        <v>0</v>
      </c>
      <c r="AB52" s="566" t="str">
        <f t="shared" si="83"/>
        <v/>
      </c>
      <c r="AC52" s="567" t="str">
        <f t="shared" si="84"/>
        <v/>
      </c>
      <c r="AD52" s="568" t="str">
        <f t="shared" si="85"/>
        <v>2017</v>
      </c>
      <c r="AE52" s="569" t="s">
        <v>0</v>
      </c>
      <c r="AF52" s="568" t="s">
        <v>0</v>
      </c>
      <c r="AG52" s="569"/>
      <c r="AH52" s="572">
        <f>IF(ROUND(Y52,0)=0,0,SUMPRODUCT($F$19:$W$19,F52:W52))*0</f>
        <v>0</v>
      </c>
      <c r="AI52" s="80">
        <f t="shared" si="86"/>
        <v>-1238370.22</v>
      </c>
      <c r="AJ52" s="571" t="s">
        <v>0</v>
      </c>
      <c r="AK52" s="875">
        <f t="shared" si="87"/>
        <v>0</v>
      </c>
      <c r="AL52" s="28">
        <f t="shared" si="105"/>
        <v>0</v>
      </c>
      <c r="AM52" s="28">
        <f t="shared" si="105"/>
        <v>0</v>
      </c>
      <c r="AN52" s="28">
        <f t="shared" si="105"/>
        <v>0</v>
      </c>
      <c r="AO52" s="28">
        <f t="shared" si="105"/>
        <v>1</v>
      </c>
      <c r="AP52" s="28">
        <f t="shared" si="105"/>
        <v>0</v>
      </c>
      <c r="AQ52" s="28">
        <f t="shared" si="105"/>
        <v>0</v>
      </c>
      <c r="AR52" s="28">
        <f t="shared" si="105"/>
        <v>0</v>
      </c>
      <c r="AS52" s="28">
        <f t="shared" si="105"/>
        <v>0</v>
      </c>
      <c r="AT52" s="28">
        <f t="shared" si="105"/>
        <v>0</v>
      </c>
      <c r="AU52" s="28">
        <f t="shared" si="105"/>
        <v>0</v>
      </c>
      <c r="AV52" s="28">
        <f t="shared" si="106"/>
        <v>0</v>
      </c>
      <c r="AW52" s="28">
        <f t="shared" si="106"/>
        <v>0</v>
      </c>
      <c r="AX52" s="28">
        <f t="shared" si="106"/>
        <v>0</v>
      </c>
      <c r="AY52" s="28">
        <f t="shared" si="106"/>
        <v>0</v>
      </c>
      <c r="AZ52" s="28">
        <f t="shared" si="106"/>
        <v>0</v>
      </c>
      <c r="BA52" s="28">
        <f t="shared" si="106"/>
        <v>0</v>
      </c>
      <c r="BB52" s="28">
        <f t="shared" si="106"/>
        <v>0</v>
      </c>
      <c r="BC52" s="28">
        <f t="shared" si="106"/>
        <v>0</v>
      </c>
      <c r="BD52" s="28">
        <f t="shared" si="106"/>
        <v>0</v>
      </c>
      <c r="BE52" s="28">
        <f t="shared" si="106"/>
        <v>0</v>
      </c>
      <c r="BF52" s="27">
        <f t="shared" si="107"/>
        <v>1</v>
      </c>
      <c r="BG52" s="520">
        <f t="shared" si="43"/>
        <v>1.0030818160192299</v>
      </c>
      <c r="BH52" s="520">
        <f t="shared" si="88"/>
        <v>1.0058892448397847</v>
      </c>
      <c r="BI52" s="520">
        <f t="shared" si="89"/>
        <v>1.0089276407487533</v>
      </c>
      <c r="BJ52" s="520">
        <f t="shared" si="90"/>
        <v>1.0124373439172154</v>
      </c>
      <c r="BK52" s="520">
        <f t="shared" si="91"/>
        <v>1.0175505572831101</v>
      </c>
      <c r="BL52" s="520">
        <f t="shared" si="92"/>
        <v>1.023302014576742</v>
      </c>
      <c r="BM52" s="520">
        <f t="shared" si="93"/>
        <v>1.0271524590875074</v>
      </c>
      <c r="BN52" s="521" t="str">
        <f t="shared" si="94"/>
        <v>Category</v>
      </c>
      <c r="BP52" s="3"/>
    </row>
    <row r="53" spans="1:69" hidden="1" x14ac:dyDescent="0.15">
      <c r="A53" s="12" t="s">
        <v>102</v>
      </c>
      <c r="B53" s="13" t="s">
        <v>103</v>
      </c>
      <c r="C53" s="13" t="s">
        <v>27</v>
      </c>
      <c r="D53" s="13" t="s">
        <v>28</v>
      </c>
      <c r="E53" s="13" t="s">
        <v>32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2774905.31</v>
      </c>
      <c r="L53" s="14">
        <v>380743.78</v>
      </c>
      <c r="M53" s="15">
        <v>172163.75</v>
      </c>
      <c r="N53" s="670">
        <v>-633552.68999999994</v>
      </c>
      <c r="O53" s="14">
        <v>50000</v>
      </c>
      <c r="P53" s="15">
        <v>-2260000</v>
      </c>
      <c r="Q53" s="15">
        <f>IF(ISTEXT('Incurred 2.5% cpi'!Q53),"",'Incurred 2.5% cpi'!Q53/'Incurred 2.5% cpi'!Q$17*Incurred!Q$17)</f>
        <v>-370000</v>
      </c>
      <c r="R53" s="110" t="str">
        <f>IF(ISTEXT('Incurred 2.5% cpi'!R53),"",'Incurred 2.5% cpi'!R53/'Incurred 2.5% cpi'!R$17*Incurred!R$17*BG53)</f>
        <v/>
      </c>
      <c r="S53" s="102" t="str">
        <f>IF(ISTEXT('Incurred 2.5% cpi'!S53),"",'Incurred 2.5% cpi'!S53/'Incurred 2.5% cpi'!S$17*Incurred!S$17*BH53)</f>
        <v/>
      </c>
      <c r="T53" s="16" t="str">
        <f>IF(ISTEXT('Incurred 2.5% cpi'!T53),"",'Incurred 2.5% cpi'!T53/'Incurred 2.5% cpi'!T$17*Incurred!T$17*BI53)</f>
        <v/>
      </c>
      <c r="U53" s="16" t="str">
        <f>IF(ISTEXT('Incurred 2.5% cpi'!U53),"",'Incurred 2.5% cpi'!U53/'Incurred 2.5% cpi'!U$17*Incurred!U$17*BJ53)</f>
        <v/>
      </c>
      <c r="V53" s="16" t="str">
        <f>IF(ISTEXT('Incurred 2.5% cpi'!V53),"",'Incurred 2.5% cpi'!V53/'Incurred 2.5% cpi'!V$17*Incurred!V$17*BK53)</f>
        <v/>
      </c>
      <c r="W53" s="110" t="str">
        <f>IF(ISTEXT('Incurred 2.5% cpi'!W53),"",'Incurred 2.5% cpi'!W53/'Incurred 2.5% cpi'!W$17*Incurred!W$17*BL53)</f>
        <v/>
      </c>
      <c r="X53" s="102" t="str">
        <f>IF(ISTEXT('Incurred 2.5% cpi'!X53),"",'Incurred 2.5% cpi'!X53/'Incurred 2.5% cpi'!X$17*Incurred!X$17*BM53)</f>
        <v/>
      </c>
      <c r="Y53" s="80">
        <f t="shared" si="51"/>
        <v>114260.14999999991</v>
      </c>
      <c r="Z53" s="80">
        <f t="shared" si="81"/>
        <v>6641365.5299999993</v>
      </c>
      <c r="AA53" s="566">
        <f t="shared" si="82"/>
        <v>505286.20568987791</v>
      </c>
      <c r="AB53" s="566">
        <f t="shared" si="83"/>
        <v>446599.37936894299</v>
      </c>
      <c r="AC53" s="567">
        <f t="shared" si="84"/>
        <v>1.1314082128906247</v>
      </c>
      <c r="AD53" s="568" t="str">
        <f t="shared" si="85"/>
        <v>2017</v>
      </c>
      <c r="AE53" s="569">
        <v>41423</v>
      </c>
      <c r="AF53" s="568">
        <v>2018</v>
      </c>
      <c r="AG53" s="569"/>
      <c r="AH53" s="566">
        <f t="shared" si="104"/>
        <v>446599.37936894275</v>
      </c>
      <c r="AI53" s="80">
        <f t="shared" si="86"/>
        <v>-370000</v>
      </c>
      <c r="AJ53" s="571" t="s">
        <v>0</v>
      </c>
      <c r="AK53" s="875">
        <f t="shared" si="87"/>
        <v>0</v>
      </c>
      <c r="AL53" s="28">
        <f t="shared" si="105"/>
        <v>2.2136929460580913E-2</v>
      </c>
      <c r="AM53" s="28">
        <f t="shared" si="105"/>
        <v>5.3813816325222377E-2</v>
      </c>
      <c r="AN53" s="28">
        <f t="shared" si="105"/>
        <v>0.11134319172125574</v>
      </c>
      <c r="AO53" s="28">
        <f t="shared" si="105"/>
        <v>9.0968890737851332E-2</v>
      </c>
      <c r="AP53" s="28">
        <f t="shared" si="105"/>
        <v>7.4541536858258553E-2</v>
      </c>
      <c r="AQ53" s="28">
        <f t="shared" si="105"/>
        <v>1.1751232220950061E-2</v>
      </c>
      <c r="AR53" s="28">
        <f t="shared" si="105"/>
        <v>0</v>
      </c>
      <c r="AS53" s="28">
        <f t="shared" si="105"/>
        <v>6.8464730290456431E-4</v>
      </c>
      <c r="AT53" s="28">
        <f t="shared" si="105"/>
        <v>0</v>
      </c>
      <c r="AU53" s="28">
        <f t="shared" si="105"/>
        <v>0.17341498239445721</v>
      </c>
      <c r="AV53" s="28">
        <f t="shared" si="106"/>
        <v>1.7950403456968127E-2</v>
      </c>
      <c r="AW53" s="28">
        <f t="shared" si="106"/>
        <v>6.5339859349486357E-2</v>
      </c>
      <c r="AX53" s="28">
        <f t="shared" si="106"/>
        <v>5.6745630269864544E-3</v>
      </c>
      <c r="AY53" s="28">
        <f t="shared" si="106"/>
        <v>0</v>
      </c>
      <c r="AZ53" s="28">
        <f t="shared" si="106"/>
        <v>0.18794046685627466</v>
      </c>
      <c r="BA53" s="28">
        <f t="shared" si="106"/>
        <v>4.4902024194389448E-2</v>
      </c>
      <c r="BB53" s="28">
        <f t="shared" si="106"/>
        <v>1.1915879815256323E-2</v>
      </c>
      <c r="BC53" s="28">
        <f t="shared" si="106"/>
        <v>0</v>
      </c>
      <c r="BD53" s="28">
        <f t="shared" si="106"/>
        <v>0.12762157627915785</v>
      </c>
      <c r="BE53" s="28">
        <f t="shared" si="106"/>
        <v>0</v>
      </c>
      <c r="BF53" s="27">
        <f t="shared" si="107"/>
        <v>0.99999999999999989</v>
      </c>
      <c r="BG53" s="520">
        <f t="shared" si="43"/>
        <v>1.0030444840366091</v>
      </c>
      <c r="BH53" s="520">
        <f t="shared" si="88"/>
        <v>1.0058179046998681</v>
      </c>
      <c r="BI53" s="520">
        <f t="shared" si="89"/>
        <v>1.0088194946014175</v>
      </c>
      <c r="BJ53" s="520">
        <f t="shared" si="90"/>
        <v>1.0122866825201464</v>
      </c>
      <c r="BK53" s="520">
        <f t="shared" si="91"/>
        <v>1.0173379563051834</v>
      </c>
      <c r="BL53" s="520">
        <f t="shared" si="92"/>
        <v>1.023019742566414</v>
      </c>
      <c r="BM53" s="520">
        <f t="shared" si="93"/>
        <v>1.026823544212498</v>
      </c>
      <c r="BN53" s="521" t="str">
        <f t="shared" si="94"/>
        <v>Category</v>
      </c>
      <c r="BP53" s="3"/>
    </row>
    <row r="54" spans="1:69" hidden="1" x14ac:dyDescent="0.15">
      <c r="A54" s="12" t="s">
        <v>104</v>
      </c>
      <c r="B54" s="13" t="s">
        <v>105</v>
      </c>
      <c r="C54" s="13" t="s">
        <v>27</v>
      </c>
      <c r="D54" s="13" t="s">
        <v>54</v>
      </c>
      <c r="E54" s="13" t="s">
        <v>29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54051.360000000001</v>
      </c>
      <c r="M54" s="15">
        <v>71052.52</v>
      </c>
      <c r="N54" s="670">
        <v>18775.68</v>
      </c>
      <c r="O54" s="14">
        <v>45776.79</v>
      </c>
      <c r="P54" s="15">
        <v>108256.04</v>
      </c>
      <c r="Q54" s="15">
        <f>IF(ISTEXT('Incurred 2.5% cpi'!Q54),"",'Incurred 2.5% cpi'!Q54/'Incurred 2.5% cpi'!Q$17*Incurred!Q$17)</f>
        <v>305955.33</v>
      </c>
      <c r="R54" s="110">
        <f>IF(ISTEXT('Incurred 2.5% cpi'!R54),"",'Incurred 2.5% cpi'!R54/'Incurred 2.5% cpi'!R$17*Incurred!R$17*BG54)</f>
        <v>1120649.3744262154</v>
      </c>
      <c r="S54" s="102" t="str">
        <f>IF(ISTEXT('Incurred 2.5% cpi'!S54),"",'Incurred 2.5% cpi'!S54/'Incurred 2.5% cpi'!S$17*Incurred!S$17*BH54)</f>
        <v/>
      </c>
      <c r="T54" s="16" t="str">
        <f>IF(ISTEXT('Incurred 2.5% cpi'!T54),"",'Incurred 2.5% cpi'!T54/'Incurred 2.5% cpi'!T$17*Incurred!T$17*BI54)</f>
        <v/>
      </c>
      <c r="U54" s="16" t="str">
        <f>IF(ISTEXT('Incurred 2.5% cpi'!U54),"",'Incurred 2.5% cpi'!U54/'Incurred 2.5% cpi'!U$17*Incurred!U$17*BJ54)</f>
        <v/>
      </c>
      <c r="V54" s="16" t="str">
        <f>IF(ISTEXT('Incurred 2.5% cpi'!V54),"",'Incurred 2.5% cpi'!V54/'Incurred 2.5% cpi'!V$17*Incurred!V$17*BK54)</f>
        <v/>
      </c>
      <c r="W54" s="110" t="str">
        <f>IF(ISTEXT('Incurred 2.5% cpi'!W54),"",'Incurred 2.5% cpi'!W54/'Incurred 2.5% cpi'!W$17*Incurred!W$17*BL54)</f>
        <v/>
      </c>
      <c r="X54" s="102" t="str">
        <f>IF(ISTEXT('Incurred 2.5% cpi'!X54),"",'Incurred 2.5% cpi'!X54/'Incurred 2.5% cpi'!X$17*Incurred!X$17*BM54)</f>
        <v/>
      </c>
      <c r="Y54" s="80">
        <f t="shared" si="51"/>
        <v>1724517.0944262154</v>
      </c>
      <c r="Z54" s="80">
        <f t="shared" si="81"/>
        <v>1724517.0944262154</v>
      </c>
      <c r="AA54" s="566">
        <f t="shared" si="82"/>
        <v>1986943.6931664771</v>
      </c>
      <c r="AB54" s="566">
        <f t="shared" si="83"/>
        <v>1756168.7024438798</v>
      </c>
      <c r="AC54" s="567">
        <f t="shared" si="84"/>
        <v>1.1314082128906247</v>
      </c>
      <c r="AD54" s="568" t="str">
        <f t="shared" si="85"/>
        <v>2018</v>
      </c>
      <c r="AE54" s="569">
        <v>42970</v>
      </c>
      <c r="AF54" s="568">
        <v>2018</v>
      </c>
      <c r="AG54" s="569"/>
      <c r="AH54" s="566">
        <f t="shared" si="104"/>
        <v>1756168.7024438798</v>
      </c>
      <c r="AI54" s="80">
        <f t="shared" si="86"/>
        <v>1120649.3744262154</v>
      </c>
      <c r="AJ54" s="571" t="s">
        <v>0</v>
      </c>
      <c r="AK54" s="875">
        <f t="shared" si="87"/>
        <v>0</v>
      </c>
      <c r="AL54" s="28">
        <f t="shared" si="105"/>
        <v>0</v>
      </c>
      <c r="AM54" s="28">
        <f t="shared" si="105"/>
        <v>0</v>
      </c>
      <c r="AN54" s="28">
        <f t="shared" si="105"/>
        <v>0</v>
      </c>
      <c r="AO54" s="28">
        <f t="shared" si="105"/>
        <v>0</v>
      </c>
      <c r="AP54" s="28">
        <f t="shared" si="105"/>
        <v>0</v>
      </c>
      <c r="AQ54" s="28">
        <f t="shared" si="105"/>
        <v>0</v>
      </c>
      <c r="AR54" s="28">
        <f t="shared" si="105"/>
        <v>0</v>
      </c>
      <c r="AS54" s="28">
        <f t="shared" si="105"/>
        <v>1</v>
      </c>
      <c r="AT54" s="28">
        <f t="shared" si="105"/>
        <v>0</v>
      </c>
      <c r="AU54" s="28">
        <f t="shared" si="105"/>
        <v>0</v>
      </c>
      <c r="AV54" s="28">
        <f t="shared" si="106"/>
        <v>0</v>
      </c>
      <c r="AW54" s="28">
        <f t="shared" si="106"/>
        <v>0</v>
      </c>
      <c r="AX54" s="28">
        <f t="shared" si="106"/>
        <v>0</v>
      </c>
      <c r="AY54" s="28">
        <f t="shared" si="106"/>
        <v>0</v>
      </c>
      <c r="AZ54" s="28">
        <f t="shared" si="106"/>
        <v>0</v>
      </c>
      <c r="BA54" s="28">
        <f t="shared" si="106"/>
        <v>0</v>
      </c>
      <c r="BB54" s="28">
        <f t="shared" si="106"/>
        <v>0</v>
      </c>
      <c r="BC54" s="28">
        <f t="shared" si="106"/>
        <v>0</v>
      </c>
      <c r="BD54" s="28">
        <f t="shared" si="106"/>
        <v>0</v>
      </c>
      <c r="BE54" s="28">
        <f t="shared" si="106"/>
        <v>0</v>
      </c>
      <c r="BF54" s="27">
        <f t="shared" si="107"/>
        <v>1</v>
      </c>
      <c r="BG54" s="520">
        <f t="shared" si="43"/>
        <v>1.0030818160192299</v>
      </c>
      <c r="BH54" s="520">
        <f t="shared" si="88"/>
        <v>1.0058892448397847</v>
      </c>
      <c r="BI54" s="520">
        <f t="shared" si="89"/>
        <v>1.0089276407487533</v>
      </c>
      <c r="BJ54" s="520">
        <f t="shared" si="90"/>
        <v>1.0124373439172154</v>
      </c>
      <c r="BK54" s="520">
        <f t="shared" si="91"/>
        <v>1.0175505572831101</v>
      </c>
      <c r="BL54" s="520">
        <f t="shared" si="92"/>
        <v>1.023302014576742</v>
      </c>
      <c r="BM54" s="520">
        <f t="shared" si="93"/>
        <v>1.0271524590875074</v>
      </c>
      <c r="BN54" s="521" t="str">
        <f t="shared" si="94"/>
        <v>Category</v>
      </c>
      <c r="BP54" s="3"/>
    </row>
    <row r="55" spans="1:69" hidden="1" x14ac:dyDescent="0.15">
      <c r="A55" s="12" t="s">
        <v>110</v>
      </c>
      <c r="B55" s="13" t="s">
        <v>111</v>
      </c>
      <c r="C55" s="13" t="s">
        <v>27</v>
      </c>
      <c r="D55" s="13" t="s">
        <v>40</v>
      </c>
      <c r="E55" s="13" t="s">
        <v>29</v>
      </c>
      <c r="F55" s="14">
        <v>0</v>
      </c>
      <c r="G55" s="14">
        <v>0</v>
      </c>
      <c r="H55" s="14">
        <v>54192</v>
      </c>
      <c r="I55" s="14">
        <v>0</v>
      </c>
      <c r="J55" s="14">
        <v>29678.639999999999</v>
      </c>
      <c r="K55" s="14">
        <v>732303.74</v>
      </c>
      <c r="L55" s="14">
        <v>3901923.03</v>
      </c>
      <c r="M55" s="15">
        <v>19554374.670000002</v>
      </c>
      <c r="N55" s="670">
        <v>14103021.539999999</v>
      </c>
      <c r="O55" s="14">
        <v>8009727.3799999999</v>
      </c>
      <c r="P55" s="15">
        <v>3145956.1</v>
      </c>
      <c r="Q55" s="15">
        <f>IF(ISTEXT('Incurred 2.5% cpi'!Q55),"",'Incurred 2.5% cpi'!Q55/'Incurred 2.5% cpi'!Q$17*Incurred!Q$17)</f>
        <v>179069.77</v>
      </c>
      <c r="R55" s="110">
        <f>IF(ISTEXT('Incurred 2.5% cpi'!R55),"",'Incurred 2.5% cpi'!R55/'Incurred 2.5% cpi'!R$17*Incurred!R$17*BG55)</f>
        <v>8320.5463240015742</v>
      </c>
      <c r="S55" s="102" t="str">
        <f>IF(ISTEXT('Incurred 2.5% cpi'!S55),"",'Incurred 2.5% cpi'!S55/'Incurred 2.5% cpi'!S$17*Incurred!S$17*BH55)</f>
        <v/>
      </c>
      <c r="T55" s="16" t="str">
        <f>IF(ISTEXT('Incurred 2.5% cpi'!T55),"",'Incurred 2.5% cpi'!T55/'Incurred 2.5% cpi'!T$17*Incurred!T$17*BI55)</f>
        <v/>
      </c>
      <c r="U55" s="16" t="str">
        <f>IF(ISTEXT('Incurred 2.5% cpi'!U55),"",'Incurred 2.5% cpi'!U55/'Incurred 2.5% cpi'!U$17*Incurred!U$17*BJ55)</f>
        <v/>
      </c>
      <c r="V55" s="16" t="str">
        <f>IF(ISTEXT('Incurred 2.5% cpi'!V55),"",'Incurred 2.5% cpi'!V55/'Incurred 2.5% cpi'!V$17*Incurred!V$17*BK55)</f>
        <v/>
      </c>
      <c r="W55" s="110" t="str">
        <f>IF(ISTEXT('Incurred 2.5% cpi'!W55),"",'Incurred 2.5% cpi'!W55/'Incurred 2.5% cpi'!W$17*Incurred!W$17*BL55)</f>
        <v/>
      </c>
      <c r="X55" s="102" t="str">
        <f>IF(ISTEXT('Incurred 2.5% cpi'!X55),"",'Incurred 2.5% cpi'!X55/'Incurred 2.5% cpi'!X$17*Incurred!X$17*BM55)</f>
        <v/>
      </c>
      <c r="Y55" s="80">
        <f t="shared" si="51"/>
        <v>49718567.416324012</v>
      </c>
      <c r="Z55" s="80">
        <f t="shared" si="81"/>
        <v>49718567.416324012</v>
      </c>
      <c r="AA55" s="566">
        <f t="shared" si="82"/>
        <v>61247712.70002342</v>
      </c>
      <c r="AB55" s="566">
        <f t="shared" si="83"/>
        <v>54134053.47619158</v>
      </c>
      <c r="AC55" s="567">
        <f t="shared" si="84"/>
        <v>1.1314082128906247</v>
      </c>
      <c r="AD55" s="568" t="str">
        <f t="shared" si="85"/>
        <v>2018</v>
      </c>
      <c r="AE55" s="569">
        <v>42447</v>
      </c>
      <c r="AF55" s="568" t="s">
        <v>3152</v>
      </c>
      <c r="AG55" s="569"/>
      <c r="AH55" s="566">
        <f>IF(ROUND(Y55,0)=0,0,SUMPRODUCT($F$19:$W$19,F55:W55))</f>
        <v>54134053.476191573</v>
      </c>
      <c r="AI55" s="80">
        <f t="shared" si="86"/>
        <v>8320.5463240015742</v>
      </c>
      <c r="AJ55" s="571" t="s">
        <v>0</v>
      </c>
      <c r="AK55" s="875">
        <f t="shared" si="87"/>
        <v>0</v>
      </c>
      <c r="AL55" s="28">
        <f t="shared" ref="AL55:AU55" si="108">IF($AK55=0,VLOOKUP(MID($A55,4,5),ProjectSplits,AL$23,FALSE),IF(ISNA(VLOOKUP($A55,Estimates,AL$22,FALSE)),VLOOKUP(MID($A55,4,5),ProjectSplits,AL$23,FALSE),VLOOKUP($A55,Estimates,AL$22,FALSE)))</f>
        <v>0</v>
      </c>
      <c r="AM55" s="28">
        <f t="shared" si="108"/>
        <v>5.4800011129333456E-2</v>
      </c>
      <c r="AN55" s="28">
        <f t="shared" si="108"/>
        <v>9.1599666254084222E-2</v>
      </c>
      <c r="AO55" s="28">
        <f t="shared" si="108"/>
        <v>0</v>
      </c>
      <c r="AP55" s="28">
        <f t="shared" si="108"/>
        <v>0</v>
      </c>
      <c r="AQ55" s="28">
        <f t="shared" si="108"/>
        <v>0</v>
      </c>
      <c r="AR55" s="28">
        <f t="shared" si="108"/>
        <v>0</v>
      </c>
      <c r="AS55" s="28">
        <f t="shared" si="108"/>
        <v>0</v>
      </c>
      <c r="AT55" s="28">
        <f t="shared" si="108"/>
        <v>0</v>
      </c>
      <c r="AU55" s="28">
        <f t="shared" si="108"/>
        <v>0.10100026560668332</v>
      </c>
      <c r="AV55" s="28">
        <f t="shared" ref="AV55:BE55" si="109">IF($AK55=0,VLOOKUP(MID($A55,4,5),ProjectSplits,AV$23,FALSE),IF(ISNA(VLOOKUP($A55,Estimates,AV$22,FALSE)),VLOOKUP(MID($A55,4,5),ProjectSplits,AV$23,FALSE),VLOOKUP($A55,Estimates,AV$22,FALSE)))</f>
        <v>0</v>
      </c>
      <c r="AW55" s="28">
        <f t="shared" si="109"/>
        <v>0.308800006436241</v>
      </c>
      <c r="AX55" s="28">
        <f t="shared" si="109"/>
        <v>0</v>
      </c>
      <c r="AY55" s="28">
        <f t="shared" si="109"/>
        <v>0</v>
      </c>
      <c r="AZ55" s="28">
        <f t="shared" si="109"/>
        <v>0.44380005057365801</v>
      </c>
      <c r="BA55" s="28">
        <f t="shared" si="109"/>
        <v>0</v>
      </c>
      <c r="BB55" s="28">
        <f t="shared" si="109"/>
        <v>0</v>
      </c>
      <c r="BC55" s="28">
        <f t="shared" si="109"/>
        <v>0</v>
      </c>
      <c r="BD55" s="28">
        <f t="shared" si="109"/>
        <v>0</v>
      </c>
      <c r="BE55" s="28">
        <f t="shared" si="109"/>
        <v>0</v>
      </c>
      <c r="BF55" s="27">
        <f t="shared" ref="BF55" si="110">SUM(AL55:BD55)</f>
        <v>1</v>
      </c>
      <c r="BG55" s="520">
        <f t="shared" si="43"/>
        <v>1.0034498951996242</v>
      </c>
      <c r="BH55" s="520">
        <f t="shared" si="88"/>
        <v>1.0065926315443261</v>
      </c>
      <c r="BI55" s="520">
        <f t="shared" si="89"/>
        <v>1.0099939207178206</v>
      </c>
      <c r="BJ55" s="520">
        <f t="shared" si="90"/>
        <v>1.0139228081132494</v>
      </c>
      <c r="BK55" s="520">
        <f t="shared" si="91"/>
        <v>1.0196467222390713</v>
      </c>
      <c r="BL55" s="520">
        <f t="shared" si="92"/>
        <v>1.0260851094706045</v>
      </c>
      <c r="BM55" s="520">
        <f t="shared" si="93"/>
        <v>1.0303954349252136</v>
      </c>
      <c r="BN55" s="521" t="str">
        <f t="shared" si="94"/>
        <v>Category</v>
      </c>
      <c r="BP55" s="3"/>
    </row>
    <row r="56" spans="1:69" hidden="1" x14ac:dyDescent="0.15">
      <c r="A56" s="511" t="s">
        <v>114</v>
      </c>
      <c r="B56" s="512" t="s">
        <v>115</v>
      </c>
      <c r="C56" s="512" t="s">
        <v>27</v>
      </c>
      <c r="D56" s="512" t="s">
        <v>40</v>
      </c>
      <c r="E56" s="512" t="s">
        <v>29</v>
      </c>
      <c r="F56" s="510">
        <v>0</v>
      </c>
      <c r="G56" s="510">
        <v>0</v>
      </c>
      <c r="H56" s="510">
        <v>0</v>
      </c>
      <c r="I56" s="510">
        <v>0</v>
      </c>
      <c r="J56" s="510">
        <v>0</v>
      </c>
      <c r="K56" s="510">
        <v>0</v>
      </c>
      <c r="L56" s="510">
        <v>406723.76</v>
      </c>
      <c r="M56" s="513">
        <v>1683133.11</v>
      </c>
      <c r="N56" s="671">
        <v>9006445.4700000007</v>
      </c>
      <c r="O56" s="518">
        <v>13834207.35</v>
      </c>
      <c r="P56" s="513">
        <v>31162866.48</v>
      </c>
      <c r="Q56" s="513">
        <f>IF(ISTEXT('Incurred 2.5% cpi'!Q56),"",'Incurred 2.5% cpi'!Q56/'Incurred 2.5% cpi'!Q$17*Incurred!Q$17)</f>
        <v>-3055961.9308056999</v>
      </c>
      <c r="R56" s="514" t="str">
        <f>IF(ISTEXT('Incurred 2.5% cpi'!R56),"",'Incurred 2.5% cpi'!R56/'Incurred 2.5% cpi'!R$17*Incurred!R$17*BG56)</f>
        <v/>
      </c>
      <c r="S56" s="515" t="str">
        <f>IF(ISTEXT('Incurred 2.5% cpi'!S56),"",'Incurred 2.5% cpi'!S56/'Incurred 2.5% cpi'!S$17*Incurred!S$17*BH56)</f>
        <v/>
      </c>
      <c r="T56" s="513" t="str">
        <f>IF(ISTEXT('Incurred 2.5% cpi'!T56),"",'Incurred 2.5% cpi'!T56/'Incurred 2.5% cpi'!T$17*Incurred!T$17*BI56)</f>
        <v/>
      </c>
      <c r="U56" s="513" t="str">
        <f>IF(ISTEXT('Incurred 2.5% cpi'!U56),"",'Incurred 2.5% cpi'!U56/'Incurred 2.5% cpi'!U$17*Incurred!U$17*BJ56)</f>
        <v/>
      </c>
      <c r="V56" s="513" t="str">
        <f>IF(ISTEXT('Incurred 2.5% cpi'!V56),"",'Incurred 2.5% cpi'!V56/'Incurred 2.5% cpi'!V$17*Incurred!V$17*BK56)</f>
        <v/>
      </c>
      <c r="W56" s="514" t="str">
        <f>IF(ISTEXT('Incurred 2.5% cpi'!W56),"",'Incurred 2.5% cpi'!W56/'Incurred 2.5% cpi'!W$17*Incurred!W$17*BL56)</f>
        <v/>
      </c>
      <c r="X56" s="515" t="str">
        <f>IF(ISTEXT('Incurred 2.5% cpi'!X56),"",'Incurred 2.5% cpi'!X56/'Incurred 2.5% cpi'!X$17*Incurred!X$17*BM56)</f>
        <v/>
      </c>
      <c r="Y56" s="80">
        <f t="shared" si="51"/>
        <v>53037414.239194304</v>
      </c>
      <c r="Z56" s="80">
        <f t="shared" si="81"/>
        <v>59149338.1008057</v>
      </c>
      <c r="AA56" s="566">
        <f>IF(ROUND(Y56,0)=0,0,SUMPRODUCT($F$20:$W$20,F56:W56))</f>
        <v>63541001.224974543</v>
      </c>
      <c r="AB56" s="566">
        <f t="shared" si="83"/>
        <v>54791206.216288134</v>
      </c>
      <c r="AC56" s="567">
        <f>IF(AF56="","",IF(AF56&lt;AD56,INDEX($F$20:$W$20,1,MATCH(TEXT(AF56,"000"),$F$24:$W$24)),INDEX($F$20:$W$20,1,MATCH(AD56,$F$24:$W$24))))</f>
        <v>1.1596934182128902</v>
      </c>
      <c r="AD56" s="568" t="str">
        <f t="shared" si="85"/>
        <v>2017</v>
      </c>
      <c r="AE56" s="569">
        <v>43420</v>
      </c>
      <c r="AF56" s="568">
        <v>2017</v>
      </c>
      <c r="AG56" s="569"/>
      <c r="AH56" s="566">
        <f>IF(ROUND(Y56,0)=0,0,SUMPRODUCT($F$19:$W$19,F56:W56))</f>
        <v>56160986.371695332</v>
      </c>
      <c r="AI56" s="80">
        <f t="shared" si="86"/>
        <v>-3055961.9308056999</v>
      </c>
      <c r="AJ56" s="571" t="s">
        <v>3155</v>
      </c>
      <c r="AK56" s="875">
        <f>IF(ISNA(VLOOKUP(LEFT($A56,8),Estimates,72,FALSE)),0,VLOOKUP(LEFT($A56,8),Estimates,72,FALSE))</f>
        <v>55413255.620694734</v>
      </c>
      <c r="AL56" s="876">
        <f t="shared" ref="AL56:BE56" si="111">VLOOKUP(MID($A56,4,5),ProjectSplits,AL$23,FALSE)</f>
        <v>0</v>
      </c>
      <c r="AM56" s="876">
        <f t="shared" si="111"/>
        <v>0</v>
      </c>
      <c r="AN56" s="876">
        <f t="shared" si="111"/>
        <v>4.2610903643802676E-2</v>
      </c>
      <c r="AO56" s="876">
        <f t="shared" si="111"/>
        <v>0</v>
      </c>
      <c r="AP56" s="876">
        <f t="shared" si="111"/>
        <v>0</v>
      </c>
      <c r="AQ56" s="876">
        <f t="shared" si="111"/>
        <v>0</v>
      </c>
      <c r="AR56" s="876">
        <f t="shared" si="111"/>
        <v>0</v>
      </c>
      <c r="AS56" s="876">
        <f t="shared" si="111"/>
        <v>0</v>
      </c>
      <c r="AT56" s="876">
        <f t="shared" si="111"/>
        <v>0</v>
      </c>
      <c r="AU56" s="876">
        <f t="shared" si="111"/>
        <v>0.35304650929528858</v>
      </c>
      <c r="AV56" s="876">
        <f t="shared" si="111"/>
        <v>0</v>
      </c>
      <c r="AW56" s="876">
        <f t="shared" si="111"/>
        <v>0.36888532689853604</v>
      </c>
      <c r="AX56" s="876">
        <f t="shared" si="111"/>
        <v>0</v>
      </c>
      <c r="AY56" s="876">
        <f t="shared" si="111"/>
        <v>0</v>
      </c>
      <c r="AZ56" s="876">
        <f t="shared" si="111"/>
        <v>0.13982504383279828</v>
      </c>
      <c r="BA56" s="876">
        <f t="shared" si="111"/>
        <v>9.563221632957461E-2</v>
      </c>
      <c r="BB56" s="876">
        <f t="shared" si="111"/>
        <v>0</v>
      </c>
      <c r="BC56" s="876">
        <f t="shared" si="111"/>
        <v>0</v>
      </c>
      <c r="BD56" s="876">
        <f t="shared" si="111"/>
        <v>0</v>
      </c>
      <c r="BE56" s="876">
        <f t="shared" si="111"/>
        <v>0</v>
      </c>
      <c r="BF56" s="27">
        <f>SUM(AL56:BD56)</f>
        <v>1</v>
      </c>
      <c r="BG56" s="520">
        <f t="shared" ref="BG56:BG88" si="112">1+IF(ISNA(VLOOKUP($A56,ProjLabEsc,7,FALSE)),VLOOKUP(D56,CatLabEsc,4,FALSE),VLOOKUP(A56,ProjLabEsc,7,FALSE))*Labesc18*LabIn</f>
        <v>1.0034498951996242</v>
      </c>
      <c r="BH56" s="520">
        <f t="shared" si="88"/>
        <v>1.0065926315443261</v>
      </c>
      <c r="BI56" s="520">
        <f t="shared" si="89"/>
        <v>1.0099939207178206</v>
      </c>
      <c r="BJ56" s="520">
        <f t="shared" si="90"/>
        <v>1.0139228081132494</v>
      </c>
      <c r="BK56" s="520">
        <f t="shared" si="91"/>
        <v>1.0196467222390713</v>
      </c>
      <c r="BL56" s="520">
        <f t="shared" si="92"/>
        <v>1.0260851094706045</v>
      </c>
      <c r="BM56" s="520">
        <f t="shared" si="93"/>
        <v>1.0303954349252136</v>
      </c>
      <c r="BN56" s="521" t="str">
        <f t="shared" si="94"/>
        <v>Category</v>
      </c>
      <c r="BP56" s="3"/>
    </row>
    <row r="57" spans="1:69" hidden="1" x14ac:dyDescent="0.15">
      <c r="A57" s="12" t="s">
        <v>117</v>
      </c>
      <c r="B57" s="13" t="s">
        <v>118</v>
      </c>
      <c r="C57" s="13" t="s">
        <v>27</v>
      </c>
      <c r="D57" s="13" t="s">
        <v>40</v>
      </c>
      <c r="E57" s="13" t="s">
        <v>32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5">
        <v>20153.740000000002</v>
      </c>
      <c r="N57" s="670">
        <v>372949.98</v>
      </c>
      <c r="O57" s="14">
        <v>731802.21</v>
      </c>
      <c r="P57" s="15">
        <v>494183.48</v>
      </c>
      <c r="Q57" s="15">
        <f>IF(ISTEXT('Incurred 2.5% cpi'!Q57),"",'Incurred 2.5% cpi'!Q57/'Incurred 2.5% cpi'!Q$17*Incurred!Q$17)</f>
        <v>20020.939999999999</v>
      </c>
      <c r="R57" s="110" t="str">
        <f>IF(ISTEXT('Incurred 2.5% cpi'!R57),"",'Incurred 2.5% cpi'!R57/'Incurred 2.5% cpi'!R$17*Incurred!R$17*BG57)</f>
        <v/>
      </c>
      <c r="S57" s="102" t="str">
        <f>IF(ISTEXT('Incurred 2.5% cpi'!S57),"",'Incurred 2.5% cpi'!S57/'Incurred 2.5% cpi'!S$17*Incurred!S$17*BH57)</f>
        <v/>
      </c>
      <c r="T57" s="16" t="str">
        <f>IF(ISTEXT('Incurred 2.5% cpi'!T57),"",'Incurred 2.5% cpi'!T57/'Incurred 2.5% cpi'!T$17*Incurred!T$17*BI57)</f>
        <v/>
      </c>
      <c r="U57" s="16" t="str">
        <f>IF(ISTEXT('Incurred 2.5% cpi'!U57),"",'Incurred 2.5% cpi'!U57/'Incurred 2.5% cpi'!U$17*Incurred!U$17*BJ57)</f>
        <v/>
      </c>
      <c r="V57" s="16" t="str">
        <f>IF(ISTEXT('Incurred 2.5% cpi'!V57),"",'Incurred 2.5% cpi'!V57/'Incurred 2.5% cpi'!V$17*Incurred!V$17*BK57)</f>
        <v/>
      </c>
      <c r="W57" s="110" t="str">
        <f>IF(ISTEXT('Incurred 2.5% cpi'!W57),"",'Incurred 2.5% cpi'!W57/'Incurred 2.5% cpi'!W$17*Incurred!W$17*BL57)</f>
        <v/>
      </c>
      <c r="X57" s="102" t="str">
        <f>IF(ISTEXT('Incurred 2.5% cpi'!X57),"",'Incurred 2.5% cpi'!X57/'Incurred 2.5% cpi'!X$17*Incurred!X$17*BM57)</f>
        <v/>
      </c>
      <c r="Y57" s="80">
        <f t="shared" ref="Y57:Y88" si="113">SUM(F57:W57)</f>
        <v>1639110.3499999999</v>
      </c>
      <c r="Z57" s="80">
        <f t="shared" si="81"/>
        <v>1639110.3499999999</v>
      </c>
      <c r="AA57" s="566">
        <f t="shared" si="82"/>
        <v>1965225.7809536916</v>
      </c>
      <c r="AB57" s="566">
        <f t="shared" si="83"/>
        <v>1694608.0318211534</v>
      </c>
      <c r="AC57" s="567">
        <f t="shared" si="84"/>
        <v>1.1596934182128902</v>
      </c>
      <c r="AD57" s="568" t="str">
        <f t="shared" si="85"/>
        <v>2017</v>
      </c>
      <c r="AE57" s="569">
        <v>42583</v>
      </c>
      <c r="AF57" s="568">
        <v>2017</v>
      </c>
      <c r="AG57" s="569"/>
      <c r="AH57" s="566">
        <f t="shared" ref="AH57:AH65" si="114">IF(ROUND(Y57,0)=0,0,SUMPRODUCT($F$19:$W$19,F57:W57))</f>
        <v>1736973.2326166823</v>
      </c>
      <c r="AI57" s="80">
        <f t="shared" si="86"/>
        <v>20020.939999999999</v>
      </c>
      <c r="AJ57" s="571" t="s">
        <v>0</v>
      </c>
      <c r="AK57" s="875">
        <f t="shared" si="87"/>
        <v>0</v>
      </c>
      <c r="AL57" s="28">
        <f t="shared" ref="AL57:AU57" si="115">IF($AK57=0,VLOOKUP(MID($A57,4,5),ProjectSplits,AL$23,FALSE),IF(ISNA(VLOOKUP($A57,Estimates,AL$22,FALSE)),VLOOKUP(MID($A57,4,5),ProjectSplits,AL$23,FALSE),VLOOKUP($A57,Estimates,AL$22,FALSE)))</f>
        <v>0</v>
      </c>
      <c r="AM57" s="28">
        <f t="shared" si="115"/>
        <v>0</v>
      </c>
      <c r="AN57" s="28">
        <f t="shared" si="115"/>
        <v>0</v>
      </c>
      <c r="AO57" s="28">
        <f t="shared" si="115"/>
        <v>2.1800002666080419E-2</v>
      </c>
      <c r="AP57" s="28">
        <f t="shared" si="115"/>
        <v>0</v>
      </c>
      <c r="AQ57" s="28">
        <f t="shared" si="115"/>
        <v>0</v>
      </c>
      <c r="AR57" s="28">
        <f t="shared" si="115"/>
        <v>0.97819999733391949</v>
      </c>
      <c r="AS57" s="28">
        <f t="shared" si="115"/>
        <v>0</v>
      </c>
      <c r="AT57" s="28">
        <f t="shared" si="115"/>
        <v>0</v>
      </c>
      <c r="AU57" s="28">
        <f t="shared" si="115"/>
        <v>0</v>
      </c>
      <c r="AV57" s="28">
        <f t="shared" ref="AV57:BE57" si="116">IF($AK57=0,VLOOKUP(MID($A57,4,5),ProjectSplits,AV$23,FALSE),IF(ISNA(VLOOKUP($A57,Estimates,AV$22,FALSE)),VLOOKUP(MID($A57,4,5),ProjectSplits,AV$23,FALSE),VLOOKUP($A57,Estimates,AV$22,FALSE)))</f>
        <v>0</v>
      </c>
      <c r="AW57" s="28">
        <f t="shared" si="116"/>
        <v>0</v>
      </c>
      <c r="AX57" s="28">
        <f t="shared" si="116"/>
        <v>0</v>
      </c>
      <c r="AY57" s="28">
        <f t="shared" si="116"/>
        <v>0</v>
      </c>
      <c r="AZ57" s="28">
        <f t="shared" si="116"/>
        <v>0</v>
      </c>
      <c r="BA57" s="28">
        <f t="shared" si="116"/>
        <v>0</v>
      </c>
      <c r="BB57" s="28">
        <f t="shared" si="116"/>
        <v>0</v>
      </c>
      <c r="BC57" s="28">
        <f t="shared" si="116"/>
        <v>0</v>
      </c>
      <c r="BD57" s="28">
        <f t="shared" si="116"/>
        <v>0</v>
      </c>
      <c r="BE57" s="28">
        <f t="shared" si="116"/>
        <v>0</v>
      </c>
      <c r="BF57" s="27">
        <f t="shared" ref="BF57:BF65" si="117">SUM(AL57:BD57)</f>
        <v>0.99999999999999989</v>
      </c>
      <c r="BG57" s="520">
        <f t="shared" si="112"/>
        <v>1.0034498951996242</v>
      </c>
      <c r="BH57" s="520">
        <f t="shared" si="88"/>
        <v>1.0065926315443261</v>
      </c>
      <c r="BI57" s="520">
        <f t="shared" si="89"/>
        <v>1.0099939207178206</v>
      </c>
      <c r="BJ57" s="520">
        <f t="shared" si="90"/>
        <v>1.0139228081132494</v>
      </c>
      <c r="BK57" s="520">
        <f t="shared" si="91"/>
        <v>1.0196467222390713</v>
      </c>
      <c r="BL57" s="520">
        <f t="shared" si="92"/>
        <v>1.0260851094706045</v>
      </c>
      <c r="BM57" s="520">
        <f t="shared" si="93"/>
        <v>1.0303954349252136</v>
      </c>
      <c r="BN57" s="521" t="str">
        <f t="shared" si="94"/>
        <v>Category</v>
      </c>
      <c r="BP57" s="3"/>
    </row>
    <row r="58" spans="1:69" hidden="1" x14ac:dyDescent="0.15">
      <c r="A58" s="12" t="s">
        <v>124</v>
      </c>
      <c r="B58" s="13" t="s">
        <v>125</v>
      </c>
      <c r="C58" s="13" t="s">
        <v>27</v>
      </c>
      <c r="D58" s="13" t="s">
        <v>55</v>
      </c>
      <c r="E58" s="13" t="s">
        <v>29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5">
        <v>0</v>
      </c>
      <c r="N58" s="670"/>
      <c r="O58" s="14"/>
      <c r="P58" s="15">
        <v>65315.69</v>
      </c>
      <c r="Q58" s="15">
        <f>IF(ISTEXT('Incurred 2.5% cpi'!Q58),"",'Incurred 2.5% cpi'!Q58/'Incurred 2.5% cpi'!Q$17*Incurred!Q$17)</f>
        <v>436260.06</v>
      </c>
      <c r="R58" s="110">
        <f>IF(ISTEXT('Incurred 2.5% cpi'!R58),"",'Incurred 2.5% cpi'!R58/'Incurred 2.5% cpi'!R$17*Incurred!R$17*BG58)</f>
        <v>3748666.9179052217</v>
      </c>
      <c r="S58" s="102">
        <f>IF(ISTEXT('Incurred 2.5% cpi'!S58),"",'Incurred 2.5% cpi'!S58/'Incurred 2.5% cpi'!S$17*Incurred!S$17*BH58)</f>
        <v>4516530.8539149519</v>
      </c>
      <c r="T58" s="16" t="str">
        <f>IF(ISTEXT('Incurred 2.5% cpi'!T58),"",'Incurred 2.5% cpi'!T58/'Incurred 2.5% cpi'!T$17*Incurred!T$17*BI58)</f>
        <v/>
      </c>
      <c r="U58" s="16" t="str">
        <f>IF(ISTEXT('Incurred 2.5% cpi'!U58),"",'Incurred 2.5% cpi'!U58/'Incurred 2.5% cpi'!U$17*Incurred!U$17*BJ58)</f>
        <v/>
      </c>
      <c r="V58" s="16" t="str">
        <f>IF(ISTEXT('Incurred 2.5% cpi'!V58),"",'Incurred 2.5% cpi'!V58/'Incurred 2.5% cpi'!V$17*Incurred!V$17*BK58)</f>
        <v/>
      </c>
      <c r="W58" s="110" t="str">
        <f>IF(ISTEXT('Incurred 2.5% cpi'!W58),"",'Incurred 2.5% cpi'!W58/'Incurred 2.5% cpi'!W$17*Incurred!W$17*BL58)</f>
        <v/>
      </c>
      <c r="X58" s="102" t="str">
        <f>IF(ISTEXT('Incurred 2.5% cpi'!X58),"",'Incurred 2.5% cpi'!X58/'Incurred 2.5% cpi'!X$17*Incurred!X$17*BM58)</f>
        <v/>
      </c>
      <c r="Y58" s="80">
        <f t="shared" si="113"/>
        <v>8766773.5218201727</v>
      </c>
      <c r="Z58" s="80">
        <f t="shared" si="81"/>
        <v>8766773.5218201727</v>
      </c>
      <c r="AA58" s="566">
        <f t="shared" si="82"/>
        <v>9809961.743054945</v>
      </c>
      <c r="AB58" s="566">
        <f t="shared" si="83"/>
        <v>8887341.1665815562</v>
      </c>
      <c r="AC58" s="567">
        <f t="shared" si="84"/>
        <v>1.1038128906249998</v>
      </c>
      <c r="AD58" s="568" t="str">
        <f t="shared" si="85"/>
        <v>2019</v>
      </c>
      <c r="AE58" s="569">
        <v>42982</v>
      </c>
      <c r="AF58" s="568">
        <v>2019</v>
      </c>
      <c r="AG58" s="569"/>
      <c r="AH58" s="566">
        <f t="shared" si="114"/>
        <v>8670576.7478844449</v>
      </c>
      <c r="AI58" s="80">
        <f t="shared" si="86"/>
        <v>4516530.8539149519</v>
      </c>
      <c r="AJ58" s="571" t="s">
        <v>3036</v>
      </c>
      <c r="AK58" s="875">
        <f>IF(ISNA(VLOOKUP(LEFT($A58,8),Estimates,72,FALSE)),0,VLOOKUP(LEFT($A58,8),Estimates,72,FALSE))</f>
        <v>0</v>
      </c>
      <c r="AL58" s="28">
        <f t="shared" ref="AL58:AU65" si="118">IF($AK58=0,VLOOKUP(MID($A58,4,5),ProjectSplits,AL$23,FALSE),IF(ISNA(VLOOKUP($A58,Estimates,AL$22,FALSE)),VLOOKUP(MID($A58,4,5),ProjectSplits,AL$23,FALSE),VLOOKUP($A58,Estimates,AL$22,FALSE)))</f>
        <v>0</v>
      </c>
      <c r="AM58" s="28">
        <f t="shared" si="118"/>
        <v>0</v>
      </c>
      <c r="AN58" s="28">
        <f t="shared" si="118"/>
        <v>0</v>
      </c>
      <c r="AO58" s="28">
        <f t="shared" si="118"/>
        <v>1</v>
      </c>
      <c r="AP58" s="28">
        <f t="shared" si="118"/>
        <v>0</v>
      </c>
      <c r="AQ58" s="28">
        <f t="shared" si="118"/>
        <v>0</v>
      </c>
      <c r="AR58" s="28">
        <f t="shared" si="118"/>
        <v>0</v>
      </c>
      <c r="AS58" s="28">
        <f t="shared" si="118"/>
        <v>0</v>
      </c>
      <c r="AT58" s="28">
        <f t="shared" si="118"/>
        <v>0</v>
      </c>
      <c r="AU58" s="28">
        <f t="shared" si="118"/>
        <v>0</v>
      </c>
      <c r="AV58" s="28">
        <f t="shared" ref="AV58:BE65" si="119">IF($AK58=0,VLOOKUP(MID($A58,4,5),ProjectSplits,AV$23,FALSE),IF(ISNA(VLOOKUP($A58,Estimates,AV$22,FALSE)),VLOOKUP(MID($A58,4,5),ProjectSplits,AV$23,FALSE),VLOOKUP($A58,Estimates,AV$22,FALSE)))</f>
        <v>0</v>
      </c>
      <c r="AW58" s="28">
        <f t="shared" si="119"/>
        <v>0</v>
      </c>
      <c r="AX58" s="28">
        <f t="shared" si="119"/>
        <v>0</v>
      </c>
      <c r="AY58" s="28">
        <f t="shared" si="119"/>
        <v>0</v>
      </c>
      <c r="AZ58" s="28">
        <f t="shared" si="119"/>
        <v>0</v>
      </c>
      <c r="BA58" s="28">
        <f t="shared" si="119"/>
        <v>0</v>
      </c>
      <c r="BB58" s="28">
        <f t="shared" si="119"/>
        <v>0</v>
      </c>
      <c r="BC58" s="28">
        <f t="shared" si="119"/>
        <v>0</v>
      </c>
      <c r="BD58" s="28">
        <f t="shared" si="119"/>
        <v>0</v>
      </c>
      <c r="BE58" s="28">
        <f t="shared" si="119"/>
        <v>0</v>
      </c>
      <c r="BF58" s="27">
        <f t="shared" si="117"/>
        <v>1</v>
      </c>
      <c r="BG58" s="520">
        <f t="shared" si="112"/>
        <v>1.0046190746045656</v>
      </c>
      <c r="BH58" s="520">
        <f t="shared" si="88"/>
        <v>1.0088268933348963</v>
      </c>
      <c r="BI58" s="520">
        <f t="shared" si="89"/>
        <v>1.0133808891912874</v>
      </c>
      <c r="BJ58" s="520">
        <f t="shared" si="90"/>
        <v>1.018641287824382</v>
      </c>
      <c r="BK58" s="520">
        <f t="shared" si="91"/>
        <v>1.0263050529092395</v>
      </c>
      <c r="BL58" s="520">
        <f t="shared" si="92"/>
        <v>1.0349254280901359</v>
      </c>
      <c r="BM58" s="520">
        <f t="shared" si="93"/>
        <v>1.0406965352376705</v>
      </c>
      <c r="BN58" s="521" t="str">
        <f t="shared" si="94"/>
        <v>Category</v>
      </c>
      <c r="BP58" s="3"/>
    </row>
    <row r="59" spans="1:69" hidden="1" x14ac:dyDescent="0.15">
      <c r="A59" s="12" t="s">
        <v>126</v>
      </c>
      <c r="B59" s="13" t="s">
        <v>127</v>
      </c>
      <c r="C59" s="13" t="s">
        <v>27</v>
      </c>
      <c r="D59" s="13" t="s">
        <v>40</v>
      </c>
      <c r="E59" s="13" t="s">
        <v>32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281060.90000000002</v>
      </c>
      <c r="M59" s="15">
        <v>3275383.8</v>
      </c>
      <c r="N59" s="670">
        <v>213568.72</v>
      </c>
      <c r="O59" s="14">
        <v>52025.41</v>
      </c>
      <c r="P59" s="15">
        <v>41.02</v>
      </c>
      <c r="Q59" s="15" t="str">
        <f>IF(ISTEXT('Incurred 2.5% cpi'!Q59),"",'Incurred 2.5% cpi'!Q59/'Incurred 2.5% cpi'!Q$17*Incurred!Q$17)</f>
        <v/>
      </c>
      <c r="R59" s="110" t="str">
        <f>IF(ISTEXT('Incurred 2.5% cpi'!R59),"",'Incurred 2.5% cpi'!R59/'Incurred 2.5% cpi'!R$17*Incurred!R$17*BG59)</f>
        <v/>
      </c>
      <c r="S59" s="102" t="str">
        <f>IF(ISTEXT('Incurred 2.5% cpi'!S59),"",'Incurred 2.5% cpi'!S59/'Incurred 2.5% cpi'!S$17*Incurred!S$17*BH59)</f>
        <v/>
      </c>
      <c r="T59" s="16" t="str">
        <f>IF(ISTEXT('Incurred 2.5% cpi'!T59),"",'Incurred 2.5% cpi'!T59/'Incurred 2.5% cpi'!T$17*Incurred!T$17*BI59)</f>
        <v/>
      </c>
      <c r="U59" s="16" t="str">
        <f>IF(ISTEXT('Incurred 2.5% cpi'!U59),"",'Incurred 2.5% cpi'!U59/'Incurred 2.5% cpi'!U$17*Incurred!U$17*BJ59)</f>
        <v/>
      </c>
      <c r="V59" s="16" t="str">
        <f>IF(ISTEXT('Incurred 2.5% cpi'!V59),"",'Incurred 2.5% cpi'!V59/'Incurred 2.5% cpi'!V$17*Incurred!V$17*BK59)</f>
        <v/>
      </c>
      <c r="W59" s="110" t="str">
        <f>IF(ISTEXT('Incurred 2.5% cpi'!W59),"",'Incurred 2.5% cpi'!W59/'Incurred 2.5% cpi'!W$17*Incurred!W$17*BL59)</f>
        <v/>
      </c>
      <c r="X59" s="102" t="str">
        <f>IF(ISTEXT('Incurred 2.5% cpi'!X59),"",'Incurred 2.5% cpi'!X59/'Incurred 2.5% cpi'!X$17*Incurred!X$17*BM59)</f>
        <v/>
      </c>
      <c r="Y59" s="80">
        <f t="shared" si="113"/>
        <v>3822079.85</v>
      </c>
      <c r="Z59" s="80">
        <f t="shared" si="81"/>
        <v>3822079.85</v>
      </c>
      <c r="AA59" s="566">
        <f t="shared" si="82"/>
        <v>4781563.6209814865</v>
      </c>
      <c r="AB59" s="566">
        <f t="shared" si="83"/>
        <v>3932829.1405432741</v>
      </c>
      <c r="AC59" s="567">
        <f t="shared" si="84"/>
        <v>1.2158076158683491</v>
      </c>
      <c r="AD59" s="568" t="str">
        <f t="shared" si="85"/>
        <v>2016</v>
      </c>
      <c r="AE59" s="569">
        <v>41457</v>
      </c>
      <c r="AF59" s="568">
        <v>2014</v>
      </c>
      <c r="AG59" s="569"/>
      <c r="AH59" s="566">
        <f t="shared" si="114"/>
        <v>4226205.507882175</v>
      </c>
      <c r="AI59" s="80">
        <f t="shared" si="86"/>
        <v>41.02</v>
      </c>
      <c r="AJ59" s="571" t="s">
        <v>0</v>
      </c>
      <c r="AK59" s="875">
        <f t="shared" si="87"/>
        <v>0</v>
      </c>
      <c r="AL59" s="28">
        <f t="shared" si="118"/>
        <v>0</v>
      </c>
      <c r="AM59" s="28">
        <f t="shared" si="118"/>
        <v>0</v>
      </c>
      <c r="AN59" s="28">
        <f t="shared" si="118"/>
        <v>5.5000062818232809E-3</v>
      </c>
      <c r="AO59" s="28">
        <f t="shared" si="118"/>
        <v>0</v>
      </c>
      <c r="AP59" s="28">
        <f t="shared" si="118"/>
        <v>0</v>
      </c>
      <c r="AQ59" s="28">
        <f t="shared" si="118"/>
        <v>0</v>
      </c>
      <c r="AR59" s="28">
        <f t="shared" si="118"/>
        <v>0</v>
      </c>
      <c r="AS59" s="28">
        <f t="shared" si="118"/>
        <v>0</v>
      </c>
      <c r="AT59" s="28">
        <f t="shared" si="118"/>
        <v>0</v>
      </c>
      <c r="AU59" s="28">
        <f t="shared" si="118"/>
        <v>0.48860002652237311</v>
      </c>
      <c r="AV59" s="28">
        <f t="shared" si="119"/>
        <v>0</v>
      </c>
      <c r="AW59" s="28">
        <f t="shared" si="119"/>
        <v>0.42799997586353072</v>
      </c>
      <c r="AX59" s="28">
        <f t="shared" si="119"/>
        <v>0</v>
      </c>
      <c r="AY59" s="28">
        <f t="shared" si="119"/>
        <v>0</v>
      </c>
      <c r="AZ59" s="28">
        <f t="shared" si="119"/>
        <v>6.7599985918411293E-2</v>
      </c>
      <c r="BA59" s="28">
        <f t="shared" si="119"/>
        <v>1.0300005413861578E-2</v>
      </c>
      <c r="BB59" s="28">
        <f t="shared" si="119"/>
        <v>0</v>
      </c>
      <c r="BC59" s="28">
        <f t="shared" si="119"/>
        <v>0</v>
      </c>
      <c r="BD59" s="28">
        <f t="shared" si="119"/>
        <v>0</v>
      </c>
      <c r="BE59" s="28">
        <f t="shared" si="119"/>
        <v>0</v>
      </c>
      <c r="BF59" s="27">
        <f t="shared" si="117"/>
        <v>1</v>
      </c>
      <c r="BG59" s="520">
        <f t="shared" si="112"/>
        <v>1.0034498951996242</v>
      </c>
      <c r="BH59" s="520">
        <f t="shared" si="88"/>
        <v>1.0065926315443261</v>
      </c>
      <c r="BI59" s="520">
        <f t="shared" si="89"/>
        <v>1.0099939207178206</v>
      </c>
      <c r="BJ59" s="520">
        <f t="shared" si="90"/>
        <v>1.0139228081132494</v>
      </c>
      <c r="BK59" s="520">
        <f t="shared" si="91"/>
        <v>1.0196467222390713</v>
      </c>
      <c r="BL59" s="520">
        <f t="shared" si="92"/>
        <v>1.0260851094706045</v>
      </c>
      <c r="BM59" s="520">
        <f t="shared" si="93"/>
        <v>1.0303954349252136</v>
      </c>
      <c r="BN59" s="521" t="str">
        <f t="shared" si="94"/>
        <v>Category</v>
      </c>
      <c r="BP59" s="3"/>
    </row>
    <row r="60" spans="1:69" hidden="1" x14ac:dyDescent="0.15">
      <c r="A60" s="12" t="s">
        <v>128</v>
      </c>
      <c r="B60" s="13" t="s">
        <v>129</v>
      </c>
      <c r="C60" s="13" t="s">
        <v>27</v>
      </c>
      <c r="D60" s="13" t="s">
        <v>44</v>
      </c>
      <c r="E60" s="13" t="s">
        <v>29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5">
        <v>16390.89</v>
      </c>
      <c r="N60" s="670">
        <v>28511.75</v>
      </c>
      <c r="O60" s="14">
        <v>3753770.75</v>
      </c>
      <c r="P60" s="15">
        <v>162824.4</v>
      </c>
      <c r="Q60" s="15">
        <f>IF(ISTEXT('Incurred 2.5% cpi'!Q60),"",'Incurred 2.5% cpi'!Q60/'Incurred 2.5% cpi'!Q$17*Incurred!Q$17)</f>
        <v>1305116.01</v>
      </c>
      <c r="R60" s="110">
        <f>IF(ISTEXT('Incurred 2.5% cpi'!R60),"",'Incurred 2.5% cpi'!R60/'Incurred 2.5% cpi'!R$17*Incurred!R$17*BG60)</f>
        <v>5146.3865172036758</v>
      </c>
      <c r="S60" s="102" t="str">
        <f>IF(ISTEXT('Incurred 2.5% cpi'!S60),"",'Incurred 2.5% cpi'!S60/'Incurred 2.5% cpi'!S$17*Incurred!S$17*BH60)</f>
        <v/>
      </c>
      <c r="T60" s="16" t="str">
        <f>IF(ISTEXT('Incurred 2.5% cpi'!T60),"",'Incurred 2.5% cpi'!T60/'Incurred 2.5% cpi'!T$17*Incurred!T$17*BI60)</f>
        <v/>
      </c>
      <c r="U60" s="16" t="str">
        <f>IF(ISTEXT('Incurred 2.5% cpi'!U60),"",'Incurred 2.5% cpi'!U60/'Incurred 2.5% cpi'!U$17*Incurred!U$17*BJ60)</f>
        <v/>
      </c>
      <c r="V60" s="16" t="str">
        <f>IF(ISTEXT('Incurred 2.5% cpi'!V60),"",'Incurred 2.5% cpi'!V60/'Incurred 2.5% cpi'!V$17*Incurred!V$17*BK60)</f>
        <v/>
      </c>
      <c r="W60" s="110" t="str">
        <f>IF(ISTEXT('Incurred 2.5% cpi'!W60),"",'Incurred 2.5% cpi'!W60/'Incurred 2.5% cpi'!W$17*Incurred!W$17*BL60)</f>
        <v/>
      </c>
      <c r="X60" s="102" t="str">
        <f>IF(ISTEXT('Incurred 2.5% cpi'!X60),"",'Incurred 2.5% cpi'!X60/'Incurred 2.5% cpi'!X$17*Incurred!X$17*BM60)</f>
        <v/>
      </c>
      <c r="Y60" s="80">
        <f t="shared" si="113"/>
        <v>5271760.1865172032</v>
      </c>
      <c r="Z60" s="80">
        <f t="shared" si="81"/>
        <v>5271760.1865172032</v>
      </c>
      <c r="AA60" s="566">
        <f t="shared" si="82"/>
        <v>6271411.3158195354</v>
      </c>
      <c r="AB60" s="566">
        <f t="shared" si="83"/>
        <v>5543013.7808499401</v>
      </c>
      <c r="AC60" s="567">
        <f t="shared" si="84"/>
        <v>1.1314082128906247</v>
      </c>
      <c r="AD60" s="568" t="str">
        <f t="shared" si="85"/>
        <v>2018</v>
      </c>
      <c r="AE60" s="569">
        <v>42863</v>
      </c>
      <c r="AF60" s="568" t="s">
        <v>3152</v>
      </c>
      <c r="AG60" s="569"/>
      <c r="AH60" s="566">
        <f t="shared" si="114"/>
        <v>5543013.7808499411</v>
      </c>
      <c r="AI60" s="80">
        <f t="shared" si="86"/>
        <v>5146.3865172036758</v>
      </c>
      <c r="AJ60" s="571" t="s">
        <v>0</v>
      </c>
      <c r="AK60" s="875">
        <f t="shared" si="87"/>
        <v>0</v>
      </c>
      <c r="AL60" s="28">
        <f t="shared" si="118"/>
        <v>0</v>
      </c>
      <c r="AM60" s="28">
        <f t="shared" si="118"/>
        <v>0</v>
      </c>
      <c r="AN60" s="28">
        <f t="shared" si="118"/>
        <v>0</v>
      </c>
      <c r="AO60" s="28">
        <f t="shared" si="118"/>
        <v>0</v>
      </c>
      <c r="AP60" s="28">
        <f t="shared" si="118"/>
        <v>1</v>
      </c>
      <c r="AQ60" s="28">
        <f t="shared" si="118"/>
        <v>0</v>
      </c>
      <c r="AR60" s="28">
        <f t="shared" si="118"/>
        <v>0</v>
      </c>
      <c r="AS60" s="28">
        <f t="shared" si="118"/>
        <v>0</v>
      </c>
      <c r="AT60" s="28">
        <f t="shared" si="118"/>
        <v>0</v>
      </c>
      <c r="AU60" s="28">
        <f t="shared" si="118"/>
        <v>0</v>
      </c>
      <c r="AV60" s="28">
        <f t="shared" si="119"/>
        <v>0</v>
      </c>
      <c r="AW60" s="28">
        <f t="shared" si="119"/>
        <v>0</v>
      </c>
      <c r="AX60" s="28">
        <f t="shared" si="119"/>
        <v>0</v>
      </c>
      <c r="AY60" s="28">
        <f t="shared" si="119"/>
        <v>0</v>
      </c>
      <c r="AZ60" s="28">
        <f t="shared" si="119"/>
        <v>0</v>
      </c>
      <c r="BA60" s="28">
        <f t="shared" si="119"/>
        <v>0</v>
      </c>
      <c r="BB60" s="28">
        <f t="shared" si="119"/>
        <v>0</v>
      </c>
      <c r="BC60" s="28">
        <f t="shared" si="119"/>
        <v>0</v>
      </c>
      <c r="BD60" s="28">
        <f t="shared" si="119"/>
        <v>0</v>
      </c>
      <c r="BE60" s="28">
        <f t="shared" si="119"/>
        <v>0</v>
      </c>
      <c r="BF60" s="27">
        <f t="shared" si="117"/>
        <v>1</v>
      </c>
      <c r="BG60" s="520">
        <f t="shared" si="112"/>
        <v>1.0013788876313259</v>
      </c>
      <c r="BH60" s="520">
        <f t="shared" si="88"/>
        <v>1.0026350070272714</v>
      </c>
      <c r="BI60" s="520">
        <f t="shared" si="89"/>
        <v>1.0039944673298349</v>
      </c>
      <c r="BJ60" s="520">
        <f t="shared" si="90"/>
        <v>1.0055648032156956</v>
      </c>
      <c r="BK60" s="520">
        <f t="shared" si="91"/>
        <v>1.0078525928249935</v>
      </c>
      <c r="BL60" s="520">
        <f t="shared" si="92"/>
        <v>1.0104259499867456</v>
      </c>
      <c r="BM60" s="520">
        <f t="shared" si="93"/>
        <v>1.0121487427420144</v>
      </c>
      <c r="BN60" s="521" t="str">
        <f t="shared" si="94"/>
        <v>Category</v>
      </c>
      <c r="BP60" s="3">
        <f>SUMPRODUCT(F60:P60,$F$19:$P$19)/$Q$19</f>
        <v>4097681.4478855985</v>
      </c>
      <c r="BQ60" s="3"/>
    </row>
    <row r="61" spans="1:69" hidden="1" x14ac:dyDescent="0.15">
      <c r="A61" s="12" t="s">
        <v>130</v>
      </c>
      <c r="B61" s="13" t="s">
        <v>131</v>
      </c>
      <c r="C61" s="13" t="s">
        <v>27</v>
      </c>
      <c r="D61" s="13" t="s">
        <v>54</v>
      </c>
      <c r="E61" s="13" t="s">
        <v>45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5">
        <v>151954.94</v>
      </c>
      <c r="N61" s="670">
        <v>90876.98</v>
      </c>
      <c r="O61" s="14">
        <v>209796.12</v>
      </c>
      <c r="P61" s="15">
        <v>43076.15</v>
      </c>
      <c r="Q61" s="15">
        <f>IF(ISTEXT('Incurred 2.5% cpi'!Q61),"",'Incurred 2.5% cpi'!Q61/'Incurred 2.5% cpi'!Q$17*Incurred!Q$17)</f>
        <v>6537.94</v>
      </c>
      <c r="R61" s="110">
        <f>IF(ISTEXT('Incurred 2.5% cpi'!R61),"",'Incurred 2.5% cpi'!R61/'Incurred 2.5% cpi'!R$17*Incurred!R$17*BG61)</f>
        <v>54311.854897543039</v>
      </c>
      <c r="S61" s="102" t="str">
        <f>IF(ISTEXT('Incurred 2.5% cpi'!S61),"",'Incurred 2.5% cpi'!S61/'Incurred 2.5% cpi'!S$17*Incurred!S$17*BH61)</f>
        <v/>
      </c>
      <c r="T61" s="16" t="str">
        <f>IF(ISTEXT('Incurred 2.5% cpi'!T61),"",'Incurred 2.5% cpi'!T61/'Incurred 2.5% cpi'!T$17*Incurred!T$17*BI61)</f>
        <v/>
      </c>
      <c r="U61" s="16" t="str">
        <f>IF(ISTEXT('Incurred 2.5% cpi'!U61),"",'Incurred 2.5% cpi'!U61/'Incurred 2.5% cpi'!U$17*Incurred!U$17*BJ61)</f>
        <v/>
      </c>
      <c r="V61" s="16" t="str">
        <f>IF(ISTEXT('Incurred 2.5% cpi'!V61),"",'Incurred 2.5% cpi'!V61/'Incurred 2.5% cpi'!V$17*Incurred!V$17*BK61)</f>
        <v/>
      </c>
      <c r="W61" s="110" t="str">
        <f>IF(ISTEXT('Incurred 2.5% cpi'!W61),"",'Incurred 2.5% cpi'!W61/'Incurred 2.5% cpi'!W$17*Incurred!W$17*BL61)</f>
        <v/>
      </c>
      <c r="X61" s="102" t="str">
        <f>IF(ISTEXT('Incurred 2.5% cpi'!X61),"",'Incurred 2.5% cpi'!X61/'Incurred 2.5% cpi'!X$17*Incurred!X$17*BM61)</f>
        <v/>
      </c>
      <c r="Y61" s="80">
        <f t="shared" si="113"/>
        <v>556553.98489754309</v>
      </c>
      <c r="Z61" s="80">
        <f t="shared" si="81"/>
        <v>556553.98489754309</v>
      </c>
      <c r="AA61" s="566">
        <f t="shared" si="82"/>
        <v>672425.42472686619</v>
      </c>
      <c r="AB61" s="566">
        <f t="shared" si="83"/>
        <v>594326.09474249138</v>
      </c>
      <c r="AC61" s="567">
        <f t="shared" si="84"/>
        <v>1.1314082128906247</v>
      </c>
      <c r="AD61" s="568" t="str">
        <f t="shared" si="85"/>
        <v>2018</v>
      </c>
      <c r="AE61" s="569">
        <v>43160</v>
      </c>
      <c r="AF61" s="568">
        <v>2018</v>
      </c>
      <c r="AG61" s="569"/>
      <c r="AH61" s="566">
        <f t="shared" si="114"/>
        <v>594326.09474249138</v>
      </c>
      <c r="AI61" s="80">
        <f t="shared" si="86"/>
        <v>54311.854897543039</v>
      </c>
      <c r="AJ61" s="571" t="s">
        <v>0</v>
      </c>
      <c r="AK61" s="875">
        <f t="shared" si="87"/>
        <v>0</v>
      </c>
      <c r="AL61" s="28">
        <f t="shared" si="118"/>
        <v>0</v>
      </c>
      <c r="AM61" s="28">
        <f t="shared" si="118"/>
        <v>0</v>
      </c>
      <c r="AN61" s="28">
        <f t="shared" si="118"/>
        <v>0</v>
      </c>
      <c r="AO61" s="378">
        <f t="shared" si="118"/>
        <v>1</v>
      </c>
      <c r="AP61" s="28">
        <f t="shared" si="118"/>
        <v>0</v>
      </c>
      <c r="AQ61" s="28">
        <f t="shared" si="118"/>
        <v>0</v>
      </c>
      <c r="AR61" s="28">
        <f t="shared" si="118"/>
        <v>0</v>
      </c>
      <c r="AS61" s="28">
        <f t="shared" si="118"/>
        <v>0</v>
      </c>
      <c r="AT61" s="28">
        <f t="shared" si="118"/>
        <v>0</v>
      </c>
      <c r="AU61" s="28">
        <f t="shared" si="118"/>
        <v>0</v>
      </c>
      <c r="AV61" s="28">
        <f t="shared" si="119"/>
        <v>0</v>
      </c>
      <c r="AW61" s="28">
        <f t="shared" si="119"/>
        <v>0</v>
      </c>
      <c r="AX61" s="28">
        <f t="shared" si="119"/>
        <v>0</v>
      </c>
      <c r="AY61" s="28">
        <f t="shared" si="119"/>
        <v>0</v>
      </c>
      <c r="AZ61" s="28">
        <f t="shared" si="119"/>
        <v>0</v>
      </c>
      <c r="BA61" s="28">
        <f t="shared" si="119"/>
        <v>0</v>
      </c>
      <c r="BB61" s="28">
        <f t="shared" si="119"/>
        <v>0</v>
      </c>
      <c r="BC61" s="28">
        <f t="shared" si="119"/>
        <v>0</v>
      </c>
      <c r="BD61" s="28">
        <f t="shared" si="119"/>
        <v>0</v>
      </c>
      <c r="BE61" s="28">
        <f t="shared" si="119"/>
        <v>0</v>
      </c>
      <c r="BF61" s="27">
        <f t="shared" si="117"/>
        <v>1</v>
      </c>
      <c r="BG61" s="520">
        <f t="shared" si="112"/>
        <v>1.0030818160192299</v>
      </c>
      <c r="BH61" s="520">
        <f t="shared" si="88"/>
        <v>1.0058892448397847</v>
      </c>
      <c r="BI61" s="520">
        <f t="shared" si="89"/>
        <v>1.0089276407487533</v>
      </c>
      <c r="BJ61" s="520">
        <f t="shared" si="90"/>
        <v>1.0124373439172154</v>
      </c>
      <c r="BK61" s="520">
        <f t="shared" si="91"/>
        <v>1.0175505572831101</v>
      </c>
      <c r="BL61" s="520">
        <f t="shared" si="92"/>
        <v>1.023302014576742</v>
      </c>
      <c r="BM61" s="520">
        <f t="shared" si="93"/>
        <v>1.0271524590875074</v>
      </c>
      <c r="BN61" s="521" t="str">
        <f t="shared" si="94"/>
        <v>Category</v>
      </c>
      <c r="BP61" s="3"/>
    </row>
    <row r="62" spans="1:69" hidden="1" x14ac:dyDescent="0.15">
      <c r="A62" s="12" t="s">
        <v>132</v>
      </c>
      <c r="B62" s="13" t="s">
        <v>133</v>
      </c>
      <c r="C62" s="13" t="s">
        <v>27</v>
      </c>
      <c r="D62" s="13" t="s">
        <v>55</v>
      </c>
      <c r="E62" s="13" t="s">
        <v>32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437943.42</v>
      </c>
      <c r="M62" s="15">
        <v>502383.83</v>
      </c>
      <c r="N62" s="670">
        <v>301873.52</v>
      </c>
      <c r="O62" s="14">
        <v>193602.4</v>
      </c>
      <c r="P62" s="15">
        <v>253939.57</v>
      </c>
      <c r="Q62" s="15" t="str">
        <f>IF(ISTEXT('Incurred 2.5% cpi'!Q62),"",'Incurred 2.5% cpi'!Q62/'Incurred 2.5% cpi'!Q$17*Incurred!Q$17)</f>
        <v/>
      </c>
      <c r="R62" s="110" t="str">
        <f>IF(ISTEXT('Incurred 2.5% cpi'!R62),"",'Incurred 2.5% cpi'!R62/'Incurred 2.5% cpi'!R$17*Incurred!R$17*BG62)</f>
        <v/>
      </c>
      <c r="S62" s="102" t="str">
        <f>IF(ISTEXT('Incurred 2.5% cpi'!S62),"",'Incurred 2.5% cpi'!S62/'Incurred 2.5% cpi'!S$17*Incurred!S$17*BH62)</f>
        <v/>
      </c>
      <c r="T62" s="16" t="str">
        <f>IF(ISTEXT('Incurred 2.5% cpi'!T62),"",'Incurred 2.5% cpi'!T62/'Incurred 2.5% cpi'!T$17*Incurred!T$17*BI62)</f>
        <v/>
      </c>
      <c r="U62" s="16" t="str">
        <f>IF(ISTEXT('Incurred 2.5% cpi'!U62),"",'Incurred 2.5% cpi'!U62/'Incurred 2.5% cpi'!U$17*Incurred!U$17*BJ62)</f>
        <v/>
      </c>
      <c r="V62" s="16" t="str">
        <f>IF(ISTEXT('Incurred 2.5% cpi'!V62),"",'Incurred 2.5% cpi'!V62/'Incurred 2.5% cpi'!V$17*Incurred!V$17*BK62)</f>
        <v/>
      </c>
      <c r="W62" s="110" t="str">
        <f>IF(ISTEXT('Incurred 2.5% cpi'!W62),"",'Incurred 2.5% cpi'!W62/'Incurred 2.5% cpi'!W$17*Incurred!W$17*BL62)</f>
        <v/>
      </c>
      <c r="X62" s="102" t="str">
        <f>IF(ISTEXT('Incurred 2.5% cpi'!X62),"",'Incurred 2.5% cpi'!X62/'Incurred 2.5% cpi'!X$17*Incurred!X$17*BM62)</f>
        <v/>
      </c>
      <c r="Y62" s="80">
        <f t="shared" si="113"/>
        <v>1689742.74</v>
      </c>
      <c r="Z62" s="80">
        <f t="shared" si="81"/>
        <v>1689742.74</v>
      </c>
      <c r="AA62" s="566">
        <f t="shared" si="82"/>
        <v>2090535.8544468118</v>
      </c>
      <c r="AB62" s="566">
        <f t="shared" si="83"/>
        <v>1719462.7070613618</v>
      </c>
      <c r="AC62" s="567">
        <f t="shared" si="84"/>
        <v>1.2158076158683491</v>
      </c>
      <c r="AD62" s="568" t="str">
        <f t="shared" si="85"/>
        <v>2016</v>
      </c>
      <c r="AE62" s="569">
        <v>41810</v>
      </c>
      <c r="AF62" s="568">
        <v>2014</v>
      </c>
      <c r="AG62" s="569"/>
      <c r="AH62" s="566">
        <f t="shared" si="114"/>
        <v>1847729.0783542404</v>
      </c>
      <c r="AI62" s="80">
        <f t="shared" si="86"/>
        <v>253939.57</v>
      </c>
      <c r="AJ62" s="571" t="s">
        <v>0</v>
      </c>
      <c r="AK62" s="875">
        <f t="shared" si="87"/>
        <v>0</v>
      </c>
      <c r="AL62" s="28">
        <f t="shared" si="118"/>
        <v>0</v>
      </c>
      <c r="AM62" s="28">
        <f t="shared" si="118"/>
        <v>0</v>
      </c>
      <c r="AN62" s="28">
        <f t="shared" si="118"/>
        <v>0</v>
      </c>
      <c r="AO62" s="28">
        <f t="shared" si="118"/>
        <v>0</v>
      </c>
      <c r="AP62" s="28">
        <f t="shared" si="118"/>
        <v>0</v>
      </c>
      <c r="AQ62" s="28">
        <f t="shared" si="118"/>
        <v>0</v>
      </c>
      <c r="AR62" s="28">
        <f t="shared" si="118"/>
        <v>0</v>
      </c>
      <c r="AS62" s="28">
        <f t="shared" si="118"/>
        <v>1</v>
      </c>
      <c r="AT62" s="28">
        <f t="shared" si="118"/>
        <v>0</v>
      </c>
      <c r="AU62" s="28">
        <f t="shared" si="118"/>
        <v>0</v>
      </c>
      <c r="AV62" s="28">
        <f t="shared" si="119"/>
        <v>0</v>
      </c>
      <c r="AW62" s="28">
        <f t="shared" si="119"/>
        <v>0</v>
      </c>
      <c r="AX62" s="28">
        <f t="shared" si="119"/>
        <v>0</v>
      </c>
      <c r="AY62" s="28">
        <f t="shared" si="119"/>
        <v>0</v>
      </c>
      <c r="AZ62" s="28">
        <f t="shared" si="119"/>
        <v>0</v>
      </c>
      <c r="BA62" s="28">
        <f t="shared" si="119"/>
        <v>0</v>
      </c>
      <c r="BB62" s="28">
        <f t="shared" si="119"/>
        <v>0</v>
      </c>
      <c r="BC62" s="28">
        <f t="shared" si="119"/>
        <v>0</v>
      </c>
      <c r="BD62" s="28">
        <f t="shared" si="119"/>
        <v>0</v>
      </c>
      <c r="BE62" s="28">
        <f t="shared" si="119"/>
        <v>0</v>
      </c>
      <c r="BF62" s="27">
        <f t="shared" si="117"/>
        <v>1</v>
      </c>
      <c r="BG62" s="520">
        <f t="shared" si="112"/>
        <v>1.0046190746045656</v>
      </c>
      <c r="BH62" s="520">
        <f t="shared" si="88"/>
        <v>1.0088268933348963</v>
      </c>
      <c r="BI62" s="520">
        <f t="shared" si="89"/>
        <v>1.0133808891912874</v>
      </c>
      <c r="BJ62" s="520">
        <f t="shared" si="90"/>
        <v>1.018641287824382</v>
      </c>
      <c r="BK62" s="520">
        <f t="shared" si="91"/>
        <v>1.0263050529092395</v>
      </c>
      <c r="BL62" s="520">
        <f t="shared" si="92"/>
        <v>1.0349254280901359</v>
      </c>
      <c r="BM62" s="520">
        <f t="shared" si="93"/>
        <v>1.0406965352376705</v>
      </c>
      <c r="BN62" s="521" t="str">
        <f t="shared" si="94"/>
        <v>Category</v>
      </c>
      <c r="BP62" s="3"/>
    </row>
    <row r="63" spans="1:69" hidden="1" x14ac:dyDescent="0.15">
      <c r="A63" s="78" t="s">
        <v>134</v>
      </c>
      <c r="B63" s="13" t="s">
        <v>135</v>
      </c>
      <c r="C63" s="13" t="s">
        <v>27</v>
      </c>
      <c r="D63" s="13" t="s">
        <v>28</v>
      </c>
      <c r="E63" s="13" t="s">
        <v>45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72170.820000000007</v>
      </c>
      <c r="M63" s="15">
        <v>445253.12</v>
      </c>
      <c r="N63" s="670">
        <v>19278.75</v>
      </c>
      <c r="O63" s="14">
        <v>-92939.59</v>
      </c>
      <c r="P63" s="15">
        <v>-445452.24</v>
      </c>
      <c r="Q63" s="15">
        <f>IF(ISTEXT('Incurred 2.5% cpi'!Q63),"",'Incurred 2.5% cpi'!Q63/'Incurred 2.5% cpi'!Q$17*Incurred!Q$17)</f>
        <v>1689.14</v>
      </c>
      <c r="R63" s="110">
        <f>IF(ISTEXT('Incurred 2.5% cpi'!R63),"",'Incurred 2.5% cpi'!R63/'Incurred 2.5% cpi'!R$17*Incurred!R$17*BG63)</f>
        <v>-1694.0719204239501</v>
      </c>
      <c r="S63" s="102"/>
      <c r="T63" s="16"/>
      <c r="U63" s="16"/>
      <c r="V63" s="16"/>
      <c r="W63" s="110"/>
      <c r="X63" s="102"/>
      <c r="Y63" s="80">
        <f t="shared" si="113"/>
        <v>-1694.071920423964</v>
      </c>
      <c r="Z63" s="80">
        <f t="shared" si="81"/>
        <v>1078477.7319204239</v>
      </c>
      <c r="AA63" s="566">
        <f t="shared" si="82"/>
        <v>34175.361108119119</v>
      </c>
      <c r="AB63" s="566" t="str">
        <f t="shared" si="83"/>
        <v/>
      </c>
      <c r="AC63" s="567" t="str">
        <f t="shared" si="84"/>
        <v/>
      </c>
      <c r="AD63" s="568" t="str">
        <f t="shared" si="85"/>
        <v>2018</v>
      </c>
      <c r="AE63" s="569"/>
      <c r="AF63" s="568"/>
      <c r="AG63" s="569"/>
      <c r="AH63" s="566">
        <f>IF(ROUND(Y63,0)=0,0,SUMPRODUCT($F$19:$W$19,F63:W63))*0</f>
        <v>0</v>
      </c>
      <c r="AI63" s="80">
        <f t="shared" si="86"/>
        <v>-1694.0719204239501</v>
      </c>
      <c r="AJ63" s="571" t="s">
        <v>0</v>
      </c>
      <c r="AK63" s="875">
        <f t="shared" si="87"/>
        <v>0</v>
      </c>
      <c r="AL63" s="28">
        <f t="shared" si="118"/>
        <v>0</v>
      </c>
      <c r="AM63" s="28">
        <f t="shared" si="118"/>
        <v>0</v>
      </c>
      <c r="AN63" s="28">
        <f t="shared" si="118"/>
        <v>0</v>
      </c>
      <c r="AO63" s="28">
        <f t="shared" si="118"/>
        <v>0</v>
      </c>
      <c r="AP63" s="28">
        <f t="shared" si="118"/>
        <v>0</v>
      </c>
      <c r="AQ63" s="28">
        <f t="shared" si="118"/>
        <v>0</v>
      </c>
      <c r="AR63" s="28">
        <f t="shared" si="118"/>
        <v>0</v>
      </c>
      <c r="AS63" s="28">
        <f t="shared" si="118"/>
        <v>0</v>
      </c>
      <c r="AT63" s="28">
        <f t="shared" si="118"/>
        <v>0</v>
      </c>
      <c r="AU63" s="28">
        <f t="shared" si="118"/>
        <v>0.59118170190655106</v>
      </c>
      <c r="AV63" s="28">
        <f t="shared" si="119"/>
        <v>0</v>
      </c>
      <c r="AW63" s="28">
        <f t="shared" si="119"/>
        <v>2.538071065989848E-2</v>
      </c>
      <c r="AX63" s="28">
        <f t="shared" si="119"/>
        <v>0</v>
      </c>
      <c r="AY63" s="28">
        <f t="shared" si="119"/>
        <v>0</v>
      </c>
      <c r="AZ63" s="28">
        <f t="shared" si="119"/>
        <v>0.3834375874335505</v>
      </c>
      <c r="BA63" s="28">
        <f t="shared" si="119"/>
        <v>0</v>
      </c>
      <c r="BB63" s="28">
        <f t="shared" si="119"/>
        <v>0</v>
      </c>
      <c r="BC63" s="28">
        <f t="shared" si="119"/>
        <v>0</v>
      </c>
      <c r="BD63" s="28">
        <f t="shared" si="119"/>
        <v>0</v>
      </c>
      <c r="BE63" s="28">
        <f t="shared" si="119"/>
        <v>0</v>
      </c>
      <c r="BF63" s="27">
        <f t="shared" si="117"/>
        <v>1</v>
      </c>
      <c r="BG63" s="520">
        <f t="shared" si="112"/>
        <v>1.0030444840366091</v>
      </c>
      <c r="BH63" s="520">
        <f t="shared" si="88"/>
        <v>1.0058179046998681</v>
      </c>
      <c r="BI63" s="520">
        <f t="shared" si="89"/>
        <v>1.0088194946014175</v>
      </c>
      <c r="BJ63" s="520">
        <f t="shared" si="90"/>
        <v>1.0122866825201464</v>
      </c>
      <c r="BK63" s="520">
        <f t="shared" si="91"/>
        <v>1.0173379563051834</v>
      </c>
      <c r="BL63" s="520">
        <f t="shared" si="92"/>
        <v>1.023019742566414</v>
      </c>
      <c r="BM63" s="520">
        <f t="shared" si="93"/>
        <v>1.026823544212498</v>
      </c>
      <c r="BN63" s="521" t="str">
        <f t="shared" si="94"/>
        <v>Category</v>
      </c>
      <c r="BP63" s="3"/>
    </row>
    <row r="64" spans="1:69" hidden="1" x14ac:dyDescent="0.15">
      <c r="A64" s="78" t="s">
        <v>137</v>
      </c>
      <c r="B64" s="13" t="s">
        <v>138</v>
      </c>
      <c r="C64" s="13" t="s">
        <v>27</v>
      </c>
      <c r="D64" s="13" t="s">
        <v>55</v>
      </c>
      <c r="E64" s="13" t="s">
        <v>32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5">
        <v>168164.17</v>
      </c>
      <c r="N64" s="670">
        <v>572811.38</v>
      </c>
      <c r="O64" s="14">
        <v>294210.18</v>
      </c>
      <c r="P64" s="15">
        <v>281930.38</v>
      </c>
      <c r="Q64" s="15">
        <f>IF(ISTEXT('Incurred 2.5% cpi'!Q64),"",'Incurred 2.5% cpi'!Q64/'Incurred 2.5% cpi'!Q$17*Incurred!Q$17)</f>
        <v>4171.92</v>
      </c>
      <c r="R64" s="110" t="str">
        <f>IF(ISTEXT('Incurred 2.5% cpi'!R64),"",'Incurred 2.5% cpi'!R64/'Incurred 2.5% cpi'!R$17*Incurred!R$17*BG64)</f>
        <v/>
      </c>
      <c r="S64" s="102" t="str">
        <f>IF(ISTEXT('Incurred 2.5% cpi'!S64),"",'Incurred 2.5% cpi'!S64/'Incurred 2.5% cpi'!S$17*Incurred!S$17*BH64)</f>
        <v/>
      </c>
      <c r="T64" s="16" t="str">
        <f>IF(ISTEXT('Incurred 2.5% cpi'!T64),"",'Incurred 2.5% cpi'!T64/'Incurred 2.5% cpi'!T$17*Incurred!T$17*BI64)</f>
        <v/>
      </c>
      <c r="U64" s="16" t="str">
        <f>IF(ISTEXT('Incurred 2.5% cpi'!U64),"",'Incurred 2.5% cpi'!U64/'Incurred 2.5% cpi'!U$17*Incurred!U$17*BJ64)</f>
        <v/>
      </c>
      <c r="V64" s="16" t="str">
        <f>IF(ISTEXT('Incurred 2.5% cpi'!V64),"",'Incurred 2.5% cpi'!V64/'Incurred 2.5% cpi'!V$17*Incurred!V$17*BK64)</f>
        <v/>
      </c>
      <c r="W64" s="110" t="str">
        <f>IF(ISTEXT('Incurred 2.5% cpi'!W64),"",'Incurred 2.5% cpi'!W64/'Incurred 2.5% cpi'!W$17*Incurred!W$17*BL64)</f>
        <v/>
      </c>
      <c r="X64" s="102" t="str">
        <f>IF(ISTEXT('Incurred 2.5% cpi'!X64),"",'Incurred 2.5% cpi'!X64/'Incurred 2.5% cpi'!X$17*Incurred!X$17*BM64)</f>
        <v/>
      </c>
      <c r="Y64" s="80">
        <f t="shared" si="113"/>
        <v>1321288.0299999998</v>
      </c>
      <c r="Z64" s="80">
        <f t="shared" si="81"/>
        <v>1321288.0299999998</v>
      </c>
      <c r="AA64" s="566">
        <f t="shared" si="82"/>
        <v>1598628.5724541475</v>
      </c>
      <c r="AB64" s="566">
        <f t="shared" si="83"/>
        <v>1378492.4078621268</v>
      </c>
      <c r="AC64" s="567">
        <f t="shared" si="84"/>
        <v>1.1596934182128902</v>
      </c>
      <c r="AD64" s="568" t="str">
        <f t="shared" si="85"/>
        <v>2017</v>
      </c>
      <c r="AE64" s="569">
        <v>42472</v>
      </c>
      <c r="AF64" s="568" t="s">
        <v>3152</v>
      </c>
      <c r="AG64" s="569"/>
      <c r="AH64" s="566">
        <f t="shared" si="114"/>
        <v>1412954.71805868</v>
      </c>
      <c r="AI64" s="80">
        <f t="shared" si="86"/>
        <v>4171.92</v>
      </c>
      <c r="AJ64" s="571" t="s">
        <v>0</v>
      </c>
      <c r="AK64" s="875">
        <f t="shared" si="87"/>
        <v>0</v>
      </c>
      <c r="AL64" s="28">
        <f t="shared" si="118"/>
        <v>0</v>
      </c>
      <c r="AM64" s="28">
        <f t="shared" si="118"/>
        <v>0</v>
      </c>
      <c r="AN64" s="28">
        <f t="shared" si="118"/>
        <v>0</v>
      </c>
      <c r="AO64" s="28">
        <f t="shared" si="118"/>
        <v>1</v>
      </c>
      <c r="AP64" s="28">
        <f t="shared" si="118"/>
        <v>0</v>
      </c>
      <c r="AQ64" s="28">
        <f t="shared" si="118"/>
        <v>0</v>
      </c>
      <c r="AR64" s="28">
        <f t="shared" si="118"/>
        <v>0</v>
      </c>
      <c r="AS64" s="28">
        <f t="shared" si="118"/>
        <v>0</v>
      </c>
      <c r="AT64" s="28">
        <f t="shared" si="118"/>
        <v>0</v>
      </c>
      <c r="AU64" s="28">
        <f t="shared" si="118"/>
        <v>0</v>
      </c>
      <c r="AV64" s="28">
        <f t="shared" si="119"/>
        <v>0</v>
      </c>
      <c r="AW64" s="28">
        <f t="shared" si="119"/>
        <v>0</v>
      </c>
      <c r="AX64" s="28">
        <f t="shared" si="119"/>
        <v>0</v>
      </c>
      <c r="AY64" s="28">
        <f t="shared" si="119"/>
        <v>0</v>
      </c>
      <c r="AZ64" s="28">
        <f t="shared" si="119"/>
        <v>0</v>
      </c>
      <c r="BA64" s="28">
        <f t="shared" si="119"/>
        <v>0</v>
      </c>
      <c r="BB64" s="28">
        <f t="shared" si="119"/>
        <v>0</v>
      </c>
      <c r="BC64" s="28">
        <f t="shared" si="119"/>
        <v>0</v>
      </c>
      <c r="BD64" s="28">
        <f t="shared" si="119"/>
        <v>0</v>
      </c>
      <c r="BE64" s="28">
        <f t="shared" si="119"/>
        <v>0</v>
      </c>
      <c r="BF64" s="27">
        <f t="shared" si="117"/>
        <v>1</v>
      </c>
      <c r="BG64" s="520">
        <f t="shared" si="112"/>
        <v>1.0046190746045656</v>
      </c>
      <c r="BH64" s="520">
        <f t="shared" si="88"/>
        <v>1.0088268933348963</v>
      </c>
      <c r="BI64" s="520">
        <f t="shared" si="89"/>
        <v>1.0133808891912874</v>
      </c>
      <c r="BJ64" s="520">
        <f t="shared" si="90"/>
        <v>1.018641287824382</v>
      </c>
      <c r="BK64" s="520">
        <f t="shared" si="91"/>
        <v>1.0263050529092395</v>
      </c>
      <c r="BL64" s="520">
        <f t="shared" si="92"/>
        <v>1.0349254280901359</v>
      </c>
      <c r="BM64" s="520">
        <f t="shared" si="93"/>
        <v>1.0406965352376705</v>
      </c>
      <c r="BN64" s="521" t="str">
        <f t="shared" si="94"/>
        <v>Category</v>
      </c>
      <c r="BP64" s="3"/>
    </row>
    <row r="65" spans="1:69" hidden="1" x14ac:dyDescent="0.15">
      <c r="A65" s="78" t="s">
        <v>139</v>
      </c>
      <c r="B65" s="13" t="s">
        <v>140</v>
      </c>
      <c r="C65" s="13" t="s">
        <v>27</v>
      </c>
      <c r="D65" s="13" t="s">
        <v>55</v>
      </c>
      <c r="E65" s="13" t="s">
        <v>32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5">
        <v>4774.95</v>
      </c>
      <c r="N65" s="670">
        <v>5096.9799999999996</v>
      </c>
      <c r="O65" s="14">
        <v>10581.42</v>
      </c>
      <c r="P65" s="15">
        <v>31114.43</v>
      </c>
      <c r="Q65" s="15">
        <f>IF(ISTEXT('Incurred 2.5% cpi'!Q65),"",'Incurred 2.5% cpi'!Q65/'Incurred 2.5% cpi'!Q$17*Incurred!Q$17)</f>
        <v>3969.64</v>
      </c>
      <c r="R65" s="110" t="str">
        <f>IF(ISTEXT('Incurred 2.5% cpi'!R65),"",'Incurred 2.5% cpi'!R65/'Incurred 2.5% cpi'!R$17*Incurred!R$17*BG65)</f>
        <v/>
      </c>
      <c r="S65" s="102" t="str">
        <f>IF(ISTEXT('Incurred 2.5% cpi'!S65),"",'Incurred 2.5% cpi'!S65/'Incurred 2.5% cpi'!S$17*Incurred!S$17*BH65)</f>
        <v/>
      </c>
      <c r="T65" s="16" t="str">
        <f>IF(ISTEXT('Incurred 2.5% cpi'!T65),"",'Incurred 2.5% cpi'!T65/'Incurred 2.5% cpi'!T$17*Incurred!T$17*BI65)</f>
        <v/>
      </c>
      <c r="U65" s="16" t="str">
        <f>IF(ISTEXT('Incurred 2.5% cpi'!U65),"",'Incurred 2.5% cpi'!U65/'Incurred 2.5% cpi'!U$17*Incurred!U$17*BJ65)</f>
        <v/>
      </c>
      <c r="V65" s="16" t="str">
        <f>IF(ISTEXT('Incurred 2.5% cpi'!V65),"",'Incurred 2.5% cpi'!V65/'Incurred 2.5% cpi'!V$17*Incurred!V$17*BK65)</f>
        <v/>
      </c>
      <c r="W65" s="110" t="str">
        <f>IF(ISTEXT('Incurred 2.5% cpi'!W65),"",'Incurred 2.5% cpi'!W65/'Incurred 2.5% cpi'!W$17*Incurred!W$17*BL65)</f>
        <v/>
      </c>
      <c r="X65" s="102" t="str">
        <f>IF(ISTEXT('Incurred 2.5% cpi'!X65),"",'Incurred 2.5% cpi'!X65/'Incurred 2.5% cpi'!X$17*Incurred!X$17*BM65)</f>
        <v/>
      </c>
      <c r="Y65" s="80">
        <f t="shared" si="113"/>
        <v>55537.42</v>
      </c>
      <c r="Z65" s="80">
        <f t="shared" si="81"/>
        <v>55537.42</v>
      </c>
      <c r="AA65" s="566">
        <f t="shared" si="82"/>
        <v>66322.560609667955</v>
      </c>
      <c r="AB65" s="566">
        <f t="shared" si="83"/>
        <v>57189.736156192295</v>
      </c>
      <c r="AC65" s="567">
        <f t="shared" si="84"/>
        <v>1.1596934182128902</v>
      </c>
      <c r="AD65" s="568" t="str">
        <f t="shared" si="85"/>
        <v>2017</v>
      </c>
      <c r="AE65" s="569">
        <v>42524</v>
      </c>
      <c r="AF65" s="568" t="s">
        <v>3152</v>
      </c>
      <c r="AG65" s="569"/>
      <c r="AH65" s="566">
        <f t="shared" si="114"/>
        <v>58619.47956009709</v>
      </c>
      <c r="AI65" s="80">
        <f t="shared" si="86"/>
        <v>3969.64</v>
      </c>
      <c r="AJ65" s="571" t="s">
        <v>0</v>
      </c>
      <c r="AK65" s="875">
        <f t="shared" si="87"/>
        <v>0</v>
      </c>
      <c r="AL65" s="28">
        <f t="shared" si="118"/>
        <v>0</v>
      </c>
      <c r="AM65" s="28">
        <f t="shared" si="118"/>
        <v>0</v>
      </c>
      <c r="AN65" s="28">
        <f t="shared" si="118"/>
        <v>0</v>
      </c>
      <c r="AO65" s="28">
        <f t="shared" si="118"/>
        <v>1</v>
      </c>
      <c r="AP65" s="28">
        <f t="shared" si="118"/>
        <v>0</v>
      </c>
      <c r="AQ65" s="28">
        <f t="shared" si="118"/>
        <v>0</v>
      </c>
      <c r="AR65" s="28">
        <f t="shared" si="118"/>
        <v>0</v>
      </c>
      <c r="AS65" s="28">
        <f t="shared" si="118"/>
        <v>0</v>
      </c>
      <c r="AT65" s="28">
        <f t="shared" si="118"/>
        <v>0</v>
      </c>
      <c r="AU65" s="28">
        <f t="shared" si="118"/>
        <v>0</v>
      </c>
      <c r="AV65" s="28">
        <f t="shared" si="119"/>
        <v>0</v>
      </c>
      <c r="AW65" s="28">
        <f t="shared" si="119"/>
        <v>0</v>
      </c>
      <c r="AX65" s="28">
        <f t="shared" si="119"/>
        <v>0</v>
      </c>
      <c r="AY65" s="28">
        <f t="shared" si="119"/>
        <v>0</v>
      </c>
      <c r="AZ65" s="28">
        <f t="shared" si="119"/>
        <v>0</v>
      </c>
      <c r="BA65" s="28">
        <f t="shared" si="119"/>
        <v>0</v>
      </c>
      <c r="BB65" s="28">
        <f t="shared" si="119"/>
        <v>0</v>
      </c>
      <c r="BC65" s="28">
        <f t="shared" si="119"/>
        <v>0</v>
      </c>
      <c r="BD65" s="28">
        <f t="shared" si="119"/>
        <v>0</v>
      </c>
      <c r="BE65" s="28">
        <f t="shared" si="119"/>
        <v>0</v>
      </c>
      <c r="BF65" s="27">
        <f t="shared" si="117"/>
        <v>1</v>
      </c>
      <c r="BG65" s="520">
        <f t="shared" si="112"/>
        <v>1.0046190746045656</v>
      </c>
      <c r="BH65" s="520">
        <f t="shared" si="88"/>
        <v>1.0088268933348963</v>
      </c>
      <c r="BI65" s="520">
        <f t="shared" si="89"/>
        <v>1.0133808891912874</v>
      </c>
      <c r="BJ65" s="520">
        <f t="shared" si="90"/>
        <v>1.018641287824382</v>
      </c>
      <c r="BK65" s="520">
        <f t="shared" si="91"/>
        <v>1.0263050529092395</v>
      </c>
      <c r="BL65" s="520">
        <f t="shared" si="92"/>
        <v>1.0349254280901359</v>
      </c>
      <c r="BM65" s="520">
        <f t="shared" si="93"/>
        <v>1.0406965352376705</v>
      </c>
      <c r="BN65" s="521" t="str">
        <f t="shared" si="94"/>
        <v>Category</v>
      </c>
      <c r="BP65" s="3"/>
    </row>
    <row r="66" spans="1:69" hidden="1" x14ac:dyDescent="0.15">
      <c r="A66" s="12" t="s">
        <v>143</v>
      </c>
      <c r="B66" s="13" t="s">
        <v>3165</v>
      </c>
      <c r="C66" s="13" t="s">
        <v>2983</v>
      </c>
      <c r="D66" s="13" t="s">
        <v>28</v>
      </c>
      <c r="E66" s="13" t="s">
        <v>29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5">
        <v>0</v>
      </c>
      <c r="N66" s="670"/>
      <c r="O66" s="14"/>
      <c r="P66" s="15"/>
      <c r="Q66" s="15">
        <f>IF(ISTEXT('Incurred 2.5% cpi'!Q66),"",'Incurred 2.5% cpi'!Q66/'Incurred 2.5% cpi'!Q$17*Incurred!Q$17)</f>
        <v>103637.5</v>
      </c>
      <c r="R66" s="110">
        <f>IF(ISTEXT('Incurred 2.5% cpi'!R66),"",'Incurred 2.5% cpi'!R66/'Incurred 2.5% cpi'!R$17*Incurred!R$17*BG66)</f>
        <v>849539.17808722646</v>
      </c>
      <c r="S66" s="102" t="str">
        <f>IF(ISTEXT('Incurred 2.5% cpi'!S66),"",'Incurred 2.5% cpi'!S66/'Incurred 2.5% cpi'!S$17*Incurred!S$17*BH66)</f>
        <v/>
      </c>
      <c r="T66" s="16" t="str">
        <f>IF(ISTEXT('Incurred 2.5% cpi'!T66),"",'Incurred 2.5% cpi'!T66/'Incurred 2.5% cpi'!T$17*Incurred!T$17*BI66)</f>
        <v/>
      </c>
      <c r="U66" s="16" t="str">
        <f>IF(ISTEXT('Incurred 2.5% cpi'!U66),"",'Incurred 2.5% cpi'!U66/'Incurred 2.5% cpi'!U$17*Incurred!U$17*BJ66)</f>
        <v/>
      </c>
      <c r="V66" s="16" t="str">
        <f>IF(ISTEXT('Incurred 2.5% cpi'!V66),"",'Incurred 2.5% cpi'!V66/'Incurred 2.5% cpi'!V$17*Incurred!V$17*BK66)</f>
        <v/>
      </c>
      <c r="W66" s="110" t="str">
        <f>IF(ISTEXT('Incurred 2.5% cpi'!W66),"",'Incurred 2.5% cpi'!W66/'Incurred 2.5% cpi'!W$17*Incurred!W$17*BL66)</f>
        <v/>
      </c>
      <c r="X66" s="102" t="str">
        <f>IF(ISTEXT('Incurred 2.5% cpi'!X66),"",'Incurred 2.5% cpi'!X66/'Incurred 2.5% cpi'!X$17*Incurred!X$17*BM66)</f>
        <v/>
      </c>
      <c r="Y66" s="80">
        <f t="shared" si="113"/>
        <v>953176.67808722646</v>
      </c>
      <c r="Z66" s="80">
        <f t="shared" si="81"/>
        <v>953176.67808722646</v>
      </c>
      <c r="AA66" s="566">
        <f t="shared" si="82"/>
        <v>1081363.3298902775</v>
      </c>
      <c r="AB66" s="566">
        <f t="shared" si="83"/>
        <v>955767.61558722646</v>
      </c>
      <c r="AC66" s="567">
        <f t="shared" si="84"/>
        <v>1.1314082128906247</v>
      </c>
      <c r="AD66" s="568" t="str">
        <f t="shared" si="85"/>
        <v>2018</v>
      </c>
      <c r="AE66" s="569">
        <v>43080</v>
      </c>
      <c r="AF66" s="568">
        <v>2018</v>
      </c>
      <c r="AG66" s="569"/>
      <c r="AH66" s="566">
        <f t="shared" ref="AH66:AH71" si="120">IF(ROUND(Y66,0)=0,0,SUMPRODUCT($F$19:$W$19,F66:W66))</f>
        <v>955767.61558722646</v>
      </c>
      <c r="AI66" s="80">
        <f t="shared" si="86"/>
        <v>849539.17808722646</v>
      </c>
      <c r="AJ66" s="571" t="s">
        <v>0</v>
      </c>
      <c r="AK66" s="875">
        <f>IF(ISNA(VLOOKUP(LEFT($A66,8),Estimates,72,FALSE)),0,VLOOKUP(LEFT($A66,8),Estimates,72,FALSE))</f>
        <v>613634.6140590799</v>
      </c>
      <c r="AL66" s="28">
        <f t="shared" ref="AL66:AU69" si="121">IF($AK66=0,VLOOKUP(MID($A66,4,5),ProjectSplits,AL$23,FALSE),IF(ISNA(VLOOKUP($A66,Estimates,AL$22,FALSE)),VLOOKUP(MID($A66,4,5),ProjectSplits,AL$23,FALSE),VLOOKUP($A66,Estimates,AL$22,FALSE)))</f>
        <v>0</v>
      </c>
      <c r="AM66" s="28">
        <f t="shared" si="121"/>
        <v>0</v>
      </c>
      <c r="AN66" s="28">
        <f t="shared" si="121"/>
        <v>0</v>
      </c>
      <c r="AO66" s="28">
        <f t="shared" si="121"/>
        <v>0</v>
      </c>
      <c r="AP66" s="28">
        <f t="shared" si="121"/>
        <v>0</v>
      </c>
      <c r="AQ66" s="28">
        <f t="shared" si="121"/>
        <v>0</v>
      </c>
      <c r="AR66" s="28">
        <f t="shared" si="121"/>
        <v>0</v>
      </c>
      <c r="AS66" s="28">
        <f t="shared" si="121"/>
        <v>0</v>
      </c>
      <c r="AT66" s="28">
        <f t="shared" si="121"/>
        <v>0</v>
      </c>
      <c r="AU66" s="28">
        <f t="shared" si="121"/>
        <v>5.3549782308786563E-2</v>
      </c>
      <c r="AV66" s="28">
        <f t="shared" ref="AV66:BE69" si="122">IF($AK66=0,VLOOKUP(MID($A66,4,5),ProjectSplits,AV$23,FALSE),IF(ISNA(VLOOKUP($A66,Estimates,AV$22,FALSE)),VLOOKUP(MID($A66,4,5),ProjectSplits,AV$23,FALSE),VLOOKUP($A66,Estimates,AV$22,FALSE)))</f>
        <v>0</v>
      </c>
      <c r="AW66" s="28">
        <f t="shared" si="122"/>
        <v>0</v>
      </c>
      <c r="AX66" s="28">
        <f t="shared" si="122"/>
        <v>0</v>
      </c>
      <c r="AY66" s="28">
        <f t="shared" si="122"/>
        <v>0</v>
      </c>
      <c r="AZ66" s="28">
        <f t="shared" si="122"/>
        <v>3.2592685519650985E-2</v>
      </c>
      <c r="BA66" s="28">
        <f t="shared" si="122"/>
        <v>0.73088869790500288</v>
      </c>
      <c r="BB66" s="28">
        <f t="shared" si="122"/>
        <v>0</v>
      </c>
      <c r="BC66" s="28">
        <f t="shared" si="122"/>
        <v>0</v>
      </c>
      <c r="BD66" s="28">
        <f t="shared" si="122"/>
        <v>0.18296883426655944</v>
      </c>
      <c r="BE66" s="28">
        <f t="shared" si="122"/>
        <v>0</v>
      </c>
      <c r="BF66" s="27">
        <f t="shared" ref="BF66:BF69" si="123">SUM(AL66:BD66)</f>
        <v>0.99999999999999978</v>
      </c>
      <c r="BG66" s="520">
        <f t="shared" si="112"/>
        <v>1.0030444840366091</v>
      </c>
      <c r="BH66" s="520">
        <f t="shared" si="88"/>
        <v>1.0058179046998681</v>
      </c>
      <c r="BI66" s="520">
        <f t="shared" si="89"/>
        <v>1.0088194946014175</v>
      </c>
      <c r="BJ66" s="520">
        <f t="shared" si="90"/>
        <v>1.0122866825201464</v>
      </c>
      <c r="BK66" s="520">
        <f t="shared" si="91"/>
        <v>1.0173379563051834</v>
      </c>
      <c r="BL66" s="520">
        <f t="shared" si="92"/>
        <v>1.023019742566414</v>
      </c>
      <c r="BM66" s="520">
        <f t="shared" si="93"/>
        <v>1.026823544212498</v>
      </c>
      <c r="BN66" s="521" t="str">
        <f t="shared" si="94"/>
        <v>Category</v>
      </c>
      <c r="BP66" s="3"/>
    </row>
    <row r="67" spans="1:69" hidden="1" x14ac:dyDescent="0.15">
      <c r="A67" s="12" t="s">
        <v>145</v>
      </c>
      <c r="B67" s="13" t="s">
        <v>146</v>
      </c>
      <c r="C67" s="13" t="s">
        <v>27</v>
      </c>
      <c r="D67" s="13" t="s">
        <v>55</v>
      </c>
      <c r="E67" s="13" t="s">
        <v>29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2779.78</v>
      </c>
      <c r="M67" s="15">
        <v>92423.92</v>
      </c>
      <c r="N67" s="670">
        <v>103824.38</v>
      </c>
      <c r="O67" s="14">
        <v>270251.33</v>
      </c>
      <c r="P67" s="15">
        <v>892352.87</v>
      </c>
      <c r="Q67" s="15">
        <f>IF(ISTEXT('Incurred 2.5% cpi'!Q67),"",'Incurred 2.5% cpi'!Q67/'Incurred 2.5% cpi'!Q$17*Incurred!Q$17)</f>
        <v>340965.75</v>
      </c>
      <c r="R67" s="110">
        <f>IF(ISTEXT('Incurred 2.5% cpi'!R67),"",'Incurred 2.5% cpi'!R67/'Incurred 2.5% cpi'!R$17*Incurred!R$17*BG67)</f>
        <v>676511.88125922822</v>
      </c>
      <c r="S67" s="102" t="str">
        <f>IF(ISTEXT('Incurred 2.5% cpi'!S67),"",'Incurred 2.5% cpi'!S67/'Incurred 2.5% cpi'!S$17*Incurred!S$17*BH67)</f>
        <v/>
      </c>
      <c r="T67" s="16" t="str">
        <f>IF(ISTEXT('Incurred 2.5% cpi'!T67),"",'Incurred 2.5% cpi'!T67/'Incurred 2.5% cpi'!T$17*Incurred!T$17*BI67)</f>
        <v/>
      </c>
      <c r="U67" s="16" t="str">
        <f>IF(ISTEXT('Incurred 2.5% cpi'!U67),"",'Incurred 2.5% cpi'!U67/'Incurred 2.5% cpi'!U$17*Incurred!U$17*BJ67)</f>
        <v/>
      </c>
      <c r="V67" s="16" t="str">
        <f>IF(ISTEXT('Incurred 2.5% cpi'!V67),"",'Incurred 2.5% cpi'!V67/'Incurred 2.5% cpi'!V$17*Incurred!V$17*BK67)</f>
        <v/>
      </c>
      <c r="W67" s="110" t="str">
        <f>IF(ISTEXT('Incurred 2.5% cpi'!W67),"",'Incurred 2.5% cpi'!W67/'Incurred 2.5% cpi'!W$17*Incurred!W$17*BL67)</f>
        <v/>
      </c>
      <c r="X67" s="102" t="str">
        <f>IF(ISTEXT('Incurred 2.5% cpi'!X67),"",'Incurred 2.5% cpi'!X67/'Incurred 2.5% cpi'!X$17*Incurred!X$17*BM67)</f>
        <v/>
      </c>
      <c r="Y67" s="80">
        <f t="shared" si="113"/>
        <v>2379109.9112592284</v>
      </c>
      <c r="Z67" s="80">
        <f t="shared" si="81"/>
        <v>2379109.9112592284</v>
      </c>
      <c r="AA67" s="566">
        <f t="shared" si="82"/>
        <v>2787404.9279668145</v>
      </c>
      <c r="AB67" s="566">
        <f t="shared" si="83"/>
        <v>2463659.7968873666</v>
      </c>
      <c r="AC67" s="567">
        <f t="shared" si="84"/>
        <v>1.1314082128906247</v>
      </c>
      <c r="AD67" s="568" t="str">
        <f t="shared" si="85"/>
        <v>2018</v>
      </c>
      <c r="AE67" s="569">
        <v>42916</v>
      </c>
      <c r="AF67" s="568">
        <v>2018</v>
      </c>
      <c r="AG67" s="569"/>
      <c r="AH67" s="566">
        <f t="shared" si="120"/>
        <v>2463659.7968873661</v>
      </c>
      <c r="AI67" s="80">
        <f t="shared" si="86"/>
        <v>676511.88125922822</v>
      </c>
      <c r="AJ67" s="571" t="s">
        <v>0</v>
      </c>
      <c r="AK67" s="875">
        <f t="shared" si="87"/>
        <v>0</v>
      </c>
      <c r="AL67" s="28">
        <f t="shared" si="121"/>
        <v>0</v>
      </c>
      <c r="AM67" s="28">
        <f t="shared" si="121"/>
        <v>0</v>
      </c>
      <c r="AN67" s="28">
        <f t="shared" si="121"/>
        <v>0</v>
      </c>
      <c r="AO67" s="28">
        <f t="shared" si="121"/>
        <v>1</v>
      </c>
      <c r="AP67" s="28">
        <f t="shared" si="121"/>
        <v>0</v>
      </c>
      <c r="AQ67" s="28">
        <f t="shared" si="121"/>
        <v>0</v>
      </c>
      <c r="AR67" s="28">
        <f t="shared" si="121"/>
        <v>0</v>
      </c>
      <c r="AS67" s="28">
        <f t="shared" si="121"/>
        <v>0</v>
      </c>
      <c r="AT67" s="28">
        <f t="shared" si="121"/>
        <v>0</v>
      </c>
      <c r="AU67" s="28">
        <f t="shared" si="121"/>
        <v>0</v>
      </c>
      <c r="AV67" s="28">
        <f t="shared" si="122"/>
        <v>0</v>
      </c>
      <c r="AW67" s="28">
        <f t="shared" si="122"/>
        <v>0</v>
      </c>
      <c r="AX67" s="28">
        <f t="shared" si="122"/>
        <v>0</v>
      </c>
      <c r="AY67" s="28">
        <f t="shared" si="122"/>
        <v>0</v>
      </c>
      <c r="AZ67" s="28">
        <f t="shared" si="122"/>
        <v>0</v>
      </c>
      <c r="BA67" s="28">
        <f t="shared" si="122"/>
        <v>0</v>
      </c>
      <c r="BB67" s="28">
        <f t="shared" si="122"/>
        <v>0</v>
      </c>
      <c r="BC67" s="28">
        <f t="shared" si="122"/>
        <v>0</v>
      </c>
      <c r="BD67" s="28">
        <f t="shared" si="122"/>
        <v>0</v>
      </c>
      <c r="BE67" s="28">
        <f t="shared" si="122"/>
        <v>0</v>
      </c>
      <c r="BF67" s="27">
        <f t="shared" si="123"/>
        <v>1</v>
      </c>
      <c r="BG67" s="520">
        <f t="shared" si="112"/>
        <v>1.0046190746045656</v>
      </c>
      <c r="BH67" s="520">
        <f t="shared" si="88"/>
        <v>1.0088268933348963</v>
      </c>
      <c r="BI67" s="520">
        <f t="shared" si="89"/>
        <v>1.0133808891912874</v>
      </c>
      <c r="BJ67" s="520">
        <f t="shared" si="90"/>
        <v>1.018641287824382</v>
      </c>
      <c r="BK67" s="520">
        <f t="shared" si="91"/>
        <v>1.0263050529092395</v>
      </c>
      <c r="BL67" s="520">
        <f t="shared" si="92"/>
        <v>1.0349254280901359</v>
      </c>
      <c r="BM67" s="520">
        <f t="shared" si="93"/>
        <v>1.0406965352376705</v>
      </c>
      <c r="BN67" s="521" t="str">
        <f t="shared" si="94"/>
        <v>Category</v>
      </c>
      <c r="BP67" s="3"/>
    </row>
    <row r="68" spans="1:69" hidden="1" x14ac:dyDescent="0.15">
      <c r="A68" s="12" t="s">
        <v>147</v>
      </c>
      <c r="B68" s="13" t="s">
        <v>148</v>
      </c>
      <c r="C68" s="13" t="s">
        <v>27</v>
      </c>
      <c r="D68" s="13" t="s">
        <v>55</v>
      </c>
      <c r="E68" s="13" t="s">
        <v>29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19050.560000000001</v>
      </c>
      <c r="M68" s="15">
        <v>39889.449999999997</v>
      </c>
      <c r="N68" s="670">
        <v>210929.43</v>
      </c>
      <c r="O68" s="14">
        <v>210134.06</v>
      </c>
      <c r="P68" s="15">
        <v>37989.519999999997</v>
      </c>
      <c r="Q68" s="15">
        <f>IF(ISTEXT('Incurred 2.5% cpi'!Q68),"",'Incurred 2.5% cpi'!Q68/'Incurred 2.5% cpi'!Q$17*Incurred!Q$17)</f>
        <v>76830.36</v>
      </c>
      <c r="R68" s="110">
        <f>IF(ISTEXT('Incurred 2.5% cpi'!R68),"",'Incurred 2.5% cpi'!R68/'Incurred 2.5% cpi'!R$17*Incurred!R$17*BG68)</f>
        <v>215081.77089264491</v>
      </c>
      <c r="S68" s="102" t="str">
        <f>IF(ISTEXT('Incurred 2.5% cpi'!S68),"",'Incurred 2.5% cpi'!S68/'Incurred 2.5% cpi'!S$17*Incurred!S$17*BH68)</f>
        <v/>
      </c>
      <c r="T68" s="16" t="str">
        <f>IF(ISTEXT('Incurred 2.5% cpi'!T68),"",'Incurred 2.5% cpi'!T68/'Incurred 2.5% cpi'!T$17*Incurred!T$17*BI68)</f>
        <v/>
      </c>
      <c r="U68" s="16" t="str">
        <f>IF(ISTEXT('Incurred 2.5% cpi'!U68),"",'Incurred 2.5% cpi'!U68/'Incurred 2.5% cpi'!U$17*Incurred!U$17*BJ68)</f>
        <v/>
      </c>
      <c r="V68" s="16" t="str">
        <f>IF(ISTEXT('Incurred 2.5% cpi'!V68),"",'Incurred 2.5% cpi'!V68/'Incurred 2.5% cpi'!V$17*Incurred!V$17*BK68)</f>
        <v/>
      </c>
      <c r="W68" s="110" t="str">
        <f>IF(ISTEXT('Incurred 2.5% cpi'!W68),"",'Incurred 2.5% cpi'!W68/'Incurred 2.5% cpi'!W$17*Incurred!W$17*BL68)</f>
        <v/>
      </c>
      <c r="X68" s="102" t="str">
        <f>IF(ISTEXT('Incurred 2.5% cpi'!X68),"",'Incurred 2.5% cpi'!X68/'Incurred 2.5% cpi'!X$17*Incurred!X$17*BM68)</f>
        <v/>
      </c>
      <c r="Y68" s="80">
        <f t="shared" si="113"/>
        <v>809905.15089264489</v>
      </c>
      <c r="Z68" s="80">
        <f t="shared" si="81"/>
        <v>809905.15089264489</v>
      </c>
      <c r="AA68" s="566">
        <f t="shared" si="82"/>
        <v>960376.54080093431</v>
      </c>
      <c r="AB68" s="566">
        <f t="shared" si="83"/>
        <v>848832.92330650217</v>
      </c>
      <c r="AC68" s="567">
        <f t="shared" si="84"/>
        <v>1.1314082128906247</v>
      </c>
      <c r="AD68" s="568" t="str">
        <f t="shared" si="85"/>
        <v>2018</v>
      </c>
      <c r="AE68" s="569">
        <v>43217</v>
      </c>
      <c r="AF68" s="568">
        <v>2018</v>
      </c>
      <c r="AG68" s="569"/>
      <c r="AH68" s="566">
        <f t="shared" si="120"/>
        <v>848832.92330650217</v>
      </c>
      <c r="AI68" s="80">
        <f t="shared" si="86"/>
        <v>215081.77089264491</v>
      </c>
      <c r="AJ68" s="571" t="s">
        <v>0</v>
      </c>
      <c r="AK68" s="875">
        <f t="shared" si="87"/>
        <v>0</v>
      </c>
      <c r="AL68" s="28">
        <f t="shared" si="121"/>
        <v>0</v>
      </c>
      <c r="AM68" s="28">
        <f t="shared" si="121"/>
        <v>0</v>
      </c>
      <c r="AN68" s="28">
        <f t="shared" si="121"/>
        <v>0</v>
      </c>
      <c r="AO68" s="28">
        <f t="shared" si="121"/>
        <v>1</v>
      </c>
      <c r="AP68" s="28">
        <f t="shared" si="121"/>
        <v>0</v>
      </c>
      <c r="AQ68" s="28">
        <f t="shared" si="121"/>
        <v>0</v>
      </c>
      <c r="AR68" s="28">
        <f t="shared" si="121"/>
        <v>0</v>
      </c>
      <c r="AS68" s="28">
        <f t="shared" si="121"/>
        <v>0</v>
      </c>
      <c r="AT68" s="28">
        <f t="shared" si="121"/>
        <v>0</v>
      </c>
      <c r="AU68" s="28">
        <f t="shared" si="121"/>
        <v>0</v>
      </c>
      <c r="AV68" s="28">
        <f t="shared" si="122"/>
        <v>0</v>
      </c>
      <c r="AW68" s="28">
        <f t="shared" si="122"/>
        <v>0</v>
      </c>
      <c r="AX68" s="28">
        <f t="shared" si="122"/>
        <v>0</v>
      </c>
      <c r="AY68" s="28">
        <f t="shared" si="122"/>
        <v>0</v>
      </c>
      <c r="AZ68" s="28">
        <f t="shared" si="122"/>
        <v>0</v>
      </c>
      <c r="BA68" s="28">
        <f t="shared" si="122"/>
        <v>0</v>
      </c>
      <c r="BB68" s="28">
        <f t="shared" si="122"/>
        <v>0</v>
      </c>
      <c r="BC68" s="28">
        <f t="shared" si="122"/>
        <v>0</v>
      </c>
      <c r="BD68" s="28">
        <f t="shared" si="122"/>
        <v>0</v>
      </c>
      <c r="BE68" s="28">
        <f t="shared" si="122"/>
        <v>0</v>
      </c>
      <c r="BF68" s="27">
        <f t="shared" si="123"/>
        <v>1</v>
      </c>
      <c r="BG68" s="520">
        <f t="shared" si="112"/>
        <v>1.0046190746045656</v>
      </c>
      <c r="BH68" s="520">
        <f t="shared" si="88"/>
        <v>1.0088268933348963</v>
      </c>
      <c r="BI68" s="520">
        <f t="shared" si="89"/>
        <v>1.0133808891912874</v>
      </c>
      <c r="BJ68" s="520">
        <f t="shared" si="90"/>
        <v>1.018641287824382</v>
      </c>
      <c r="BK68" s="520">
        <f t="shared" si="91"/>
        <v>1.0263050529092395</v>
      </c>
      <c r="BL68" s="520">
        <f t="shared" si="92"/>
        <v>1.0349254280901359</v>
      </c>
      <c r="BM68" s="520">
        <f t="shared" si="93"/>
        <v>1.0406965352376705</v>
      </c>
      <c r="BN68" s="521" t="str">
        <f t="shared" si="94"/>
        <v>Category</v>
      </c>
      <c r="BP68" s="3"/>
    </row>
    <row r="69" spans="1:69" hidden="1" x14ac:dyDescent="0.15">
      <c r="A69" s="12" t="s">
        <v>149</v>
      </c>
      <c r="B69" s="13" t="s">
        <v>150</v>
      </c>
      <c r="C69" s="13" t="s">
        <v>27</v>
      </c>
      <c r="D69" s="13" t="s">
        <v>40</v>
      </c>
      <c r="E69" s="13" t="s">
        <v>32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5">
        <v>0</v>
      </c>
      <c r="N69" s="670">
        <v>66382.09</v>
      </c>
      <c r="O69" s="14">
        <v>22057.79</v>
      </c>
      <c r="P69" s="15">
        <v>61400.09</v>
      </c>
      <c r="Q69" s="15" t="str">
        <f>IF(ISTEXT('Incurred 2.5% cpi'!Q69),"",'Incurred 2.5% cpi'!Q69/'Incurred 2.5% cpi'!Q$17*Incurred!Q$17)</f>
        <v/>
      </c>
      <c r="R69" s="110" t="str">
        <f>IF(ISTEXT('Incurred 2.5% cpi'!R69),"",'Incurred 2.5% cpi'!R69/'Incurred 2.5% cpi'!R$17*Incurred!R$17*BG69)</f>
        <v/>
      </c>
      <c r="S69" s="102" t="str">
        <f>IF(ISTEXT('Incurred 2.5% cpi'!S69),"",'Incurred 2.5% cpi'!S69/'Incurred 2.5% cpi'!S$17*Incurred!S$17*BH69)</f>
        <v/>
      </c>
      <c r="T69" s="16" t="str">
        <f>IF(ISTEXT('Incurred 2.5% cpi'!T69),"",'Incurred 2.5% cpi'!T69/'Incurred 2.5% cpi'!T$17*Incurred!T$17*BI69)</f>
        <v/>
      </c>
      <c r="U69" s="16" t="str">
        <f>IF(ISTEXT('Incurred 2.5% cpi'!U69),"",'Incurred 2.5% cpi'!U69/'Incurred 2.5% cpi'!U$17*Incurred!U$17*BJ69)</f>
        <v/>
      </c>
      <c r="V69" s="16" t="str">
        <f>IF(ISTEXT('Incurred 2.5% cpi'!V69),"",'Incurred 2.5% cpi'!V69/'Incurred 2.5% cpi'!V$17*Incurred!V$17*BK69)</f>
        <v/>
      </c>
      <c r="W69" s="110" t="str">
        <f>IF(ISTEXT('Incurred 2.5% cpi'!W69),"",'Incurred 2.5% cpi'!W69/'Incurred 2.5% cpi'!W$17*Incurred!W$17*BL69)</f>
        <v/>
      </c>
      <c r="X69" s="102" t="str">
        <f>IF(ISTEXT('Incurred 2.5% cpi'!X69),"",'Incurred 2.5% cpi'!X69/'Incurred 2.5% cpi'!X$17*Incurred!X$17*BM69)</f>
        <v/>
      </c>
      <c r="Y69" s="80">
        <f t="shared" si="113"/>
        <v>149839.97</v>
      </c>
      <c r="Z69" s="80">
        <f t="shared" si="81"/>
        <v>149839.97</v>
      </c>
      <c r="AA69" s="566">
        <f t="shared" si="82"/>
        <v>179893.2184760255</v>
      </c>
      <c r="AB69" s="566">
        <f t="shared" si="83"/>
        <v>151892.58814151902</v>
      </c>
      <c r="AC69" s="567">
        <f t="shared" si="84"/>
        <v>1.1843449418902401</v>
      </c>
      <c r="AD69" s="568" t="str">
        <f t="shared" si="85"/>
        <v>2016</v>
      </c>
      <c r="AE69" s="569">
        <v>42307</v>
      </c>
      <c r="AF69" s="568">
        <v>2016</v>
      </c>
      <c r="AG69" s="569"/>
      <c r="AH69" s="566">
        <f t="shared" si="120"/>
        <v>158999.39246191079</v>
      </c>
      <c r="AI69" s="80">
        <f t="shared" si="86"/>
        <v>61400.09</v>
      </c>
      <c r="AJ69" s="571" t="s">
        <v>0</v>
      </c>
      <c r="AK69" s="875">
        <f>IF(ISNA(VLOOKUP(LEFT($A69,8),Estimates,72,FALSE)),0,VLOOKUP(LEFT($A69,8),Estimates,72,FALSE))</f>
        <v>200000</v>
      </c>
      <c r="AL69" s="28">
        <f t="shared" si="121"/>
        <v>0</v>
      </c>
      <c r="AM69" s="28">
        <f t="shared" si="121"/>
        <v>0</v>
      </c>
      <c r="AN69" s="28">
        <f t="shared" si="121"/>
        <v>0</v>
      </c>
      <c r="AO69" s="28">
        <f t="shared" si="121"/>
        <v>1</v>
      </c>
      <c r="AP69" s="28">
        <f t="shared" si="121"/>
        <v>0</v>
      </c>
      <c r="AQ69" s="28">
        <f t="shared" si="121"/>
        <v>0</v>
      </c>
      <c r="AR69" s="28">
        <f t="shared" si="121"/>
        <v>0</v>
      </c>
      <c r="AS69" s="28">
        <f t="shared" si="121"/>
        <v>0</v>
      </c>
      <c r="AT69" s="28">
        <f t="shared" si="121"/>
        <v>0</v>
      </c>
      <c r="AU69" s="28">
        <f t="shared" si="121"/>
        <v>0</v>
      </c>
      <c r="AV69" s="28">
        <f t="shared" si="122"/>
        <v>0</v>
      </c>
      <c r="AW69" s="28">
        <f t="shared" si="122"/>
        <v>0</v>
      </c>
      <c r="AX69" s="28">
        <f t="shared" si="122"/>
        <v>0</v>
      </c>
      <c r="AY69" s="28">
        <f t="shared" si="122"/>
        <v>0</v>
      </c>
      <c r="AZ69" s="28">
        <f t="shared" si="122"/>
        <v>0</v>
      </c>
      <c r="BA69" s="28">
        <f t="shared" si="122"/>
        <v>0</v>
      </c>
      <c r="BB69" s="28">
        <f t="shared" si="122"/>
        <v>0</v>
      </c>
      <c r="BC69" s="28">
        <f t="shared" si="122"/>
        <v>0</v>
      </c>
      <c r="BD69" s="28">
        <f t="shared" si="122"/>
        <v>0</v>
      </c>
      <c r="BE69" s="28">
        <f t="shared" si="122"/>
        <v>0</v>
      </c>
      <c r="BF69" s="27">
        <f t="shared" si="123"/>
        <v>1</v>
      </c>
      <c r="BG69" s="520">
        <f t="shared" si="112"/>
        <v>1.0034498951996242</v>
      </c>
      <c r="BH69" s="520">
        <f t="shared" si="88"/>
        <v>1.0065926315443261</v>
      </c>
      <c r="BI69" s="520">
        <f t="shared" si="89"/>
        <v>1.0099939207178206</v>
      </c>
      <c r="BJ69" s="520">
        <f t="shared" si="90"/>
        <v>1.0139228081132494</v>
      </c>
      <c r="BK69" s="520">
        <f t="shared" si="91"/>
        <v>1.0196467222390713</v>
      </c>
      <c r="BL69" s="520">
        <f t="shared" si="92"/>
        <v>1.0260851094706045</v>
      </c>
      <c r="BM69" s="520">
        <f t="shared" si="93"/>
        <v>1.0303954349252136</v>
      </c>
      <c r="BN69" s="521" t="str">
        <f t="shared" si="94"/>
        <v>Category</v>
      </c>
      <c r="BP69" s="3"/>
    </row>
    <row r="70" spans="1:69" hidden="1" x14ac:dyDescent="0.15">
      <c r="A70" s="12" t="s">
        <v>151</v>
      </c>
      <c r="B70" s="13" t="s">
        <v>152</v>
      </c>
      <c r="C70" s="13" t="s">
        <v>27</v>
      </c>
      <c r="D70" s="13" t="s">
        <v>36</v>
      </c>
      <c r="E70" s="13" t="s">
        <v>32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5">
        <v>0</v>
      </c>
      <c r="N70" s="670">
        <v>29137.83</v>
      </c>
      <c r="O70" s="14">
        <v>9379.84</v>
      </c>
      <c r="P70" s="15">
        <v>1413.72</v>
      </c>
      <c r="Q70" s="15" t="str">
        <f>IF(ISTEXT('Incurred 2.5% cpi'!Q70),"",'Incurred 2.5% cpi'!Q70/'Incurred 2.5% cpi'!Q$17*Incurred!Q$17)</f>
        <v/>
      </c>
      <c r="R70" s="110" t="str">
        <f>IF(ISTEXT('Incurred 2.5% cpi'!R70),"",'Incurred 2.5% cpi'!R70/'Incurred 2.5% cpi'!R$17*Incurred!R$17*BG70)</f>
        <v/>
      </c>
      <c r="S70" s="102" t="str">
        <f>IF(ISTEXT('Incurred 2.5% cpi'!S70),"",'Incurred 2.5% cpi'!S70/'Incurred 2.5% cpi'!S$17*Incurred!S$17*BH70)</f>
        <v/>
      </c>
      <c r="T70" s="16" t="str">
        <f>IF(ISTEXT('Incurred 2.5% cpi'!T70),"",'Incurred 2.5% cpi'!T70/'Incurred 2.5% cpi'!T$17*Incurred!T$17*BI70)</f>
        <v/>
      </c>
      <c r="U70" s="16" t="str">
        <f>IF(ISTEXT('Incurred 2.5% cpi'!U70),"",'Incurred 2.5% cpi'!U70/'Incurred 2.5% cpi'!U$17*Incurred!U$17*BJ70)</f>
        <v/>
      </c>
      <c r="V70" s="16" t="str">
        <f>IF(ISTEXT('Incurred 2.5% cpi'!V70),"",'Incurred 2.5% cpi'!V70/'Incurred 2.5% cpi'!V$17*Incurred!V$17*BK70)</f>
        <v/>
      </c>
      <c r="W70" s="110" t="str">
        <f>IF(ISTEXT('Incurred 2.5% cpi'!W70),"",'Incurred 2.5% cpi'!W70/'Incurred 2.5% cpi'!W$17*Incurred!W$17*BL70)</f>
        <v/>
      </c>
      <c r="X70" s="102" t="str">
        <f>IF(ISTEXT('Incurred 2.5% cpi'!X70),"",'Incurred 2.5% cpi'!X70/'Incurred 2.5% cpi'!X$17*Incurred!X$17*BM70)</f>
        <v/>
      </c>
      <c r="Y70" s="80">
        <f t="shared" si="113"/>
        <v>39931.39</v>
      </c>
      <c r="Z70" s="80">
        <f t="shared" ref="Z70:Z100" si="124">-SUMIFS(F70:W70,F70:W70,"&lt;0")+SUMIFS(F70:W70,F70:W70,"&gt;0")</f>
        <v>39931.39</v>
      </c>
      <c r="AA70" s="566">
        <f t="shared" ref="AA70:AA100" si="125">IF(ROUND(Y70,0)=0,0,SUMPRODUCT($F$20:$W$20,F70:W70))</f>
        <v>48354.916965461918</v>
      </c>
      <c r="AB70" s="566">
        <f t="shared" ref="AB70:AB100" si="126">IF(AC70="","",AA70/AC70)</f>
        <v>39771.849044493829</v>
      </c>
      <c r="AC70" s="567">
        <f t="shared" ref="AC70:AC78" si="127">IF(AF70="","",IF(AF70&lt;AD70,INDEX($F$20:$W$20,1,MATCH(TEXT(AF70,"000"),$F$24:$W$24)),INDEX($F$20:$W$20,1,MATCH(AD70,$F$24:$W$24))))</f>
        <v>1.2158076158683491</v>
      </c>
      <c r="AD70" s="568" t="str">
        <f t="shared" ref="AD70:AD100" si="128">IF(AI70=0,"",INDEX($F$24:$W$24,1,MATCH(AI70,F70:W70,0)))</f>
        <v>2016</v>
      </c>
      <c r="AE70" s="569">
        <v>41744</v>
      </c>
      <c r="AF70" s="568">
        <v>2014</v>
      </c>
      <c r="AG70" s="569"/>
      <c r="AH70" s="566">
        <f t="shared" si="120"/>
        <v>42738.700686925702</v>
      </c>
      <c r="AI70" s="80">
        <f t="shared" ref="AI70:AI100" si="129">IF(ROUND(Z70,0)=0,0,LOOKUP(2,1/(F70:W70&lt;&gt;""),F70:W70))</f>
        <v>1413.72</v>
      </c>
      <c r="AJ70" s="571" t="s">
        <v>0</v>
      </c>
      <c r="AK70" s="875">
        <f>IF(ISNA(VLOOKUP(LEFT($A70,8),Estimates,72,FALSE)),0,VLOOKUP(LEFT($A70,8),Estimates,72,FALSE))</f>
        <v>49999.999999999993</v>
      </c>
      <c r="AL70" s="28">
        <f t="shared" ref="AL70:BE70" si="130">IF($AK70=0,VLOOKUP(MID($A70,4,5),ProjectSplits,AL$23,FALSE),IF(ISNA(VLOOKUP($A70,Estimates,AL$22,FALSE)),VLOOKUP(MID($A70,4,5),ProjectSplits,AL$23,FALSE),VLOOKUP($A70,Estimates,AL$22,FALSE)))</f>
        <v>1</v>
      </c>
      <c r="AM70" s="28">
        <f t="shared" si="130"/>
        <v>0</v>
      </c>
      <c r="AN70" s="28">
        <f t="shared" si="130"/>
        <v>0</v>
      </c>
      <c r="AO70" s="28">
        <f t="shared" si="130"/>
        <v>0</v>
      </c>
      <c r="AP70" s="28">
        <f t="shared" si="130"/>
        <v>0</v>
      </c>
      <c r="AQ70" s="28">
        <f t="shared" si="130"/>
        <v>0</v>
      </c>
      <c r="AR70" s="28">
        <f t="shared" si="130"/>
        <v>0</v>
      </c>
      <c r="AS70" s="28">
        <f t="shared" si="130"/>
        <v>0</v>
      </c>
      <c r="AT70" s="28">
        <f t="shared" si="130"/>
        <v>0</v>
      </c>
      <c r="AU70" s="28">
        <f t="shared" si="130"/>
        <v>0</v>
      </c>
      <c r="AV70" s="28">
        <f t="shared" si="130"/>
        <v>0</v>
      </c>
      <c r="AW70" s="28">
        <f t="shared" si="130"/>
        <v>0</v>
      </c>
      <c r="AX70" s="28">
        <f t="shared" si="130"/>
        <v>0</v>
      </c>
      <c r="AY70" s="28">
        <f t="shared" si="130"/>
        <v>0</v>
      </c>
      <c r="AZ70" s="28">
        <f t="shared" si="130"/>
        <v>0</v>
      </c>
      <c r="BA70" s="28">
        <f t="shared" si="130"/>
        <v>0</v>
      </c>
      <c r="BB70" s="28">
        <f t="shared" si="130"/>
        <v>0</v>
      </c>
      <c r="BC70" s="28">
        <f t="shared" si="130"/>
        <v>0</v>
      </c>
      <c r="BD70" s="28">
        <f t="shared" si="130"/>
        <v>0</v>
      </c>
      <c r="BE70" s="28">
        <f t="shared" si="130"/>
        <v>0</v>
      </c>
      <c r="BF70" s="27">
        <f>SUM(AL70:BD70)</f>
        <v>1</v>
      </c>
      <c r="BG70" s="520">
        <f t="shared" si="112"/>
        <v>1.0018756098697492</v>
      </c>
      <c r="BH70" s="520">
        <f t="shared" ref="BH70:BH100" si="131">1+IF(ISNA(VLOOKUP($A70,ProjLabEsc,7,FALSE)),VLOOKUP($D70,CatLabEsc,4,FALSE),VLOOKUP($A70,ProjLabEsc,7,FALSE))*LabEsc19*LabIn</f>
        <v>1.0035842262088148</v>
      </c>
      <c r="BI70" s="520">
        <f t="shared" ref="BI70:BI100" si="132">1+IF(ISNA(VLOOKUP($A70,ProjLabEsc,7,FALSE)),VLOOKUP($D70,CatLabEsc,4,FALSE),VLOOKUP($A70,ProjLabEsc,7,FALSE))*LabEsc20*LabIn</f>
        <v>1.0054334103650095</v>
      </c>
      <c r="BJ70" s="520">
        <f t="shared" ref="BJ70:BJ100" si="133">1+IF(ISNA(VLOOKUP($A70,ProjLabEsc,7,FALSE)),VLOOKUP($D70,CatLabEsc,4,FALSE),VLOOKUP($A70,ProjLabEsc,7,FALSE))*LabEsc21*LabIn</f>
        <v>1.007569434664183</v>
      </c>
      <c r="BK70" s="520">
        <f t="shared" ref="BK70:BK100" si="134">1+IF(ISNA(VLOOKUP($A70,ProjLabEsc,7,FALSE)),VLOOKUP($D70,CatLabEsc,4,FALSE),VLOOKUP($A70,ProjLabEsc,7,FALSE))*LabEsc22*LabIn</f>
        <v>1.0106813639277612</v>
      </c>
      <c r="BL70" s="520">
        <f t="shared" ref="BL70:BL100" si="135">1+IF(ISNA(VLOOKUP($A70,ProjLabEsc,7,FALSE)),VLOOKUP($D70,CatLabEsc,4,FALSE),VLOOKUP($A70,ProjLabEsc,7,FALSE))*LabEsc23*LabIn</f>
        <v>1.0141817318919957</v>
      </c>
      <c r="BM70" s="520">
        <f t="shared" ref="BM70:BM100" si="136">1+IF(ISNA(VLOOKUP($A70,ProjLabEsc,7,FALSE)),VLOOKUP($D70,CatLabEsc,4,FALSE),VLOOKUP($A70,ProjLabEsc,7,FALSE))*LabEsc24*LabIn</f>
        <v>1.0165251332119476</v>
      </c>
      <c r="BN70" s="521" t="str">
        <f t="shared" ref="BN70:BN100" si="137">IF(ISNA(VLOOKUP($A70,ProjLabEsc,7,FALSE)),"Category","Project")</f>
        <v>Category</v>
      </c>
      <c r="BP70" s="3"/>
    </row>
    <row r="71" spans="1:69" hidden="1" x14ac:dyDescent="0.15">
      <c r="A71" s="12" t="s">
        <v>153</v>
      </c>
      <c r="B71" s="13" t="s">
        <v>154</v>
      </c>
      <c r="C71" s="13" t="s">
        <v>27</v>
      </c>
      <c r="D71" s="13" t="s">
        <v>41</v>
      </c>
      <c r="E71" s="13" t="s">
        <v>29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5">
        <v>0</v>
      </c>
      <c r="N71" s="670">
        <v>754528.64</v>
      </c>
      <c r="O71" s="14">
        <v>2820453.82</v>
      </c>
      <c r="P71" s="15">
        <v>17958100.210000001</v>
      </c>
      <c r="Q71" s="15">
        <f>IF(ISTEXT('Incurred 2.5% cpi'!Q71),"",'Incurred 2.5% cpi'!Q71/'Incurred 2.5% cpi'!Q$17*Incurred!Q$17)</f>
        <v>18595733.140000001</v>
      </c>
      <c r="R71" s="110">
        <f>IF(ISTEXT('Incurred 2.5% cpi'!R71),"",'Incurred 2.5% cpi'!R71/'Incurred 2.5% cpi'!R$17*Incurred!R$17*BG71)</f>
        <v>8327235.7171268845</v>
      </c>
      <c r="S71" s="102">
        <f>IF(ISTEXT('Incurred 2.5% cpi'!S71),"",'Incurred 2.5% cpi'!S71/'Incurred 2.5% cpi'!S$17*Incurred!S$17*BH71)</f>
        <v>23770.98660501001</v>
      </c>
      <c r="T71" s="16" t="str">
        <f>IF(ISTEXT('Incurred 2.5% cpi'!T71),"",'Incurred 2.5% cpi'!T71/'Incurred 2.5% cpi'!T$17*Incurred!T$17*BI71)</f>
        <v/>
      </c>
      <c r="U71" s="16" t="str">
        <f>IF(ISTEXT('Incurred 2.5% cpi'!U71),"",'Incurred 2.5% cpi'!U71/'Incurred 2.5% cpi'!U$17*Incurred!U$17*BJ71)</f>
        <v/>
      </c>
      <c r="V71" s="16" t="str">
        <f>IF(ISTEXT('Incurred 2.5% cpi'!V71),"",'Incurred 2.5% cpi'!V71/'Incurred 2.5% cpi'!V$17*Incurred!V$17*BK71)</f>
        <v/>
      </c>
      <c r="W71" s="110" t="str">
        <f>IF(ISTEXT('Incurred 2.5% cpi'!W71),"",'Incurred 2.5% cpi'!W71/'Incurred 2.5% cpi'!W$17*Incurred!W$17*BL71)</f>
        <v/>
      </c>
      <c r="X71" s="102" t="str">
        <f>IF(ISTEXT('Incurred 2.5% cpi'!X71),"",'Incurred 2.5% cpi'!X71/'Incurred 2.5% cpi'!X$17*Incurred!X$17*BM71)</f>
        <v/>
      </c>
      <c r="Y71" s="80">
        <f t="shared" si="113"/>
        <v>48479822.513731897</v>
      </c>
      <c r="Z71" s="80">
        <f t="shared" si="124"/>
        <v>48479822.513731897</v>
      </c>
      <c r="AA71" s="566">
        <f t="shared" si="125"/>
        <v>56583215.850619391</v>
      </c>
      <c r="AB71" s="566">
        <f t="shared" si="126"/>
        <v>50011317.936304741</v>
      </c>
      <c r="AC71" s="567">
        <f t="shared" si="127"/>
        <v>1.1314082128906247</v>
      </c>
      <c r="AD71" s="568" t="str">
        <f t="shared" si="128"/>
        <v>2019</v>
      </c>
      <c r="AE71" s="569">
        <v>43124</v>
      </c>
      <c r="AF71" s="568">
        <v>2018</v>
      </c>
      <c r="AG71" s="569"/>
      <c r="AH71" s="566">
        <f t="shared" si="120"/>
        <v>50011317.936304741</v>
      </c>
      <c r="AI71" s="80">
        <f t="shared" si="129"/>
        <v>23770.98660501001</v>
      </c>
      <c r="AJ71" s="571" t="s">
        <v>0</v>
      </c>
      <c r="AK71" s="875">
        <f t="shared" ref="AK71:AK94" si="138">IF(ISNA(VLOOKUP($A71,Estimates,71,FALSE)),0,VLOOKUP($A71,Estimates,71,FALSE))</f>
        <v>0</v>
      </c>
      <c r="AL71" s="28">
        <f t="shared" ref="AL71:AU71" si="139">IF($AK71=0,VLOOKUP(MID($A71,4,5),ProjectSplits,AL$23,FALSE),IF(ISNA(VLOOKUP($A71,Estimates,AL$22,FALSE)),VLOOKUP(MID($A71,4,5),ProjectSplits,AL$23,FALSE),VLOOKUP($A71,Estimates,AL$22,FALSE)))</f>
        <v>0</v>
      </c>
      <c r="AM71" s="28">
        <f t="shared" si="139"/>
        <v>0</v>
      </c>
      <c r="AN71" s="28">
        <f t="shared" si="139"/>
        <v>0</v>
      </c>
      <c r="AO71" s="28">
        <f t="shared" si="139"/>
        <v>0</v>
      </c>
      <c r="AP71" s="28">
        <f t="shared" si="139"/>
        <v>0</v>
      </c>
      <c r="AQ71" s="28">
        <f t="shared" si="139"/>
        <v>0</v>
      </c>
      <c r="AR71" s="28">
        <f t="shared" si="139"/>
        <v>0</v>
      </c>
      <c r="AS71" s="28">
        <f t="shared" si="139"/>
        <v>0</v>
      </c>
      <c r="AT71" s="28">
        <f t="shared" si="139"/>
        <v>0</v>
      </c>
      <c r="AU71" s="28">
        <f t="shared" si="139"/>
        <v>0</v>
      </c>
      <c r="AV71" s="28">
        <f t="shared" ref="AV71:BE71" si="140">IF($AK71=0,VLOOKUP(MID($A71,4,5),ProjectSplits,AV$23,FALSE),IF(ISNA(VLOOKUP($A71,Estimates,AV$22,FALSE)),VLOOKUP(MID($A71,4,5),ProjectSplits,AV$23,FALSE),VLOOKUP($A71,Estimates,AV$22,FALSE)))</f>
        <v>0</v>
      </c>
      <c r="AW71" s="28">
        <f t="shared" si="140"/>
        <v>0</v>
      </c>
      <c r="AX71" s="28">
        <f t="shared" si="140"/>
        <v>0</v>
      </c>
      <c r="AY71" s="28">
        <f t="shared" si="140"/>
        <v>0</v>
      </c>
      <c r="AZ71" s="28">
        <f t="shared" si="140"/>
        <v>0</v>
      </c>
      <c r="BA71" s="28">
        <f t="shared" si="140"/>
        <v>0</v>
      </c>
      <c r="BB71" s="28">
        <f t="shared" si="140"/>
        <v>0</v>
      </c>
      <c r="BC71" s="28">
        <f t="shared" si="140"/>
        <v>0</v>
      </c>
      <c r="BD71" s="28">
        <f t="shared" si="140"/>
        <v>1</v>
      </c>
      <c r="BE71" s="28">
        <f t="shared" si="140"/>
        <v>0</v>
      </c>
      <c r="BF71" s="27">
        <f t="shared" ref="BF71" si="141">SUM(AL71:BD71)</f>
        <v>1</v>
      </c>
      <c r="BG71" s="520">
        <f t="shared" si="112"/>
        <v>1.0032293803584966</v>
      </c>
      <c r="BH71" s="520">
        <f t="shared" si="131"/>
        <v>1.0061712352370504</v>
      </c>
      <c r="BI71" s="520">
        <f t="shared" si="132"/>
        <v>1.0093551164319481</v>
      </c>
      <c r="BJ71" s="520">
        <f t="shared" si="133"/>
        <v>1.0130328721466506</v>
      </c>
      <c r="BK71" s="520">
        <f t="shared" si="134"/>
        <v>1.0183909177631274</v>
      </c>
      <c r="BL71" s="520">
        <f t="shared" si="135"/>
        <v>1.0244177678738711</v>
      </c>
      <c r="BM71" s="520">
        <f t="shared" si="136"/>
        <v>1.028452580399005</v>
      </c>
      <c r="BN71" s="521" t="str">
        <f t="shared" si="137"/>
        <v>Category</v>
      </c>
      <c r="BP71" s="3"/>
    </row>
    <row r="72" spans="1:69" hidden="1" x14ac:dyDescent="0.15">
      <c r="A72" s="12" t="s">
        <v>156</v>
      </c>
      <c r="B72" s="13" t="s">
        <v>157</v>
      </c>
      <c r="C72" s="13" t="s">
        <v>27</v>
      </c>
      <c r="D72" s="13" t="s">
        <v>41</v>
      </c>
      <c r="E72" s="13" t="s">
        <v>29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5">
        <v>0</v>
      </c>
      <c r="N72" s="670">
        <v>81635.7</v>
      </c>
      <c r="O72" s="14">
        <v>859178.68</v>
      </c>
      <c r="P72" s="15">
        <v>876093.75</v>
      </c>
      <c r="Q72" s="15">
        <f>IF(ISTEXT('Incurred 2.5% cpi'!Q72),"",'Incurred 2.5% cpi'!Q72/'Incurred 2.5% cpi'!Q$17*Incurred!Q$17)</f>
        <v>132655.29</v>
      </c>
      <c r="R72" s="110">
        <f>IF(ISTEXT('Incurred 2.5% cpi'!R72),"",'Incurred 2.5% cpi'!R72/'Incurred 2.5% cpi'!R$17*Incurred!R$17*BG72)</f>
        <v>82044.520082057599</v>
      </c>
      <c r="S72" s="102" t="str">
        <f>IF(ISTEXT('Incurred 2.5% cpi'!S72),"",'Incurred 2.5% cpi'!S72/'Incurred 2.5% cpi'!S$17*Incurred!S$17*BH72)</f>
        <v/>
      </c>
      <c r="T72" s="16" t="str">
        <f>IF(ISTEXT('Incurred 2.5% cpi'!T72),"",'Incurred 2.5% cpi'!T72/'Incurred 2.5% cpi'!T$17*Incurred!T$17*BI72)</f>
        <v/>
      </c>
      <c r="U72" s="16" t="str">
        <f>IF(ISTEXT('Incurred 2.5% cpi'!U72),"",'Incurred 2.5% cpi'!U72/'Incurred 2.5% cpi'!U$17*Incurred!U$17*BJ72)</f>
        <v/>
      </c>
      <c r="V72" s="16" t="str">
        <f>IF(ISTEXT('Incurred 2.5% cpi'!V72),"",'Incurred 2.5% cpi'!V72/'Incurred 2.5% cpi'!V$17*Incurred!V$17*BK72)</f>
        <v/>
      </c>
      <c r="W72" s="110" t="str">
        <f>IF(ISTEXT('Incurred 2.5% cpi'!W72),"",'Incurred 2.5% cpi'!W72/'Incurred 2.5% cpi'!W$17*Incurred!W$17*BL72)</f>
        <v/>
      </c>
      <c r="X72" s="102" t="str">
        <f>IF(ISTEXT('Incurred 2.5% cpi'!X72),"",'Incurred 2.5% cpi'!X72/'Incurred 2.5% cpi'!X$17*Incurred!X$17*BM72)</f>
        <v/>
      </c>
      <c r="Y72" s="80">
        <f t="shared" si="113"/>
        <v>2031607.9400820576</v>
      </c>
      <c r="Z72" s="80">
        <f t="shared" si="124"/>
        <v>2031607.9400820576</v>
      </c>
      <c r="AA72" s="566">
        <f t="shared" si="125"/>
        <v>2414418.5945406673</v>
      </c>
      <c r="AB72" s="566">
        <f t="shared" si="126"/>
        <v>2133994.226868913</v>
      </c>
      <c r="AC72" s="567">
        <f t="shared" si="127"/>
        <v>1.1314082128906247</v>
      </c>
      <c r="AD72" s="568" t="str">
        <f t="shared" si="128"/>
        <v>2018</v>
      </c>
      <c r="AE72" s="569">
        <v>42689</v>
      </c>
      <c r="AF72" s="568" t="s">
        <v>3152</v>
      </c>
      <c r="AG72" s="569"/>
      <c r="AH72" s="566">
        <f t="shared" ref="AH72:AH83" si="142">IF(ROUND(Y72,0)=0,0,SUMPRODUCT($F$19:$W$19,F72:W72))</f>
        <v>2133994.226868913</v>
      </c>
      <c r="AI72" s="80">
        <f t="shared" si="129"/>
        <v>82044.520082057599</v>
      </c>
      <c r="AJ72" s="571" t="s">
        <v>0</v>
      </c>
      <c r="AK72" s="875">
        <f>IF(ISNA(VLOOKUP(LEFT($A72,8),Estimates,72,FALSE)),0,VLOOKUP(LEFT($A72,8),Estimates,72,FALSE))</f>
        <v>1254957.6399999994</v>
      </c>
      <c r="AL72" s="28">
        <f t="shared" ref="AL72:AU79" si="143">IF($AK72=0,VLOOKUP(MID($A72,4,5),ProjectSplits,AL$23,FALSE),IF(ISNA(VLOOKUP($A72,Estimates,AL$22,FALSE)),VLOOKUP(MID($A72,4,5),ProjectSplits,AL$23,FALSE),VLOOKUP($A72,Estimates,AL$22,FALSE)))</f>
        <v>0</v>
      </c>
      <c r="AM72" s="28">
        <f t="shared" si="143"/>
        <v>0</v>
      </c>
      <c r="AN72" s="28">
        <f t="shared" si="143"/>
        <v>0</v>
      </c>
      <c r="AO72" s="28">
        <f t="shared" si="143"/>
        <v>0</v>
      </c>
      <c r="AP72" s="28">
        <f t="shared" si="143"/>
        <v>0</v>
      </c>
      <c r="AQ72" s="28">
        <f t="shared" si="143"/>
        <v>0</v>
      </c>
      <c r="AR72" s="28">
        <f t="shared" si="143"/>
        <v>0</v>
      </c>
      <c r="AS72" s="28">
        <f t="shared" si="143"/>
        <v>0</v>
      </c>
      <c r="AT72" s="28">
        <f t="shared" si="143"/>
        <v>0</v>
      </c>
      <c r="AU72" s="28">
        <f t="shared" si="143"/>
        <v>0</v>
      </c>
      <c r="AV72" s="28">
        <f t="shared" ref="AV72:BE79" si="144">IF($AK72=0,VLOOKUP(MID($A72,4,5),ProjectSplits,AV$23,FALSE),IF(ISNA(VLOOKUP($A72,Estimates,AV$22,FALSE)),VLOOKUP(MID($A72,4,5),ProjectSplits,AV$23,FALSE),VLOOKUP($A72,Estimates,AV$22,FALSE)))</f>
        <v>0</v>
      </c>
      <c r="AW72" s="28">
        <f t="shared" si="144"/>
        <v>0</v>
      </c>
      <c r="AX72" s="28">
        <f t="shared" si="144"/>
        <v>0</v>
      </c>
      <c r="AY72" s="28">
        <f t="shared" si="144"/>
        <v>0</v>
      </c>
      <c r="AZ72" s="28">
        <f t="shared" si="144"/>
        <v>0</v>
      </c>
      <c r="BA72" s="28">
        <f t="shared" si="144"/>
        <v>0</v>
      </c>
      <c r="BB72" s="28">
        <f t="shared" si="144"/>
        <v>0</v>
      </c>
      <c r="BC72" s="28">
        <f t="shared" si="144"/>
        <v>0</v>
      </c>
      <c r="BD72" s="28">
        <f t="shared" si="144"/>
        <v>1</v>
      </c>
      <c r="BE72" s="28">
        <f t="shared" si="144"/>
        <v>0</v>
      </c>
      <c r="BF72" s="27">
        <f t="shared" ref="BF72:BF83" si="145">SUM(AL72:BD72)</f>
        <v>1</v>
      </c>
      <c r="BG72" s="520">
        <f t="shared" si="112"/>
        <v>1.0032293803584966</v>
      </c>
      <c r="BH72" s="520">
        <f t="shared" si="131"/>
        <v>1.0061712352370504</v>
      </c>
      <c r="BI72" s="520">
        <f t="shared" si="132"/>
        <v>1.0093551164319481</v>
      </c>
      <c r="BJ72" s="520">
        <f t="shared" si="133"/>
        <v>1.0130328721466506</v>
      </c>
      <c r="BK72" s="520">
        <f t="shared" si="134"/>
        <v>1.0183909177631274</v>
      </c>
      <c r="BL72" s="520">
        <f t="shared" si="135"/>
        <v>1.0244177678738711</v>
      </c>
      <c r="BM72" s="520">
        <f t="shared" si="136"/>
        <v>1.028452580399005</v>
      </c>
      <c r="BN72" s="521" t="str">
        <f t="shared" si="137"/>
        <v>Category</v>
      </c>
      <c r="BP72" s="3">
        <f>SUMPRODUCT(F72:P72,$F$19:$P$19)/$Q$19</f>
        <v>1869246.8629627859</v>
      </c>
      <c r="BQ72" s="3"/>
    </row>
    <row r="73" spans="1:69" hidden="1" x14ac:dyDescent="0.15">
      <c r="A73" s="12" t="s">
        <v>158</v>
      </c>
      <c r="B73" s="13" t="s">
        <v>159</v>
      </c>
      <c r="C73" s="13" t="s">
        <v>27</v>
      </c>
      <c r="D73" s="13" t="s">
        <v>41</v>
      </c>
      <c r="E73" s="13" t="s">
        <v>29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5">
        <v>0</v>
      </c>
      <c r="N73" s="670">
        <v>63183.77</v>
      </c>
      <c r="O73" s="14">
        <v>543156.64</v>
      </c>
      <c r="P73" s="15">
        <v>4514330.08</v>
      </c>
      <c r="Q73" s="15">
        <f>IF(ISTEXT('Incurred 2.5% cpi'!Q73),"",'Incurred 2.5% cpi'!Q73/'Incurred 2.5% cpi'!Q$17*Incurred!Q$17)</f>
        <v>96723.91</v>
      </c>
      <c r="R73" s="110">
        <f>IF(ISTEXT('Incurred 2.5% cpi'!R73),"",'Incurred 2.5% cpi'!R73/'Incurred 2.5% cpi'!R$17*Incurred!R$17*BG73)</f>
        <v>180155.31726962919</v>
      </c>
      <c r="S73" s="102" t="str">
        <f>IF(ISTEXT('Incurred 2.5% cpi'!S73),"",'Incurred 2.5% cpi'!S73/'Incurred 2.5% cpi'!S$17*Incurred!S$17*BH73)</f>
        <v/>
      </c>
      <c r="T73" s="16" t="str">
        <f>IF(ISTEXT('Incurred 2.5% cpi'!T73),"",'Incurred 2.5% cpi'!T73/'Incurred 2.5% cpi'!T$17*Incurred!T$17*BI73)</f>
        <v/>
      </c>
      <c r="U73" s="16" t="str">
        <f>IF(ISTEXT('Incurred 2.5% cpi'!U73),"",'Incurred 2.5% cpi'!U73/'Incurred 2.5% cpi'!U$17*Incurred!U$17*BJ73)</f>
        <v/>
      </c>
      <c r="V73" s="16" t="str">
        <f>IF(ISTEXT('Incurred 2.5% cpi'!V73),"",'Incurred 2.5% cpi'!V73/'Incurred 2.5% cpi'!V$17*Incurred!V$17*BK73)</f>
        <v/>
      </c>
      <c r="W73" s="110" t="str">
        <f>IF(ISTEXT('Incurred 2.5% cpi'!W73),"",'Incurred 2.5% cpi'!W73/'Incurred 2.5% cpi'!W$17*Incurred!W$17*BL73)</f>
        <v/>
      </c>
      <c r="X73" s="102" t="str">
        <f>IF(ISTEXT('Incurred 2.5% cpi'!X73),"",'Incurred 2.5% cpi'!X73/'Incurred 2.5% cpi'!X$17*Incurred!X$17*BM73)</f>
        <v/>
      </c>
      <c r="Y73" s="80">
        <f t="shared" si="113"/>
        <v>5397549.7172696292</v>
      </c>
      <c r="Z73" s="80">
        <f t="shared" si="124"/>
        <v>5397549.7172696292</v>
      </c>
      <c r="AA73" s="566">
        <f t="shared" si="125"/>
        <v>6391059.984176755</v>
      </c>
      <c r="AB73" s="566">
        <f t="shared" si="126"/>
        <v>5648765.7693842379</v>
      </c>
      <c r="AC73" s="567">
        <f t="shared" si="127"/>
        <v>1.1314082128906247</v>
      </c>
      <c r="AD73" s="568" t="str">
        <f t="shared" si="128"/>
        <v>2018</v>
      </c>
      <c r="AE73" s="569">
        <v>42755</v>
      </c>
      <c r="AF73" s="568" t="s">
        <v>3152</v>
      </c>
      <c r="AG73" s="569"/>
      <c r="AH73" s="566">
        <f t="shared" si="142"/>
        <v>5648765.769384237</v>
      </c>
      <c r="AI73" s="80">
        <f t="shared" si="129"/>
        <v>180155.31726962919</v>
      </c>
      <c r="AJ73" s="571" t="s">
        <v>0</v>
      </c>
      <c r="AK73" s="875">
        <f>IF(ISNA(VLOOKUP(LEFT($A73,8),Estimates,72,FALSE)),0,VLOOKUP(LEFT($A73,8),Estimates,72,FALSE))</f>
        <v>3630888.06</v>
      </c>
      <c r="AL73" s="28">
        <f t="shared" si="143"/>
        <v>0</v>
      </c>
      <c r="AM73" s="28">
        <f t="shared" si="143"/>
        <v>0</v>
      </c>
      <c r="AN73" s="28">
        <f t="shared" si="143"/>
        <v>0</v>
      </c>
      <c r="AO73" s="28">
        <f t="shared" si="143"/>
        <v>0</v>
      </c>
      <c r="AP73" s="28">
        <f t="shared" si="143"/>
        <v>0</v>
      </c>
      <c r="AQ73" s="28">
        <f t="shared" si="143"/>
        <v>0</v>
      </c>
      <c r="AR73" s="28">
        <f t="shared" si="143"/>
        <v>0</v>
      </c>
      <c r="AS73" s="28">
        <f t="shared" si="143"/>
        <v>0</v>
      </c>
      <c r="AT73" s="28">
        <f t="shared" si="143"/>
        <v>0</v>
      </c>
      <c r="AU73" s="28">
        <f t="shared" si="143"/>
        <v>0</v>
      </c>
      <c r="AV73" s="28">
        <f t="shared" si="144"/>
        <v>0</v>
      </c>
      <c r="AW73" s="28">
        <f t="shared" si="144"/>
        <v>0</v>
      </c>
      <c r="AX73" s="28">
        <f t="shared" si="144"/>
        <v>0</v>
      </c>
      <c r="AY73" s="28">
        <f t="shared" si="144"/>
        <v>0</v>
      </c>
      <c r="AZ73" s="28">
        <f t="shared" si="144"/>
        <v>0</v>
      </c>
      <c r="BA73" s="28">
        <f t="shared" si="144"/>
        <v>0</v>
      </c>
      <c r="BB73" s="28">
        <f t="shared" si="144"/>
        <v>0</v>
      </c>
      <c r="BC73" s="28">
        <f t="shared" si="144"/>
        <v>0</v>
      </c>
      <c r="BD73" s="28">
        <f t="shared" si="144"/>
        <v>1</v>
      </c>
      <c r="BE73" s="28">
        <f t="shared" si="144"/>
        <v>0</v>
      </c>
      <c r="BF73" s="27">
        <f t="shared" si="145"/>
        <v>1</v>
      </c>
      <c r="BG73" s="520">
        <f t="shared" si="112"/>
        <v>1.0032293803584966</v>
      </c>
      <c r="BH73" s="520">
        <f t="shared" si="131"/>
        <v>1.0061712352370504</v>
      </c>
      <c r="BI73" s="520">
        <f t="shared" si="132"/>
        <v>1.0093551164319481</v>
      </c>
      <c r="BJ73" s="520">
        <f t="shared" si="133"/>
        <v>1.0130328721466506</v>
      </c>
      <c r="BK73" s="520">
        <f t="shared" si="134"/>
        <v>1.0183909177631274</v>
      </c>
      <c r="BL73" s="520">
        <f t="shared" si="135"/>
        <v>1.0244177678738711</v>
      </c>
      <c r="BM73" s="520">
        <f t="shared" si="136"/>
        <v>1.028452580399005</v>
      </c>
      <c r="BN73" s="521" t="str">
        <f t="shared" si="137"/>
        <v>Category</v>
      </c>
      <c r="BP73" s="3">
        <f>SUMPRODUCT(F73:P73,$F$19:$P$19)/$Q$19</f>
        <v>5238505.7993801059</v>
      </c>
      <c r="BQ73" s="3"/>
    </row>
    <row r="74" spans="1:69" hidden="1" x14ac:dyDescent="0.15">
      <c r="A74" s="12" t="s">
        <v>160</v>
      </c>
      <c r="B74" s="13" t="s">
        <v>161</v>
      </c>
      <c r="C74" s="13" t="s">
        <v>27</v>
      </c>
      <c r="D74" s="13" t="s">
        <v>41</v>
      </c>
      <c r="E74" s="13" t="s">
        <v>29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5">
        <v>0</v>
      </c>
      <c r="N74" s="670">
        <v>469016.36</v>
      </c>
      <c r="O74" s="14">
        <v>4049141.35</v>
      </c>
      <c r="P74" s="15">
        <v>1166785.49</v>
      </c>
      <c r="Q74" s="15">
        <f>IF(ISTEXT('Incurred 2.5% cpi'!Q74),"",'Incurred 2.5% cpi'!Q74/'Incurred 2.5% cpi'!Q$17*Incurred!Q$17)</f>
        <v>805076.99</v>
      </c>
      <c r="R74" s="110">
        <f>IF(ISTEXT('Incurred 2.5% cpi'!R74),"",'Incurred 2.5% cpi'!R74/'Incurred 2.5% cpi'!R$17*Incurred!R$17*BG74)</f>
        <v>97474.388597847355</v>
      </c>
      <c r="S74" s="102" t="str">
        <f>IF(ISTEXT('Incurred 2.5% cpi'!S74),"",'Incurred 2.5% cpi'!S74/'Incurred 2.5% cpi'!S$17*Incurred!S$17*BH74)</f>
        <v/>
      </c>
      <c r="T74" s="16" t="str">
        <f>IF(ISTEXT('Incurred 2.5% cpi'!T74),"",'Incurred 2.5% cpi'!T74/'Incurred 2.5% cpi'!T$17*Incurred!T$17*BI74)</f>
        <v/>
      </c>
      <c r="U74" s="16" t="str">
        <f>IF(ISTEXT('Incurred 2.5% cpi'!U74),"",'Incurred 2.5% cpi'!U74/'Incurred 2.5% cpi'!U$17*Incurred!U$17*BJ74)</f>
        <v/>
      </c>
      <c r="V74" s="16" t="str">
        <f>IF(ISTEXT('Incurred 2.5% cpi'!V74),"",'Incurred 2.5% cpi'!V74/'Incurred 2.5% cpi'!V$17*Incurred!V$17*BK74)</f>
        <v/>
      </c>
      <c r="W74" s="110" t="str">
        <f>IF(ISTEXT('Incurred 2.5% cpi'!W74),"",'Incurred 2.5% cpi'!W74/'Incurred 2.5% cpi'!W$17*Incurred!W$17*BL74)</f>
        <v/>
      </c>
      <c r="X74" s="102" t="str">
        <f>IF(ISTEXT('Incurred 2.5% cpi'!X74),"",'Incurred 2.5% cpi'!X74/'Incurred 2.5% cpi'!X$17*Incurred!X$17*BM74)</f>
        <v/>
      </c>
      <c r="Y74" s="80">
        <f t="shared" si="113"/>
        <v>6587494.5785978474</v>
      </c>
      <c r="Z74" s="80">
        <f t="shared" si="124"/>
        <v>6587494.5785978474</v>
      </c>
      <c r="AA74" s="566">
        <f t="shared" si="125"/>
        <v>7854479.4521895116</v>
      </c>
      <c r="AB74" s="566">
        <f t="shared" si="126"/>
        <v>6942215.3407585518</v>
      </c>
      <c r="AC74" s="567">
        <f t="shared" si="127"/>
        <v>1.1314082128906247</v>
      </c>
      <c r="AD74" s="568" t="str">
        <f t="shared" si="128"/>
        <v>2018</v>
      </c>
      <c r="AE74" s="569">
        <v>42870</v>
      </c>
      <c r="AF74" s="568">
        <v>2018</v>
      </c>
      <c r="AG74" s="569"/>
      <c r="AH74" s="566">
        <f t="shared" si="142"/>
        <v>6942215.3407585509</v>
      </c>
      <c r="AI74" s="80">
        <f t="shared" si="129"/>
        <v>97474.388597847355</v>
      </c>
      <c r="AJ74" s="571" t="s">
        <v>0</v>
      </c>
      <c r="AK74" s="875">
        <f>IF(ISNA(VLOOKUP(LEFT($A74,8),Estimates,72,FALSE)),0,VLOOKUP(LEFT($A74,8),Estimates,72,FALSE))</f>
        <v>5895290.8999500005</v>
      </c>
      <c r="AL74" s="28">
        <f t="shared" si="143"/>
        <v>0</v>
      </c>
      <c r="AM74" s="28">
        <f t="shared" si="143"/>
        <v>0</v>
      </c>
      <c r="AN74" s="28">
        <f t="shared" si="143"/>
        <v>0</v>
      </c>
      <c r="AO74" s="28">
        <f t="shared" si="143"/>
        <v>0</v>
      </c>
      <c r="AP74" s="28">
        <f t="shared" si="143"/>
        <v>0</v>
      </c>
      <c r="AQ74" s="28">
        <f t="shared" si="143"/>
        <v>0</v>
      </c>
      <c r="AR74" s="28">
        <f t="shared" si="143"/>
        <v>0</v>
      </c>
      <c r="AS74" s="28">
        <f t="shared" si="143"/>
        <v>0</v>
      </c>
      <c r="AT74" s="28">
        <f t="shared" si="143"/>
        <v>0</v>
      </c>
      <c r="AU74" s="28">
        <f t="shared" si="143"/>
        <v>0</v>
      </c>
      <c r="AV74" s="28">
        <f t="shared" si="144"/>
        <v>0</v>
      </c>
      <c r="AW74" s="28">
        <f t="shared" si="144"/>
        <v>0</v>
      </c>
      <c r="AX74" s="28">
        <f t="shared" si="144"/>
        <v>0</v>
      </c>
      <c r="AY74" s="28">
        <f t="shared" si="144"/>
        <v>0</v>
      </c>
      <c r="AZ74" s="28">
        <f t="shared" si="144"/>
        <v>0</v>
      </c>
      <c r="BA74" s="28">
        <f t="shared" si="144"/>
        <v>0</v>
      </c>
      <c r="BB74" s="28">
        <f t="shared" si="144"/>
        <v>0</v>
      </c>
      <c r="BC74" s="28">
        <f t="shared" si="144"/>
        <v>0</v>
      </c>
      <c r="BD74" s="28">
        <f t="shared" si="144"/>
        <v>1</v>
      </c>
      <c r="BE74" s="28">
        <f t="shared" si="144"/>
        <v>0</v>
      </c>
      <c r="BF74" s="27">
        <f t="shared" si="145"/>
        <v>1</v>
      </c>
      <c r="BG74" s="520">
        <f t="shared" si="112"/>
        <v>1.0032293803584966</v>
      </c>
      <c r="BH74" s="520">
        <f t="shared" si="131"/>
        <v>1.0061712352370504</v>
      </c>
      <c r="BI74" s="520">
        <f t="shared" si="132"/>
        <v>1.0093551164319481</v>
      </c>
      <c r="BJ74" s="520">
        <f t="shared" si="133"/>
        <v>1.0130328721466506</v>
      </c>
      <c r="BK74" s="520">
        <f t="shared" si="134"/>
        <v>1.0183909177631274</v>
      </c>
      <c r="BL74" s="520">
        <f t="shared" si="135"/>
        <v>1.0244177678738711</v>
      </c>
      <c r="BM74" s="520">
        <f t="shared" si="136"/>
        <v>1.028452580399005</v>
      </c>
      <c r="BN74" s="521" t="str">
        <f t="shared" si="137"/>
        <v>Category</v>
      </c>
      <c r="BP74" s="3"/>
    </row>
    <row r="75" spans="1:69" hidden="1" x14ac:dyDescent="0.15">
      <c r="A75" s="12" t="s">
        <v>162</v>
      </c>
      <c r="B75" s="13" t="s">
        <v>163</v>
      </c>
      <c r="C75" s="13" t="s">
        <v>27</v>
      </c>
      <c r="D75" s="13" t="s">
        <v>41</v>
      </c>
      <c r="E75" s="13" t="s">
        <v>29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5">
        <v>0</v>
      </c>
      <c r="N75" s="670">
        <v>673197.8</v>
      </c>
      <c r="O75" s="14">
        <v>1777892.24</v>
      </c>
      <c r="P75" s="15">
        <v>43397.88</v>
      </c>
      <c r="Q75" s="15">
        <f>IF(ISTEXT('Incurred 2.5% cpi'!Q75),"",'Incurred 2.5% cpi'!Q75/'Incurred 2.5% cpi'!Q$17*Incurred!Q$17)</f>
        <v>1645.95</v>
      </c>
      <c r="R75" s="110">
        <f>IF(ISTEXT('Incurred 2.5% cpi'!R75),"",'Incurred 2.5% cpi'!R75/'Incurred 2.5% cpi'!R$17*Incurred!R$17*BG75)</f>
        <v>1381.0756618829173</v>
      </c>
      <c r="S75" s="102" t="str">
        <f>IF(ISTEXT('Incurred 2.5% cpi'!S75),"",'Incurred 2.5% cpi'!S75/'Incurred 2.5% cpi'!S$17*Incurred!S$17*BH75)</f>
        <v/>
      </c>
      <c r="T75" s="16" t="str">
        <f>IF(ISTEXT('Incurred 2.5% cpi'!T75),"",'Incurred 2.5% cpi'!T75/'Incurred 2.5% cpi'!T$17*Incurred!T$17*BI75)</f>
        <v/>
      </c>
      <c r="U75" s="16" t="str">
        <f>IF(ISTEXT('Incurred 2.5% cpi'!U75),"",'Incurred 2.5% cpi'!U75/'Incurred 2.5% cpi'!U$17*Incurred!U$17*BJ75)</f>
        <v/>
      </c>
      <c r="V75" s="16" t="str">
        <f>IF(ISTEXT('Incurred 2.5% cpi'!V75),"",'Incurred 2.5% cpi'!V75/'Incurred 2.5% cpi'!V$17*Incurred!V$17*BK75)</f>
        <v/>
      </c>
      <c r="W75" s="110" t="str">
        <f>IF(ISTEXT('Incurred 2.5% cpi'!W75),"",'Incurred 2.5% cpi'!W75/'Incurred 2.5% cpi'!W$17*Incurred!W$17*BL75)</f>
        <v/>
      </c>
      <c r="X75" s="102" t="str">
        <f>IF(ISTEXT('Incurred 2.5% cpi'!X75),"",'Incurred 2.5% cpi'!X75/'Incurred 2.5% cpi'!X$17*Incurred!X$17*BM75)</f>
        <v/>
      </c>
      <c r="Y75" s="80">
        <f t="shared" si="113"/>
        <v>2497514.9456618829</v>
      </c>
      <c r="Z75" s="80">
        <f t="shared" si="124"/>
        <v>2497514.9456618829</v>
      </c>
      <c r="AA75" s="566">
        <f t="shared" si="125"/>
        <v>3006588.1033724872</v>
      </c>
      <c r="AB75" s="566">
        <f t="shared" si="126"/>
        <v>2657385.7862415393</v>
      </c>
      <c r="AC75" s="567">
        <f t="shared" si="127"/>
        <v>1.1314082128906247</v>
      </c>
      <c r="AD75" s="568" t="str">
        <f t="shared" si="128"/>
        <v>2018</v>
      </c>
      <c r="AE75" s="569">
        <v>41978</v>
      </c>
      <c r="AF75" s="568" t="s">
        <v>3152</v>
      </c>
      <c r="AG75" s="569"/>
      <c r="AH75" s="566">
        <f t="shared" si="142"/>
        <v>2657385.7862415388</v>
      </c>
      <c r="AI75" s="80">
        <f t="shared" si="129"/>
        <v>1381.0756618829173</v>
      </c>
      <c r="AJ75" s="571" t="s">
        <v>0</v>
      </c>
      <c r="AK75" s="875">
        <f>IF(ISNA(VLOOKUP(LEFT($A75,8),Estimates,72,FALSE)),0,VLOOKUP(LEFT($A75,8),Estimates,72,FALSE))</f>
        <v>2184711.0199999996</v>
      </c>
      <c r="AL75" s="28">
        <f t="shared" si="143"/>
        <v>0</v>
      </c>
      <c r="AM75" s="28">
        <f t="shared" si="143"/>
        <v>0</v>
      </c>
      <c r="AN75" s="28">
        <f t="shared" si="143"/>
        <v>0</v>
      </c>
      <c r="AO75" s="28">
        <f t="shared" si="143"/>
        <v>0</v>
      </c>
      <c r="AP75" s="28">
        <f t="shared" si="143"/>
        <v>0</v>
      </c>
      <c r="AQ75" s="28">
        <f t="shared" si="143"/>
        <v>0</v>
      </c>
      <c r="AR75" s="28">
        <f t="shared" si="143"/>
        <v>0</v>
      </c>
      <c r="AS75" s="28">
        <f t="shared" si="143"/>
        <v>0</v>
      </c>
      <c r="AT75" s="28">
        <f t="shared" si="143"/>
        <v>0</v>
      </c>
      <c r="AU75" s="28">
        <f t="shared" si="143"/>
        <v>0</v>
      </c>
      <c r="AV75" s="28">
        <f t="shared" si="144"/>
        <v>0</v>
      </c>
      <c r="AW75" s="28">
        <f t="shared" si="144"/>
        <v>0</v>
      </c>
      <c r="AX75" s="28">
        <f t="shared" si="144"/>
        <v>0</v>
      </c>
      <c r="AY75" s="28">
        <f t="shared" si="144"/>
        <v>0</v>
      </c>
      <c r="AZ75" s="28">
        <f t="shared" si="144"/>
        <v>0</v>
      </c>
      <c r="BA75" s="28">
        <f t="shared" si="144"/>
        <v>6.3312501623212419E-2</v>
      </c>
      <c r="BB75" s="28">
        <f t="shared" si="144"/>
        <v>0</v>
      </c>
      <c r="BC75" s="28">
        <f t="shared" si="144"/>
        <v>0</v>
      </c>
      <c r="BD75" s="28">
        <f t="shared" si="144"/>
        <v>0.93668749837678766</v>
      </c>
      <c r="BE75" s="28">
        <f t="shared" si="144"/>
        <v>0</v>
      </c>
      <c r="BF75" s="27">
        <f t="shared" si="145"/>
        <v>1</v>
      </c>
      <c r="BG75" s="520">
        <f t="shared" si="112"/>
        <v>1.0032293803584966</v>
      </c>
      <c r="BH75" s="520">
        <f t="shared" si="131"/>
        <v>1.0061712352370504</v>
      </c>
      <c r="BI75" s="520">
        <f t="shared" si="132"/>
        <v>1.0093551164319481</v>
      </c>
      <c r="BJ75" s="520">
        <f t="shared" si="133"/>
        <v>1.0130328721466506</v>
      </c>
      <c r="BK75" s="520">
        <f t="shared" si="134"/>
        <v>1.0183909177631274</v>
      </c>
      <c r="BL75" s="520">
        <f t="shared" si="135"/>
        <v>1.0244177678738711</v>
      </c>
      <c r="BM75" s="520">
        <f t="shared" si="136"/>
        <v>1.028452580399005</v>
      </c>
      <c r="BN75" s="521" t="str">
        <f t="shared" si="137"/>
        <v>Category</v>
      </c>
      <c r="BP75" s="3"/>
    </row>
    <row r="76" spans="1:69" hidden="1" x14ac:dyDescent="0.15">
      <c r="A76" s="12" t="s">
        <v>164</v>
      </c>
      <c r="B76" s="13" t="s">
        <v>165</v>
      </c>
      <c r="C76" s="13" t="s">
        <v>27</v>
      </c>
      <c r="D76" s="13" t="s">
        <v>54</v>
      </c>
      <c r="E76" s="13" t="s">
        <v>32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5">
        <v>17934.27</v>
      </c>
      <c r="N76" s="670">
        <v>179945.41</v>
      </c>
      <c r="O76" s="14">
        <v>428936.92</v>
      </c>
      <c r="P76" s="15">
        <v>339799.41</v>
      </c>
      <c r="Q76" s="15" t="str">
        <f>IF(ISTEXT('Incurred 2.5% cpi'!Q76),"",'Incurred 2.5% cpi'!Q76/'Incurred 2.5% cpi'!Q$17*Incurred!Q$17)</f>
        <v/>
      </c>
      <c r="R76" s="110" t="str">
        <f>IF(ISTEXT('Incurred 2.5% cpi'!R76),"",'Incurred 2.5% cpi'!R76/'Incurred 2.5% cpi'!R$17*Incurred!R$17*BG76)</f>
        <v/>
      </c>
      <c r="S76" s="102" t="str">
        <f>IF(ISTEXT('Incurred 2.5% cpi'!S76),"",'Incurred 2.5% cpi'!S76/'Incurred 2.5% cpi'!S$17*Incurred!S$17*BH76)</f>
        <v/>
      </c>
      <c r="T76" s="16" t="str">
        <f>IF(ISTEXT('Incurred 2.5% cpi'!T76),"",'Incurred 2.5% cpi'!T76/'Incurred 2.5% cpi'!T$17*Incurred!T$17*BI76)</f>
        <v/>
      </c>
      <c r="U76" s="16" t="str">
        <f>IF(ISTEXT('Incurred 2.5% cpi'!U76),"",'Incurred 2.5% cpi'!U76/'Incurred 2.5% cpi'!U$17*Incurred!U$17*BJ76)</f>
        <v/>
      </c>
      <c r="V76" s="16" t="str">
        <f>IF(ISTEXT('Incurred 2.5% cpi'!V76),"",'Incurred 2.5% cpi'!V76/'Incurred 2.5% cpi'!V$17*Incurred!V$17*BK76)</f>
        <v/>
      </c>
      <c r="W76" s="110" t="str">
        <f>IF(ISTEXT('Incurred 2.5% cpi'!W76),"",'Incurred 2.5% cpi'!W76/'Incurred 2.5% cpi'!W$17*Incurred!W$17*BL76)</f>
        <v/>
      </c>
      <c r="X76" s="102" t="str">
        <f>IF(ISTEXT('Incurred 2.5% cpi'!X76),"",'Incurred 2.5% cpi'!X76/'Incurred 2.5% cpi'!X$17*Incurred!X$17*BM76)</f>
        <v/>
      </c>
      <c r="Y76" s="80">
        <f t="shared" si="113"/>
        <v>966616.01</v>
      </c>
      <c r="Z76" s="80">
        <f t="shared" si="124"/>
        <v>966616.01</v>
      </c>
      <c r="AA76" s="566">
        <f t="shared" si="125"/>
        <v>1158330.7109066951</v>
      </c>
      <c r="AB76" s="566">
        <f t="shared" si="126"/>
        <v>978034.92034843692</v>
      </c>
      <c r="AC76" s="567">
        <f t="shared" si="127"/>
        <v>1.1843449418902401</v>
      </c>
      <c r="AD76" s="568" t="str">
        <f t="shared" si="128"/>
        <v>2016</v>
      </c>
      <c r="AE76" s="569">
        <v>42310</v>
      </c>
      <c r="AF76" s="568">
        <v>2016</v>
      </c>
      <c r="AG76" s="569"/>
      <c r="AH76" s="566">
        <f t="shared" si="142"/>
        <v>1023795.5653046626</v>
      </c>
      <c r="AI76" s="80">
        <f t="shared" si="129"/>
        <v>339799.41</v>
      </c>
      <c r="AJ76" s="571" t="s">
        <v>0</v>
      </c>
      <c r="AK76" s="875">
        <f t="shared" si="138"/>
        <v>0</v>
      </c>
      <c r="AL76" s="28">
        <f t="shared" si="143"/>
        <v>0</v>
      </c>
      <c r="AM76" s="28">
        <f t="shared" si="143"/>
        <v>0</v>
      </c>
      <c r="AN76" s="28">
        <f t="shared" si="143"/>
        <v>0</v>
      </c>
      <c r="AO76" s="28">
        <f t="shared" si="143"/>
        <v>0</v>
      </c>
      <c r="AP76" s="28">
        <f t="shared" si="143"/>
        <v>0</v>
      </c>
      <c r="AQ76" s="28">
        <f t="shared" si="143"/>
        <v>0</v>
      </c>
      <c r="AR76" s="28">
        <f t="shared" si="143"/>
        <v>0</v>
      </c>
      <c r="AS76" s="28">
        <f t="shared" si="143"/>
        <v>1</v>
      </c>
      <c r="AT76" s="28">
        <f t="shared" si="143"/>
        <v>0</v>
      </c>
      <c r="AU76" s="28">
        <f t="shared" si="143"/>
        <v>0</v>
      </c>
      <c r="AV76" s="28">
        <f t="shared" si="144"/>
        <v>0</v>
      </c>
      <c r="AW76" s="28">
        <f t="shared" si="144"/>
        <v>0</v>
      </c>
      <c r="AX76" s="28">
        <f t="shared" si="144"/>
        <v>0</v>
      </c>
      <c r="AY76" s="28">
        <f t="shared" si="144"/>
        <v>0</v>
      </c>
      <c r="AZ76" s="28">
        <f t="shared" si="144"/>
        <v>0</v>
      </c>
      <c r="BA76" s="28">
        <f t="shared" si="144"/>
        <v>0</v>
      </c>
      <c r="BB76" s="28">
        <f t="shared" si="144"/>
        <v>0</v>
      </c>
      <c r="BC76" s="28">
        <f t="shared" si="144"/>
        <v>0</v>
      </c>
      <c r="BD76" s="28">
        <f t="shared" si="144"/>
        <v>0</v>
      </c>
      <c r="BE76" s="28">
        <f t="shared" si="144"/>
        <v>0</v>
      </c>
      <c r="BF76" s="27">
        <f t="shared" si="145"/>
        <v>1</v>
      </c>
      <c r="BG76" s="520">
        <f t="shared" si="112"/>
        <v>1.0030818160192299</v>
      </c>
      <c r="BH76" s="520">
        <f t="shared" si="131"/>
        <v>1.0058892448397847</v>
      </c>
      <c r="BI76" s="520">
        <f t="shared" si="132"/>
        <v>1.0089276407487533</v>
      </c>
      <c r="BJ76" s="520">
        <f t="shared" si="133"/>
        <v>1.0124373439172154</v>
      </c>
      <c r="BK76" s="520">
        <f t="shared" si="134"/>
        <v>1.0175505572831101</v>
      </c>
      <c r="BL76" s="520">
        <f t="shared" si="135"/>
        <v>1.023302014576742</v>
      </c>
      <c r="BM76" s="520">
        <f t="shared" si="136"/>
        <v>1.0271524590875074</v>
      </c>
      <c r="BN76" s="521" t="str">
        <f t="shared" si="137"/>
        <v>Category</v>
      </c>
      <c r="BP76" s="3"/>
    </row>
    <row r="77" spans="1:69" hidden="1" x14ac:dyDescent="0.15">
      <c r="A77" s="12" t="s">
        <v>166</v>
      </c>
      <c r="B77" s="13" t="s">
        <v>167</v>
      </c>
      <c r="C77" s="13" t="s">
        <v>27</v>
      </c>
      <c r="D77" s="13" t="s">
        <v>36</v>
      </c>
      <c r="E77" s="13" t="s">
        <v>32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5">
        <v>52860.86</v>
      </c>
      <c r="N77" s="670">
        <v>384185.78</v>
      </c>
      <c r="O77" s="14"/>
      <c r="P77" s="15">
        <v>-987.77</v>
      </c>
      <c r="Q77" s="15" t="str">
        <f>IF(ISTEXT('Incurred 2.5% cpi'!Q77),"",'Incurred 2.5% cpi'!Q77/'Incurred 2.5% cpi'!Q$17*Incurred!Q$17)</f>
        <v/>
      </c>
      <c r="R77" s="110" t="str">
        <f>IF(ISTEXT('Incurred 2.5% cpi'!R77),"",'Incurred 2.5% cpi'!R77/'Incurred 2.5% cpi'!R$17*Incurred!R$17*BG77)</f>
        <v/>
      </c>
      <c r="S77" s="102" t="str">
        <f>IF(ISTEXT('Incurred 2.5% cpi'!S77),"",'Incurred 2.5% cpi'!S77/'Incurred 2.5% cpi'!S$17*Incurred!S$17*BH77)</f>
        <v/>
      </c>
      <c r="T77" s="16" t="str">
        <f>IF(ISTEXT('Incurred 2.5% cpi'!T77),"",'Incurred 2.5% cpi'!T77/'Incurred 2.5% cpi'!T$17*Incurred!T$17*BI77)</f>
        <v/>
      </c>
      <c r="U77" s="16" t="str">
        <f>IF(ISTEXT('Incurred 2.5% cpi'!U77),"",'Incurred 2.5% cpi'!U77/'Incurred 2.5% cpi'!U$17*Incurred!U$17*BJ77)</f>
        <v/>
      </c>
      <c r="V77" s="16" t="str">
        <f>IF(ISTEXT('Incurred 2.5% cpi'!V77),"",'Incurred 2.5% cpi'!V77/'Incurred 2.5% cpi'!V$17*Incurred!V$17*BK77)</f>
        <v/>
      </c>
      <c r="W77" s="110" t="str">
        <f>IF(ISTEXT('Incurred 2.5% cpi'!W77),"",'Incurred 2.5% cpi'!W77/'Incurred 2.5% cpi'!W$17*Incurred!W$17*BL77)</f>
        <v/>
      </c>
      <c r="X77" s="102" t="str">
        <f>IF(ISTEXT('Incurred 2.5% cpi'!X77),"",'Incurred 2.5% cpi'!X77/'Incurred 2.5% cpi'!X$17*Incurred!X$17*BM77)</f>
        <v/>
      </c>
      <c r="Y77" s="80">
        <f t="shared" si="113"/>
        <v>436058.87</v>
      </c>
      <c r="Z77" s="80">
        <f t="shared" si="124"/>
        <v>438034.41000000003</v>
      </c>
      <c r="AA77" s="566">
        <f t="shared" si="125"/>
        <v>532077.64319869573</v>
      </c>
      <c r="AB77" s="566">
        <f t="shared" si="126"/>
        <v>437633.08952352422</v>
      </c>
      <c r="AC77" s="567">
        <f t="shared" si="127"/>
        <v>1.2158076158683491</v>
      </c>
      <c r="AD77" s="568" t="str">
        <f t="shared" si="128"/>
        <v>2016</v>
      </c>
      <c r="AE77" s="569">
        <v>41628</v>
      </c>
      <c r="AF77" s="568">
        <v>2014</v>
      </c>
      <c r="AG77" s="569"/>
      <c r="AH77" s="566">
        <f t="shared" si="142"/>
        <v>470279.10628233402</v>
      </c>
      <c r="AI77" s="80">
        <f t="shared" si="129"/>
        <v>-987.77</v>
      </c>
      <c r="AJ77" s="571" t="s">
        <v>0</v>
      </c>
      <c r="AK77" s="875">
        <f t="shared" si="138"/>
        <v>0</v>
      </c>
      <c r="AL77" s="28">
        <f t="shared" si="143"/>
        <v>0.92678801219736062</v>
      </c>
      <c r="AM77" s="28">
        <f t="shared" si="143"/>
        <v>0</v>
      </c>
      <c r="AN77" s="28">
        <f t="shared" si="143"/>
        <v>0</v>
      </c>
      <c r="AO77" s="28">
        <f t="shared" si="143"/>
        <v>3.9026623756304384E-2</v>
      </c>
      <c r="AP77" s="28">
        <f t="shared" si="143"/>
        <v>0</v>
      </c>
      <c r="AQ77" s="28">
        <f t="shared" si="143"/>
        <v>0</v>
      </c>
      <c r="AR77" s="28">
        <f t="shared" si="143"/>
        <v>0</v>
      </c>
      <c r="AS77" s="28">
        <f t="shared" si="143"/>
        <v>3.4185364046334966E-2</v>
      </c>
      <c r="AT77" s="28">
        <f t="shared" si="143"/>
        <v>0</v>
      </c>
      <c r="AU77" s="28">
        <f t="shared" si="143"/>
        <v>0</v>
      </c>
      <c r="AV77" s="28">
        <f t="shared" si="144"/>
        <v>0</v>
      </c>
      <c r="AW77" s="28">
        <f t="shared" si="144"/>
        <v>0</v>
      </c>
      <c r="AX77" s="28">
        <f t="shared" si="144"/>
        <v>0</v>
      </c>
      <c r="AY77" s="28">
        <f t="shared" si="144"/>
        <v>0</v>
      </c>
      <c r="AZ77" s="28">
        <f t="shared" si="144"/>
        <v>0</v>
      </c>
      <c r="BA77" s="28">
        <f t="shared" si="144"/>
        <v>0</v>
      </c>
      <c r="BB77" s="28">
        <f t="shared" si="144"/>
        <v>0</v>
      </c>
      <c r="BC77" s="28">
        <f t="shared" si="144"/>
        <v>0</v>
      </c>
      <c r="BD77" s="28">
        <f t="shared" si="144"/>
        <v>0</v>
      </c>
      <c r="BE77" s="28">
        <f t="shared" si="144"/>
        <v>0</v>
      </c>
      <c r="BF77" s="27">
        <f t="shared" si="145"/>
        <v>1</v>
      </c>
      <c r="BG77" s="520">
        <f t="shared" si="112"/>
        <v>1.0018756098697492</v>
      </c>
      <c r="BH77" s="520">
        <f t="shared" si="131"/>
        <v>1.0035842262088148</v>
      </c>
      <c r="BI77" s="520">
        <f t="shared" si="132"/>
        <v>1.0054334103650095</v>
      </c>
      <c r="BJ77" s="520">
        <f t="shared" si="133"/>
        <v>1.007569434664183</v>
      </c>
      <c r="BK77" s="520">
        <f t="shared" si="134"/>
        <v>1.0106813639277612</v>
      </c>
      <c r="BL77" s="520">
        <f t="shared" si="135"/>
        <v>1.0141817318919957</v>
      </c>
      <c r="BM77" s="520">
        <f t="shared" si="136"/>
        <v>1.0165251332119476</v>
      </c>
      <c r="BN77" s="521" t="str">
        <f t="shared" si="137"/>
        <v>Category</v>
      </c>
      <c r="BP77" s="3"/>
    </row>
    <row r="78" spans="1:69" hidden="1" x14ac:dyDescent="0.15">
      <c r="A78" s="12" t="s">
        <v>168</v>
      </c>
      <c r="B78" s="13" t="s">
        <v>169</v>
      </c>
      <c r="C78" s="13" t="s">
        <v>27</v>
      </c>
      <c r="D78" s="13" t="s">
        <v>28</v>
      </c>
      <c r="E78" s="13" t="s">
        <v>29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  <c r="N78" s="670">
        <v>2977.51</v>
      </c>
      <c r="O78" s="14">
        <v>5378.36</v>
      </c>
      <c r="P78" s="15">
        <v>405032.26</v>
      </c>
      <c r="Q78" s="15">
        <f>IF(ISTEXT('Incurred 2.5% cpi'!Q78),"",'Incurred 2.5% cpi'!Q78/'Incurred 2.5% cpi'!Q$17*Incurred!Q$17)</f>
        <v>1351025.26</v>
      </c>
      <c r="R78" s="110">
        <f>IF(ISTEXT('Incurred 2.5% cpi'!R78),"",'Incurred 2.5% cpi'!R78/'Incurred 2.5% cpi'!R$17*Incurred!R$17*BG78)</f>
        <v>626324.93856518238</v>
      </c>
      <c r="S78" s="102" t="str">
        <f>IF(ISTEXT('Incurred 2.5% cpi'!S78),"",'Incurred 2.5% cpi'!S78/'Incurred 2.5% cpi'!S$17*Incurred!S$17*BH78)</f>
        <v/>
      </c>
      <c r="T78" s="16" t="str">
        <f>IF(ISTEXT('Incurred 2.5% cpi'!T78),"",'Incurred 2.5% cpi'!T78/'Incurred 2.5% cpi'!T$17*Incurred!T$17*BI78)</f>
        <v/>
      </c>
      <c r="U78" s="16" t="str">
        <f>IF(ISTEXT('Incurred 2.5% cpi'!U78),"",'Incurred 2.5% cpi'!U78/'Incurred 2.5% cpi'!U$17*Incurred!U$17*BJ78)</f>
        <v/>
      </c>
      <c r="V78" s="16" t="str">
        <f>IF(ISTEXT('Incurred 2.5% cpi'!V78),"",'Incurred 2.5% cpi'!V78/'Incurred 2.5% cpi'!V$17*Incurred!V$17*BK78)</f>
        <v/>
      </c>
      <c r="W78" s="110" t="str">
        <f>IF(ISTEXT('Incurred 2.5% cpi'!W78),"",'Incurred 2.5% cpi'!W78/'Incurred 2.5% cpi'!W$17*Incurred!W$17*BL78)</f>
        <v/>
      </c>
      <c r="X78" s="102" t="str">
        <f>IF(ISTEXT('Incurred 2.5% cpi'!X78),"",'Incurred 2.5% cpi'!X78/'Incurred 2.5% cpi'!X$17*Incurred!X$17*BM78)</f>
        <v/>
      </c>
      <c r="Y78" s="80">
        <f t="shared" si="113"/>
        <v>2390738.3285651826</v>
      </c>
      <c r="Z78" s="80">
        <f t="shared" si="124"/>
        <v>2390738.3285651826</v>
      </c>
      <c r="AA78" s="566">
        <f t="shared" si="125"/>
        <v>2765175.6022111559</v>
      </c>
      <c r="AB78" s="566">
        <f t="shared" si="126"/>
        <v>2444012.312007559</v>
      </c>
      <c r="AC78" s="567">
        <f t="shared" si="127"/>
        <v>1.1314082128906247</v>
      </c>
      <c r="AD78" s="568" t="str">
        <f t="shared" si="128"/>
        <v>2018</v>
      </c>
      <c r="AE78" s="569">
        <v>42744</v>
      </c>
      <c r="AF78" s="568" t="s">
        <v>3152</v>
      </c>
      <c r="AG78" s="569"/>
      <c r="AH78" s="566">
        <f t="shared" si="142"/>
        <v>2444012.312007559</v>
      </c>
      <c r="AI78" s="80">
        <f t="shared" si="129"/>
        <v>626324.93856518238</v>
      </c>
      <c r="AJ78" s="571" t="s">
        <v>0</v>
      </c>
      <c r="AK78" s="875">
        <f>IF(ISNA(VLOOKUP(LEFT($A78,8),Estimates,71,FALSE)),0,VLOOKUP(LEFT($A78,8),Estimates,71,FALSE))</f>
        <v>1786947.3399275341</v>
      </c>
      <c r="AL78" s="28">
        <f t="shared" si="143"/>
        <v>0</v>
      </c>
      <c r="AM78" s="28">
        <f t="shared" si="143"/>
        <v>0</v>
      </c>
      <c r="AN78" s="28">
        <f t="shared" si="143"/>
        <v>0</v>
      </c>
      <c r="AO78" s="378">
        <f t="shared" si="143"/>
        <v>1</v>
      </c>
      <c r="AP78" s="28">
        <f t="shared" si="143"/>
        <v>0</v>
      </c>
      <c r="AQ78" s="28">
        <f t="shared" si="143"/>
        <v>0</v>
      </c>
      <c r="AR78" s="28">
        <f t="shared" si="143"/>
        <v>0</v>
      </c>
      <c r="AS78" s="28">
        <f t="shared" si="143"/>
        <v>0</v>
      </c>
      <c r="AT78" s="28">
        <f t="shared" si="143"/>
        <v>0</v>
      </c>
      <c r="AU78" s="28">
        <f t="shared" si="143"/>
        <v>0</v>
      </c>
      <c r="AV78" s="28">
        <f t="shared" si="144"/>
        <v>0</v>
      </c>
      <c r="AW78" s="28">
        <f t="shared" si="144"/>
        <v>0</v>
      </c>
      <c r="AX78" s="28">
        <f t="shared" si="144"/>
        <v>0</v>
      </c>
      <c r="AY78" s="28">
        <f t="shared" si="144"/>
        <v>0</v>
      </c>
      <c r="AZ78" s="28">
        <f t="shared" si="144"/>
        <v>0</v>
      </c>
      <c r="BA78" s="28">
        <f t="shared" si="144"/>
        <v>0</v>
      </c>
      <c r="BB78" s="28">
        <f t="shared" si="144"/>
        <v>0</v>
      </c>
      <c r="BC78" s="28">
        <f t="shared" si="144"/>
        <v>0</v>
      </c>
      <c r="BD78" s="28">
        <f t="shared" si="144"/>
        <v>0</v>
      </c>
      <c r="BE78" s="28">
        <f t="shared" si="144"/>
        <v>0</v>
      </c>
      <c r="BF78" s="27">
        <f t="shared" si="145"/>
        <v>1</v>
      </c>
      <c r="BG78" s="520">
        <f t="shared" si="112"/>
        <v>1.0030444840366091</v>
      </c>
      <c r="BH78" s="520">
        <f t="shared" si="131"/>
        <v>1.0058179046998681</v>
      </c>
      <c r="BI78" s="520">
        <f t="shared" si="132"/>
        <v>1.0088194946014175</v>
      </c>
      <c r="BJ78" s="520">
        <f t="shared" si="133"/>
        <v>1.0122866825201464</v>
      </c>
      <c r="BK78" s="520">
        <f t="shared" si="134"/>
        <v>1.0173379563051834</v>
      </c>
      <c r="BL78" s="520">
        <f t="shared" si="135"/>
        <v>1.023019742566414</v>
      </c>
      <c r="BM78" s="520">
        <f t="shared" si="136"/>
        <v>1.026823544212498</v>
      </c>
      <c r="BN78" s="521" t="str">
        <f t="shared" si="137"/>
        <v>Category</v>
      </c>
      <c r="BP78" s="3">
        <f>SUMPRODUCT(F78:P78,$F$19:$P$19)/$Q$19</f>
        <v>422328.27506573335</v>
      </c>
      <c r="BQ78" s="3"/>
    </row>
    <row r="79" spans="1:69" hidden="1" x14ac:dyDescent="0.15">
      <c r="A79" s="12" t="s">
        <v>171</v>
      </c>
      <c r="B79" s="13" t="s">
        <v>172</v>
      </c>
      <c r="C79" s="13" t="s">
        <v>27</v>
      </c>
      <c r="D79" s="13" t="s">
        <v>54</v>
      </c>
      <c r="E79" s="13" t="s">
        <v>32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5">
        <v>0</v>
      </c>
      <c r="N79" s="670">
        <v>89188.45</v>
      </c>
      <c r="O79" s="14"/>
      <c r="P79" s="15"/>
      <c r="Q79" s="15" t="str">
        <f>IF(ISTEXT('Incurred 2.5% cpi'!Q79),"",'Incurred 2.5% cpi'!Q79/'Incurred 2.5% cpi'!Q$17*Incurred!Q$17)</f>
        <v/>
      </c>
      <c r="R79" s="110" t="str">
        <f>IF(ISTEXT('Incurred 2.5% cpi'!R79),"",'Incurred 2.5% cpi'!R79/'Incurred 2.5% cpi'!R$17*Incurred!R$17*BG79)</f>
        <v/>
      </c>
      <c r="S79" s="102" t="str">
        <f>IF(ISTEXT('Incurred 2.5% cpi'!S79),"",'Incurred 2.5% cpi'!S79/'Incurred 2.5% cpi'!S$17*Incurred!S$17*BH79)</f>
        <v/>
      </c>
      <c r="T79" s="16" t="str">
        <f>IF(ISTEXT('Incurred 2.5% cpi'!T79),"",'Incurred 2.5% cpi'!T79/'Incurred 2.5% cpi'!T$17*Incurred!T$17*BI79)</f>
        <v/>
      </c>
      <c r="U79" s="16" t="str">
        <f>IF(ISTEXT('Incurred 2.5% cpi'!U79),"",'Incurred 2.5% cpi'!U79/'Incurred 2.5% cpi'!U$17*Incurred!U$17*BJ79)</f>
        <v/>
      </c>
      <c r="V79" s="16" t="str">
        <f>IF(ISTEXT('Incurred 2.5% cpi'!V79),"",'Incurred 2.5% cpi'!V79/'Incurred 2.5% cpi'!V$17*Incurred!V$17*BK79)</f>
        <v/>
      </c>
      <c r="W79" s="110" t="str">
        <f>IF(ISTEXT('Incurred 2.5% cpi'!W79),"",'Incurred 2.5% cpi'!W79/'Incurred 2.5% cpi'!W$17*Incurred!W$17*BL79)</f>
        <v/>
      </c>
      <c r="X79" s="102" t="str">
        <f>IF(ISTEXT('Incurred 2.5% cpi'!X79),"",'Incurred 2.5% cpi'!X79/'Incurred 2.5% cpi'!X$17*Incurred!X$17*BM79)</f>
        <v/>
      </c>
      <c r="Y79" s="80">
        <f t="shared" si="113"/>
        <v>89188.45</v>
      </c>
      <c r="Z79" s="80">
        <f t="shared" si="124"/>
        <v>89188.45</v>
      </c>
      <c r="AA79" s="566">
        <f t="shared" si="125"/>
        <v>108435.99675749346</v>
      </c>
      <c r="AB79" s="566">
        <f t="shared" si="126"/>
        <v>95841.620665322291</v>
      </c>
      <c r="AC79" s="567">
        <f t="shared" ref="AC79:AC110" si="146">IF(AF79="","",IF(AF79&lt;AD79,INDEX($F$20:$W$20,1,MATCH(TEXT(AF79,"000"),$F$24:$W$24)),INDEX($F$20:$W$20,1,MATCH(AD79,$F$24:$W$24))))</f>
        <v>1.1314082128906247</v>
      </c>
      <c r="AD79" s="568" t="str">
        <f t="shared" si="128"/>
        <v>2014</v>
      </c>
      <c r="AE79" s="569">
        <v>41578</v>
      </c>
      <c r="AF79" s="568">
        <v>2018</v>
      </c>
      <c r="AG79" s="569"/>
      <c r="AH79" s="566">
        <f t="shared" si="142"/>
        <v>95841.620665322291</v>
      </c>
      <c r="AI79" s="80">
        <f t="shared" si="129"/>
        <v>89188.45</v>
      </c>
      <c r="AJ79" s="571" t="s">
        <v>0</v>
      </c>
      <c r="AK79" s="875">
        <f t="shared" si="138"/>
        <v>0</v>
      </c>
      <c r="AL79" s="28">
        <f t="shared" si="143"/>
        <v>0</v>
      </c>
      <c r="AM79" s="28">
        <f t="shared" si="143"/>
        <v>0</v>
      </c>
      <c r="AN79" s="28">
        <f t="shared" si="143"/>
        <v>0</v>
      </c>
      <c r="AO79" s="28">
        <f t="shared" si="143"/>
        <v>0</v>
      </c>
      <c r="AP79" s="28">
        <f t="shared" si="143"/>
        <v>0</v>
      </c>
      <c r="AQ79" s="28">
        <f t="shared" si="143"/>
        <v>0</v>
      </c>
      <c r="AR79" s="28">
        <f t="shared" si="143"/>
        <v>0</v>
      </c>
      <c r="AS79" s="28">
        <f t="shared" si="143"/>
        <v>1</v>
      </c>
      <c r="AT79" s="28">
        <f t="shared" si="143"/>
        <v>0</v>
      </c>
      <c r="AU79" s="28">
        <f t="shared" si="143"/>
        <v>0</v>
      </c>
      <c r="AV79" s="28">
        <f t="shared" si="144"/>
        <v>0</v>
      </c>
      <c r="AW79" s="28">
        <f t="shared" si="144"/>
        <v>0</v>
      </c>
      <c r="AX79" s="28">
        <f t="shared" si="144"/>
        <v>0</v>
      </c>
      <c r="AY79" s="28">
        <f t="shared" si="144"/>
        <v>0</v>
      </c>
      <c r="AZ79" s="28">
        <f t="shared" si="144"/>
        <v>0</v>
      </c>
      <c r="BA79" s="28">
        <f t="shared" si="144"/>
        <v>0</v>
      </c>
      <c r="BB79" s="28">
        <f t="shared" si="144"/>
        <v>0</v>
      </c>
      <c r="BC79" s="28">
        <f t="shared" si="144"/>
        <v>0</v>
      </c>
      <c r="BD79" s="28">
        <f t="shared" si="144"/>
        <v>0</v>
      </c>
      <c r="BE79" s="28">
        <f t="shared" si="144"/>
        <v>0</v>
      </c>
      <c r="BF79" s="27">
        <f t="shared" si="145"/>
        <v>1</v>
      </c>
      <c r="BG79" s="520">
        <f t="shared" si="112"/>
        <v>1.0030818160192299</v>
      </c>
      <c r="BH79" s="520">
        <f t="shared" si="131"/>
        <v>1.0058892448397847</v>
      </c>
      <c r="BI79" s="520">
        <f t="shared" si="132"/>
        <v>1.0089276407487533</v>
      </c>
      <c r="BJ79" s="520">
        <f t="shared" si="133"/>
        <v>1.0124373439172154</v>
      </c>
      <c r="BK79" s="520">
        <f t="shared" si="134"/>
        <v>1.0175505572831101</v>
      </c>
      <c r="BL79" s="520">
        <f t="shared" si="135"/>
        <v>1.023302014576742</v>
      </c>
      <c r="BM79" s="520">
        <f t="shared" si="136"/>
        <v>1.0271524590875074</v>
      </c>
      <c r="BN79" s="521" t="str">
        <f t="shared" si="137"/>
        <v>Category</v>
      </c>
      <c r="BP79" s="3"/>
    </row>
    <row r="80" spans="1:69" hidden="1" x14ac:dyDescent="0.15">
      <c r="A80" s="12" t="s">
        <v>175</v>
      </c>
      <c r="B80" s="13" t="s">
        <v>176</v>
      </c>
      <c r="C80" s="13" t="s">
        <v>27</v>
      </c>
      <c r="D80" s="13" t="s">
        <v>44</v>
      </c>
      <c r="E80" s="13" t="s">
        <v>29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5">
        <v>134351.37</v>
      </c>
      <c r="N80" s="670">
        <v>188691.28</v>
      </c>
      <c r="O80" s="14">
        <v>163346.25</v>
      </c>
      <c r="P80" s="15">
        <v>275845.46999999997</v>
      </c>
      <c r="Q80" s="15">
        <f>IF(ISTEXT('Incurred 2.5% cpi'!Q80),"",'Incurred 2.5% cpi'!Q80/'Incurred 2.5% cpi'!Q$17*Incurred!Q$17)</f>
        <v>13965.75</v>
      </c>
      <c r="R80" s="110" t="str">
        <f>IF(ISTEXT('Incurred 2.5% cpi'!R80),"",'Incurred 2.5% cpi'!R80/'Incurred 2.5% cpi'!R$17*Incurred!R$17*BG80)</f>
        <v/>
      </c>
      <c r="S80" s="102" t="str">
        <f>IF(ISTEXT('Incurred 2.5% cpi'!S80),"",'Incurred 2.5% cpi'!S80/'Incurred 2.5% cpi'!S$17*Incurred!S$17*BH80)</f>
        <v/>
      </c>
      <c r="T80" s="16" t="str">
        <f>IF(ISTEXT('Incurred 2.5% cpi'!T80),"",'Incurred 2.5% cpi'!T80/'Incurred 2.5% cpi'!T$17*Incurred!T$17*BI80)</f>
        <v/>
      </c>
      <c r="U80" s="16" t="str">
        <f>IF(ISTEXT('Incurred 2.5% cpi'!U80),"",'Incurred 2.5% cpi'!U80/'Incurred 2.5% cpi'!U$17*Incurred!U$17*BJ80)</f>
        <v/>
      </c>
      <c r="V80" s="16" t="str">
        <f>IF(ISTEXT('Incurred 2.5% cpi'!V80),"",'Incurred 2.5% cpi'!V80/'Incurred 2.5% cpi'!V$17*Incurred!V$17*BK80)</f>
        <v/>
      </c>
      <c r="W80" s="110" t="str">
        <f>IF(ISTEXT('Incurred 2.5% cpi'!W80),"",'Incurred 2.5% cpi'!W80/'Incurred 2.5% cpi'!W$17*Incurred!W$17*BL80)</f>
        <v/>
      </c>
      <c r="X80" s="102" t="str">
        <f>IF(ISTEXT('Incurred 2.5% cpi'!X80),"",'Incurred 2.5% cpi'!X80/'Incurred 2.5% cpi'!X$17*Incurred!X$17*BM80)</f>
        <v/>
      </c>
      <c r="Y80" s="80">
        <f t="shared" si="113"/>
        <v>776200.12</v>
      </c>
      <c r="Z80" s="80">
        <f t="shared" si="124"/>
        <v>776200.12</v>
      </c>
      <c r="AA80" s="566">
        <f t="shared" si="125"/>
        <v>936429.67518539086</v>
      </c>
      <c r="AB80" s="566">
        <f t="shared" si="126"/>
        <v>807480.37410477584</v>
      </c>
      <c r="AC80" s="567">
        <f t="shared" si="146"/>
        <v>1.1596934182128902</v>
      </c>
      <c r="AD80" s="568" t="str">
        <f t="shared" si="128"/>
        <v>2017</v>
      </c>
      <c r="AE80" s="569">
        <v>42489</v>
      </c>
      <c r="AF80" s="568">
        <v>2017</v>
      </c>
      <c r="AG80" s="569"/>
      <c r="AH80" s="566">
        <f t="shared" si="142"/>
        <v>827667.38345739525</v>
      </c>
      <c r="AI80" s="80">
        <f t="shared" si="129"/>
        <v>13965.75</v>
      </c>
      <c r="AJ80" s="571" t="s">
        <v>0</v>
      </c>
      <c r="AK80" s="875">
        <f t="shared" si="138"/>
        <v>0</v>
      </c>
      <c r="AL80" s="28">
        <f t="shared" ref="AL80:AU83" si="147">IF($AK80=0,VLOOKUP(MID($A80,4,5),ProjectSplits,AL$23,FALSE),IF(ISNA(VLOOKUP($A80,Estimates,AL$22,FALSE)),VLOOKUP(MID($A80,4,5),ProjectSplits,AL$23,FALSE),VLOOKUP($A80,Estimates,AL$22,FALSE)))</f>
        <v>0</v>
      </c>
      <c r="AM80" s="28">
        <f t="shared" si="147"/>
        <v>0</v>
      </c>
      <c r="AN80" s="28">
        <f t="shared" si="147"/>
        <v>0</v>
      </c>
      <c r="AO80" s="28">
        <f t="shared" si="147"/>
        <v>0</v>
      </c>
      <c r="AP80" s="28">
        <f t="shared" si="147"/>
        <v>0</v>
      </c>
      <c r="AQ80" s="28">
        <f t="shared" si="147"/>
        <v>1</v>
      </c>
      <c r="AR80" s="28">
        <f t="shared" si="147"/>
        <v>0</v>
      </c>
      <c r="AS80" s="28">
        <f t="shared" si="147"/>
        <v>0</v>
      </c>
      <c r="AT80" s="28">
        <f t="shared" si="147"/>
        <v>0</v>
      </c>
      <c r="AU80" s="28">
        <f t="shared" si="147"/>
        <v>0</v>
      </c>
      <c r="AV80" s="28">
        <f t="shared" ref="AV80:BE83" si="148">IF($AK80=0,VLOOKUP(MID($A80,4,5),ProjectSplits,AV$23,FALSE),IF(ISNA(VLOOKUP($A80,Estimates,AV$22,FALSE)),VLOOKUP(MID($A80,4,5),ProjectSplits,AV$23,FALSE),VLOOKUP($A80,Estimates,AV$22,FALSE)))</f>
        <v>0</v>
      </c>
      <c r="AW80" s="28">
        <f t="shared" si="148"/>
        <v>0</v>
      </c>
      <c r="AX80" s="28">
        <f t="shared" si="148"/>
        <v>0</v>
      </c>
      <c r="AY80" s="28">
        <f t="shared" si="148"/>
        <v>0</v>
      </c>
      <c r="AZ80" s="28">
        <f t="shared" si="148"/>
        <v>0</v>
      </c>
      <c r="BA80" s="28">
        <f t="shared" si="148"/>
        <v>0</v>
      </c>
      <c r="BB80" s="28">
        <f t="shared" si="148"/>
        <v>0</v>
      </c>
      <c r="BC80" s="28">
        <f t="shared" si="148"/>
        <v>0</v>
      </c>
      <c r="BD80" s="28">
        <f t="shared" si="148"/>
        <v>0</v>
      </c>
      <c r="BE80" s="28">
        <f t="shared" si="148"/>
        <v>0</v>
      </c>
      <c r="BF80" s="27">
        <f t="shared" si="145"/>
        <v>1</v>
      </c>
      <c r="BG80" s="520">
        <f t="shared" si="112"/>
        <v>1.0013788876313259</v>
      </c>
      <c r="BH80" s="520">
        <f t="shared" si="131"/>
        <v>1.0026350070272714</v>
      </c>
      <c r="BI80" s="520">
        <f t="shared" si="132"/>
        <v>1.0039944673298349</v>
      </c>
      <c r="BJ80" s="520">
        <f t="shared" si="133"/>
        <v>1.0055648032156956</v>
      </c>
      <c r="BK80" s="520">
        <f t="shared" si="134"/>
        <v>1.0078525928249935</v>
      </c>
      <c r="BL80" s="520">
        <f t="shared" si="135"/>
        <v>1.0104259499867456</v>
      </c>
      <c r="BM80" s="520">
        <f t="shared" si="136"/>
        <v>1.0121487427420144</v>
      </c>
      <c r="BN80" s="521" t="str">
        <f t="shared" si="137"/>
        <v>Category</v>
      </c>
      <c r="BP80" s="3"/>
    </row>
    <row r="81" spans="1:69" hidden="1" x14ac:dyDescent="0.15">
      <c r="A81" s="12" t="s">
        <v>177</v>
      </c>
      <c r="B81" s="13" t="s">
        <v>178</v>
      </c>
      <c r="C81" s="13" t="s">
        <v>27</v>
      </c>
      <c r="D81" s="13" t="s">
        <v>40</v>
      </c>
      <c r="E81" s="13" t="s">
        <v>29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5">
        <v>0</v>
      </c>
      <c r="N81" s="670">
        <v>277734.34000000003</v>
      </c>
      <c r="O81" s="14">
        <v>220787.11</v>
      </c>
      <c r="P81" s="15">
        <v>827665.65</v>
      </c>
      <c r="Q81" s="15">
        <f>IF(ISTEXT('Incurred 2.5% cpi'!Q81),"",'Incurred 2.5% cpi'!Q81/'Incurred 2.5% cpi'!Q$17*Incurred!Q$17)</f>
        <v>867407.92</v>
      </c>
      <c r="R81" s="110">
        <f>IF(ISTEXT('Incurred 2.5% cpi'!R81),"",'Incurred 2.5% cpi'!R81/'Incurred 2.5% cpi'!R$17*Incurred!R$17*BG81)</f>
        <v>630786.87694507535</v>
      </c>
      <c r="S81" s="102">
        <f>IF(ISTEXT('Incurred 2.5% cpi'!S81),"",'Incurred 2.5% cpi'!S81/'Incurred 2.5% cpi'!S$17*Incurred!S$17*BH81)</f>
        <v>21680.455130812206</v>
      </c>
      <c r="T81" s="16" t="str">
        <f>IF(ISTEXT('Incurred 2.5% cpi'!T81),"",'Incurred 2.5% cpi'!T81/'Incurred 2.5% cpi'!T$17*Incurred!T$17*BI81)</f>
        <v/>
      </c>
      <c r="U81" s="16" t="str">
        <f>IF(ISTEXT('Incurred 2.5% cpi'!U81),"",'Incurred 2.5% cpi'!U81/'Incurred 2.5% cpi'!U$17*Incurred!U$17*BJ81)</f>
        <v/>
      </c>
      <c r="V81" s="16" t="str">
        <f>IF(ISTEXT('Incurred 2.5% cpi'!V81),"",'Incurred 2.5% cpi'!V81/'Incurred 2.5% cpi'!V$17*Incurred!V$17*BK81)</f>
        <v/>
      </c>
      <c r="W81" s="110" t="str">
        <f>IF(ISTEXT('Incurred 2.5% cpi'!W81),"",'Incurred 2.5% cpi'!W81/'Incurred 2.5% cpi'!W$17*Incurred!W$17*BL81)</f>
        <v/>
      </c>
      <c r="X81" s="102" t="str">
        <f>IF(ISTEXT('Incurred 2.5% cpi'!X81),"",'Incurred 2.5% cpi'!X81/'Incurred 2.5% cpi'!X$17*Incurred!X$17*BM81)</f>
        <v/>
      </c>
      <c r="Y81" s="80">
        <f t="shared" si="113"/>
        <v>2846062.3520758874</v>
      </c>
      <c r="Z81" s="80">
        <f t="shared" si="124"/>
        <v>2846062.3520758874</v>
      </c>
      <c r="AA81" s="566">
        <f t="shared" si="125"/>
        <v>3326364.870203462</v>
      </c>
      <c r="AB81" s="566">
        <f t="shared" si="126"/>
        <v>2940021.8526830049</v>
      </c>
      <c r="AC81" s="567">
        <f t="shared" si="146"/>
        <v>1.1314082128906247</v>
      </c>
      <c r="AD81" s="568" t="str">
        <f t="shared" si="128"/>
        <v>2019</v>
      </c>
      <c r="AE81" s="569">
        <v>43271</v>
      </c>
      <c r="AF81" s="568">
        <v>2018</v>
      </c>
      <c r="AG81" s="569"/>
      <c r="AH81" s="566">
        <f t="shared" si="142"/>
        <v>2940021.8526830049</v>
      </c>
      <c r="AI81" s="80">
        <f t="shared" si="129"/>
        <v>21680.455130812206</v>
      </c>
      <c r="AJ81" s="571" t="s">
        <v>0</v>
      </c>
      <c r="AK81" s="875">
        <f t="shared" si="138"/>
        <v>0</v>
      </c>
      <c r="AL81" s="28">
        <f t="shared" si="147"/>
        <v>0</v>
      </c>
      <c r="AM81" s="28">
        <f t="shared" si="147"/>
        <v>0</v>
      </c>
      <c r="AN81" s="28">
        <f t="shared" si="147"/>
        <v>0</v>
      </c>
      <c r="AO81" s="28">
        <f t="shared" si="147"/>
        <v>0</v>
      </c>
      <c r="AP81" s="28">
        <f t="shared" si="147"/>
        <v>0</v>
      </c>
      <c r="AQ81" s="28">
        <f t="shared" si="147"/>
        <v>0</v>
      </c>
      <c r="AR81" s="28">
        <f t="shared" si="147"/>
        <v>0</v>
      </c>
      <c r="AS81" s="28">
        <f t="shared" si="147"/>
        <v>0</v>
      </c>
      <c r="AT81" s="28">
        <f t="shared" si="147"/>
        <v>0</v>
      </c>
      <c r="AU81" s="28">
        <f t="shared" si="147"/>
        <v>0.93416923832074183</v>
      </c>
      <c r="AV81" s="28">
        <f t="shared" si="148"/>
        <v>0</v>
      </c>
      <c r="AW81" s="28">
        <f t="shared" si="148"/>
        <v>3.9926470866991783E-2</v>
      </c>
      <c r="AX81" s="28">
        <f t="shared" si="148"/>
        <v>0</v>
      </c>
      <c r="AY81" s="28">
        <f t="shared" si="148"/>
        <v>0</v>
      </c>
      <c r="AZ81" s="28">
        <f t="shared" si="148"/>
        <v>0</v>
      </c>
      <c r="BA81" s="28">
        <f t="shared" si="148"/>
        <v>2.5904290812266445E-2</v>
      </c>
      <c r="BB81" s="28">
        <f t="shared" si="148"/>
        <v>0</v>
      </c>
      <c r="BC81" s="28">
        <f t="shared" si="148"/>
        <v>0</v>
      </c>
      <c r="BD81" s="28">
        <f t="shared" si="148"/>
        <v>0</v>
      </c>
      <c r="BE81" s="28">
        <f t="shared" si="148"/>
        <v>0</v>
      </c>
      <c r="BF81" s="27">
        <f t="shared" si="145"/>
        <v>1</v>
      </c>
      <c r="BG81" s="520">
        <f t="shared" si="112"/>
        <v>1.0034498951996242</v>
      </c>
      <c r="BH81" s="520">
        <f t="shared" si="131"/>
        <v>1.0065926315443261</v>
      </c>
      <c r="BI81" s="520">
        <f t="shared" si="132"/>
        <v>1.0099939207178206</v>
      </c>
      <c r="BJ81" s="520">
        <f t="shared" si="133"/>
        <v>1.0139228081132494</v>
      </c>
      <c r="BK81" s="520">
        <f t="shared" si="134"/>
        <v>1.0196467222390713</v>
      </c>
      <c r="BL81" s="520">
        <f t="shared" si="135"/>
        <v>1.0260851094706045</v>
      </c>
      <c r="BM81" s="520">
        <f t="shared" si="136"/>
        <v>1.0303954349252136</v>
      </c>
      <c r="BN81" s="521" t="str">
        <f t="shared" si="137"/>
        <v>Category</v>
      </c>
      <c r="BP81" s="3"/>
    </row>
    <row r="82" spans="1:69" hidden="1" x14ac:dyDescent="0.15">
      <c r="A82" s="12" t="s">
        <v>179</v>
      </c>
      <c r="B82" s="13" t="s">
        <v>180</v>
      </c>
      <c r="C82" s="13" t="s">
        <v>27</v>
      </c>
      <c r="D82" s="13" t="s">
        <v>55</v>
      </c>
      <c r="E82" s="13" t="s">
        <v>32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5">
        <v>607819.53</v>
      </c>
      <c r="N82" s="670">
        <v>265317.2</v>
      </c>
      <c r="O82" s="14">
        <v>140277.35</v>
      </c>
      <c r="P82" s="15">
        <v>6212.29</v>
      </c>
      <c r="Q82" s="15" t="str">
        <f>IF(ISTEXT('Incurred 2.5% cpi'!Q82),"",'Incurred 2.5% cpi'!Q82/'Incurred 2.5% cpi'!Q$17*Incurred!Q$17)</f>
        <v/>
      </c>
      <c r="R82" s="110" t="str">
        <f>IF(ISTEXT('Incurred 2.5% cpi'!R82),"",'Incurred 2.5% cpi'!R82/'Incurred 2.5% cpi'!R$17*Incurred!R$17*BG82)</f>
        <v/>
      </c>
      <c r="S82" s="102" t="str">
        <f>IF(ISTEXT('Incurred 2.5% cpi'!S82),"",'Incurred 2.5% cpi'!S82/'Incurred 2.5% cpi'!S$17*Incurred!S$17*BH82)</f>
        <v/>
      </c>
      <c r="T82" s="16" t="str">
        <f>IF(ISTEXT('Incurred 2.5% cpi'!T82),"",'Incurred 2.5% cpi'!T82/'Incurred 2.5% cpi'!T$17*Incurred!T$17*BI82)</f>
        <v/>
      </c>
      <c r="U82" s="16" t="str">
        <f>IF(ISTEXT('Incurred 2.5% cpi'!U82),"",'Incurred 2.5% cpi'!U82/'Incurred 2.5% cpi'!U$17*Incurred!U$17*BJ82)</f>
        <v/>
      </c>
      <c r="V82" s="16" t="str">
        <f>IF(ISTEXT('Incurred 2.5% cpi'!V82),"",'Incurred 2.5% cpi'!V82/'Incurred 2.5% cpi'!V$17*Incurred!V$17*BK82)</f>
        <v/>
      </c>
      <c r="W82" s="110" t="str">
        <f>IF(ISTEXT('Incurred 2.5% cpi'!W82),"",'Incurred 2.5% cpi'!W82/'Incurred 2.5% cpi'!W$17*Incurred!W$17*BL82)</f>
        <v/>
      </c>
      <c r="X82" s="102" t="str">
        <f>IF(ISTEXT('Incurred 2.5% cpi'!X82),"",'Incurred 2.5% cpi'!X82/'Incurred 2.5% cpi'!X$17*Incurred!X$17*BM82)</f>
        <v/>
      </c>
      <c r="Y82" s="80">
        <f t="shared" si="113"/>
        <v>1019626.37</v>
      </c>
      <c r="Z82" s="80">
        <f t="shared" si="124"/>
        <v>1019626.37</v>
      </c>
      <c r="AA82" s="566">
        <f t="shared" si="125"/>
        <v>1258888.517959642</v>
      </c>
      <c r="AB82" s="566">
        <f t="shared" si="126"/>
        <v>1035433.9794627161</v>
      </c>
      <c r="AC82" s="567">
        <f t="shared" si="146"/>
        <v>1.2158076158683491</v>
      </c>
      <c r="AD82" s="568" t="str">
        <f t="shared" si="128"/>
        <v>2016</v>
      </c>
      <c r="AE82" s="569">
        <v>41793</v>
      </c>
      <c r="AF82" s="568">
        <v>2014</v>
      </c>
      <c r="AG82" s="569"/>
      <c r="AH82" s="566">
        <f t="shared" si="142"/>
        <v>1112674.0142210203</v>
      </c>
      <c r="AI82" s="80">
        <f t="shared" si="129"/>
        <v>6212.29</v>
      </c>
      <c r="AJ82" s="571" t="s">
        <v>0</v>
      </c>
      <c r="AK82" s="875">
        <f t="shared" si="138"/>
        <v>0</v>
      </c>
      <c r="AL82" s="28">
        <f t="shared" si="147"/>
        <v>0</v>
      </c>
      <c r="AM82" s="28">
        <f t="shared" si="147"/>
        <v>0</v>
      </c>
      <c r="AN82" s="28">
        <f t="shared" si="147"/>
        <v>0</v>
      </c>
      <c r="AO82" s="28">
        <f t="shared" si="147"/>
        <v>1</v>
      </c>
      <c r="AP82" s="28">
        <f t="shared" si="147"/>
        <v>0</v>
      </c>
      <c r="AQ82" s="28">
        <f t="shared" si="147"/>
        <v>0</v>
      </c>
      <c r="AR82" s="28">
        <f t="shared" si="147"/>
        <v>0</v>
      </c>
      <c r="AS82" s="28">
        <f t="shared" si="147"/>
        <v>0</v>
      </c>
      <c r="AT82" s="28">
        <f t="shared" si="147"/>
        <v>0</v>
      </c>
      <c r="AU82" s="28">
        <f t="shared" si="147"/>
        <v>0</v>
      </c>
      <c r="AV82" s="28">
        <f t="shared" si="148"/>
        <v>0</v>
      </c>
      <c r="AW82" s="28">
        <f t="shared" si="148"/>
        <v>0</v>
      </c>
      <c r="AX82" s="28">
        <f t="shared" si="148"/>
        <v>0</v>
      </c>
      <c r="AY82" s="28">
        <f t="shared" si="148"/>
        <v>0</v>
      </c>
      <c r="AZ82" s="28">
        <f t="shared" si="148"/>
        <v>0</v>
      </c>
      <c r="BA82" s="28">
        <f t="shared" si="148"/>
        <v>0</v>
      </c>
      <c r="BB82" s="28">
        <f t="shared" si="148"/>
        <v>0</v>
      </c>
      <c r="BC82" s="28">
        <f t="shared" si="148"/>
        <v>0</v>
      </c>
      <c r="BD82" s="28">
        <f t="shared" si="148"/>
        <v>0</v>
      </c>
      <c r="BE82" s="28">
        <f t="shared" si="148"/>
        <v>0</v>
      </c>
      <c r="BF82" s="27">
        <f t="shared" si="145"/>
        <v>1</v>
      </c>
      <c r="BG82" s="520">
        <f t="shared" si="112"/>
        <v>1.0046190746045656</v>
      </c>
      <c r="BH82" s="520">
        <f t="shared" si="131"/>
        <v>1.0088268933348963</v>
      </c>
      <c r="BI82" s="520">
        <f t="shared" si="132"/>
        <v>1.0133808891912874</v>
      </c>
      <c r="BJ82" s="520">
        <f t="shared" si="133"/>
        <v>1.018641287824382</v>
      </c>
      <c r="BK82" s="520">
        <f t="shared" si="134"/>
        <v>1.0263050529092395</v>
      </c>
      <c r="BL82" s="520">
        <f t="shared" si="135"/>
        <v>1.0349254280901359</v>
      </c>
      <c r="BM82" s="520">
        <f t="shared" si="136"/>
        <v>1.0406965352376705</v>
      </c>
      <c r="BN82" s="521" t="str">
        <f t="shared" si="137"/>
        <v>Category</v>
      </c>
      <c r="BP82" s="3"/>
    </row>
    <row r="83" spans="1:69" hidden="1" x14ac:dyDescent="0.15">
      <c r="A83" s="12" t="s">
        <v>181</v>
      </c>
      <c r="B83" s="13" t="s">
        <v>182</v>
      </c>
      <c r="C83" s="13" t="s">
        <v>27</v>
      </c>
      <c r="D83" s="13" t="s">
        <v>55</v>
      </c>
      <c r="E83" s="13" t="s">
        <v>32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5">
        <v>1444350.77</v>
      </c>
      <c r="N83" s="670">
        <v>1072130.25</v>
      </c>
      <c r="O83" s="14">
        <v>98304.17</v>
      </c>
      <c r="P83" s="15">
        <v>51373.36</v>
      </c>
      <c r="Q83" s="15" t="str">
        <f>IF(ISTEXT('Incurred 2.5% cpi'!Q83),"",'Incurred 2.5% cpi'!Q83/'Incurred 2.5% cpi'!Q$17*Incurred!Q$17)</f>
        <v/>
      </c>
      <c r="R83" s="110" t="str">
        <f>IF(ISTEXT('Incurred 2.5% cpi'!R83),"",'Incurred 2.5% cpi'!R83/'Incurred 2.5% cpi'!R$17*Incurred!R$17*BG83)</f>
        <v/>
      </c>
      <c r="S83" s="102" t="str">
        <f>IF(ISTEXT('Incurred 2.5% cpi'!S83),"",'Incurred 2.5% cpi'!S83/'Incurred 2.5% cpi'!S$17*Incurred!S$17*BH83)</f>
        <v/>
      </c>
      <c r="T83" s="16" t="str">
        <f>IF(ISTEXT('Incurred 2.5% cpi'!T83),"",'Incurred 2.5% cpi'!T83/'Incurred 2.5% cpi'!T$17*Incurred!T$17*BI83)</f>
        <v/>
      </c>
      <c r="U83" s="16" t="str">
        <f>IF(ISTEXT('Incurred 2.5% cpi'!U83),"",'Incurred 2.5% cpi'!U83/'Incurred 2.5% cpi'!U$17*Incurred!U$17*BJ83)</f>
        <v/>
      </c>
      <c r="V83" s="16" t="str">
        <f>IF(ISTEXT('Incurred 2.5% cpi'!V83),"",'Incurred 2.5% cpi'!V83/'Incurred 2.5% cpi'!V$17*Incurred!V$17*BK83)</f>
        <v/>
      </c>
      <c r="W83" s="110" t="str">
        <f>IF(ISTEXT('Incurred 2.5% cpi'!W83),"",'Incurred 2.5% cpi'!W83/'Incurred 2.5% cpi'!W$17*Incurred!W$17*BL83)</f>
        <v/>
      </c>
      <c r="X83" s="102" t="str">
        <f>IF(ISTEXT('Incurred 2.5% cpi'!X83),"",'Incurred 2.5% cpi'!X83/'Incurred 2.5% cpi'!X$17*Incurred!X$17*BM83)</f>
        <v/>
      </c>
      <c r="Y83" s="80">
        <f t="shared" si="113"/>
        <v>2666158.5499999998</v>
      </c>
      <c r="Z83" s="80">
        <f t="shared" si="124"/>
        <v>2666158.5499999998</v>
      </c>
      <c r="AA83" s="566">
        <f t="shared" si="125"/>
        <v>3289799.6544581591</v>
      </c>
      <c r="AB83" s="566">
        <f t="shared" si="126"/>
        <v>2741796.5964083993</v>
      </c>
      <c r="AC83" s="567">
        <f t="shared" si="146"/>
        <v>1.1998700628513483</v>
      </c>
      <c r="AD83" s="568" t="str">
        <f t="shared" si="128"/>
        <v>2016</v>
      </c>
      <c r="AE83" s="569">
        <v>41828</v>
      </c>
      <c r="AF83" s="568">
        <v>2015</v>
      </c>
      <c r="AG83" s="569"/>
      <c r="AH83" s="566">
        <f t="shared" si="142"/>
        <v>2907703.5299691516</v>
      </c>
      <c r="AI83" s="80">
        <f t="shared" si="129"/>
        <v>51373.36</v>
      </c>
      <c r="AJ83" s="571" t="s">
        <v>0</v>
      </c>
      <c r="AK83" s="875">
        <f t="shared" si="138"/>
        <v>0</v>
      </c>
      <c r="AL83" s="28">
        <f t="shared" si="147"/>
        <v>0</v>
      </c>
      <c r="AM83" s="28">
        <f t="shared" si="147"/>
        <v>0</v>
      </c>
      <c r="AN83" s="28">
        <f t="shared" si="147"/>
        <v>0</v>
      </c>
      <c r="AO83" s="28">
        <f t="shared" si="147"/>
        <v>1</v>
      </c>
      <c r="AP83" s="28">
        <f t="shared" si="147"/>
        <v>0</v>
      </c>
      <c r="AQ83" s="28">
        <f t="shared" si="147"/>
        <v>0</v>
      </c>
      <c r="AR83" s="28">
        <f t="shared" si="147"/>
        <v>0</v>
      </c>
      <c r="AS83" s="28">
        <f t="shared" si="147"/>
        <v>0</v>
      </c>
      <c r="AT83" s="28">
        <f t="shared" si="147"/>
        <v>0</v>
      </c>
      <c r="AU83" s="28">
        <f t="shared" si="147"/>
        <v>0</v>
      </c>
      <c r="AV83" s="28">
        <f t="shared" si="148"/>
        <v>0</v>
      </c>
      <c r="AW83" s="28">
        <f t="shared" si="148"/>
        <v>0</v>
      </c>
      <c r="AX83" s="28">
        <f t="shared" si="148"/>
        <v>0</v>
      </c>
      <c r="AY83" s="28">
        <f t="shared" si="148"/>
        <v>0</v>
      </c>
      <c r="AZ83" s="28">
        <f t="shared" si="148"/>
        <v>0</v>
      </c>
      <c r="BA83" s="28">
        <f t="shared" si="148"/>
        <v>0</v>
      </c>
      <c r="BB83" s="28">
        <f t="shared" si="148"/>
        <v>0</v>
      </c>
      <c r="BC83" s="28">
        <f t="shared" si="148"/>
        <v>0</v>
      </c>
      <c r="BD83" s="28">
        <f t="shared" si="148"/>
        <v>0</v>
      </c>
      <c r="BE83" s="28">
        <f t="shared" si="148"/>
        <v>0</v>
      </c>
      <c r="BF83" s="27">
        <f t="shared" si="145"/>
        <v>1</v>
      </c>
      <c r="BG83" s="520">
        <f t="shared" si="112"/>
        <v>1.0046190746045656</v>
      </c>
      <c r="BH83" s="520">
        <f t="shared" si="131"/>
        <v>1.0088268933348963</v>
      </c>
      <c r="BI83" s="520">
        <f t="shared" si="132"/>
        <v>1.0133808891912874</v>
      </c>
      <c r="BJ83" s="520">
        <f t="shared" si="133"/>
        <v>1.018641287824382</v>
      </c>
      <c r="BK83" s="520">
        <f t="shared" si="134"/>
        <v>1.0263050529092395</v>
      </c>
      <c r="BL83" s="520">
        <f t="shared" si="135"/>
        <v>1.0349254280901359</v>
      </c>
      <c r="BM83" s="520">
        <f t="shared" si="136"/>
        <v>1.0406965352376705</v>
      </c>
      <c r="BN83" s="521" t="str">
        <f t="shared" si="137"/>
        <v>Category</v>
      </c>
      <c r="BP83" s="3"/>
    </row>
    <row r="84" spans="1:69" hidden="1" x14ac:dyDescent="0.15">
      <c r="A84" s="12" t="s">
        <v>186</v>
      </c>
      <c r="B84" s="13" t="s">
        <v>2359</v>
      </c>
      <c r="C84" s="13" t="s">
        <v>27</v>
      </c>
      <c r="D84" s="13" t="s">
        <v>40</v>
      </c>
      <c r="E84" s="13" t="s">
        <v>32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9558.66</v>
      </c>
      <c r="M84" s="15">
        <v>393759.8</v>
      </c>
      <c r="N84" s="670">
        <v>643443.42000000004</v>
      </c>
      <c r="O84" s="14">
        <v>5618545.5199999996</v>
      </c>
      <c r="P84" s="15">
        <v>984885.6</v>
      </c>
      <c r="Q84" s="15" t="str">
        <f>IF(ISTEXT('Incurred 2.5% cpi'!Q84),"",'Incurred 2.5% cpi'!Q84/'Incurred 2.5% cpi'!Q$17*Incurred!Q$17)</f>
        <v/>
      </c>
      <c r="R84" s="110" t="str">
        <f>IF(ISTEXT('Incurred 2.5% cpi'!R84),"",'Incurred 2.5% cpi'!R84/'Incurred 2.5% cpi'!R$17*Incurred!R$17*BG84)</f>
        <v/>
      </c>
      <c r="S84" s="102" t="str">
        <f>IF(ISTEXT('Incurred 2.5% cpi'!S84),"",'Incurred 2.5% cpi'!S84/'Incurred 2.5% cpi'!S$17*Incurred!S$17*BH84)</f>
        <v/>
      </c>
      <c r="T84" s="16" t="str">
        <f>IF(ISTEXT('Incurred 2.5% cpi'!T84),"",'Incurred 2.5% cpi'!T84/'Incurred 2.5% cpi'!T$17*Incurred!T$17*BI84)</f>
        <v/>
      </c>
      <c r="U84" s="16" t="str">
        <f>IF(ISTEXT('Incurred 2.5% cpi'!U84),"",'Incurred 2.5% cpi'!U84/'Incurred 2.5% cpi'!U$17*Incurred!U$17*BJ84)</f>
        <v/>
      </c>
      <c r="V84" s="16" t="str">
        <f>IF(ISTEXT('Incurred 2.5% cpi'!V84),"",'Incurred 2.5% cpi'!V84/'Incurred 2.5% cpi'!V$17*Incurred!V$17*BK84)</f>
        <v/>
      </c>
      <c r="W84" s="110" t="str">
        <f>IF(ISTEXT('Incurred 2.5% cpi'!W84),"",'Incurred 2.5% cpi'!W84/'Incurred 2.5% cpi'!W$17*Incurred!W$17*BL84)</f>
        <v/>
      </c>
      <c r="X84" s="102" t="str">
        <f>IF(ISTEXT('Incurred 2.5% cpi'!X84),"",'Incurred 2.5% cpi'!X84/'Incurred 2.5% cpi'!X$17*Incurred!X$17*BM84)</f>
        <v/>
      </c>
      <c r="Y84" s="80">
        <f t="shared" si="113"/>
        <v>7650192.9999999991</v>
      </c>
      <c r="Z84" s="80">
        <f t="shared" si="124"/>
        <v>7650192.9999999991</v>
      </c>
      <c r="AA84" s="566">
        <f t="shared" si="125"/>
        <v>9195295.2060268372</v>
      </c>
      <c r="AB84" s="566">
        <f t="shared" si="126"/>
        <v>7764034.6834689463</v>
      </c>
      <c r="AC84" s="567">
        <f t="shared" si="146"/>
        <v>1.1843449418902401</v>
      </c>
      <c r="AD84" s="568" t="str">
        <f t="shared" si="128"/>
        <v>2016</v>
      </c>
      <c r="AE84" s="569">
        <v>42202</v>
      </c>
      <c r="AF84" s="568" t="s">
        <v>3152</v>
      </c>
      <c r="AG84" s="569"/>
      <c r="AH84" s="566">
        <f>IF(ROUND(Y84,0)=0,0,SUMPRODUCT($F$19:$W$19,F84:W84))</f>
        <v>8127301.0936820609</v>
      </c>
      <c r="AI84" s="80">
        <f t="shared" si="129"/>
        <v>984885.6</v>
      </c>
      <c r="AJ84" s="571" t="s">
        <v>0</v>
      </c>
      <c r="AK84" s="875">
        <f t="shared" si="138"/>
        <v>0</v>
      </c>
      <c r="AL84" s="28">
        <f t="shared" ref="AL84:AU86" si="149">IF($AK84=0,VLOOKUP(MID($A84,4,5),ProjectSplits,AL$23,FALSE),IF(ISNA(VLOOKUP($A84,Estimates,AL$22,FALSE)),VLOOKUP(MID($A84,4,5),ProjectSplits,AL$23,FALSE),VLOOKUP($A84,Estimates,AL$22,FALSE)))</f>
        <v>0</v>
      </c>
      <c r="AM84" s="28">
        <f t="shared" si="149"/>
        <v>0.1100869627713095</v>
      </c>
      <c r="AN84" s="28">
        <f t="shared" si="149"/>
        <v>8.7986919649274117E-2</v>
      </c>
      <c r="AO84" s="28">
        <f t="shared" si="149"/>
        <v>0</v>
      </c>
      <c r="AP84" s="28">
        <f t="shared" si="149"/>
        <v>0</v>
      </c>
      <c r="AQ84" s="28">
        <f t="shared" si="149"/>
        <v>0</v>
      </c>
      <c r="AR84" s="28">
        <f t="shared" si="149"/>
        <v>0</v>
      </c>
      <c r="AS84" s="28">
        <f t="shared" si="149"/>
        <v>0</v>
      </c>
      <c r="AT84" s="28">
        <f t="shared" si="149"/>
        <v>0</v>
      </c>
      <c r="AU84" s="28">
        <f t="shared" si="149"/>
        <v>0.27765200517464428</v>
      </c>
      <c r="AV84" s="28">
        <f t="shared" ref="AV84:BE86" si="150">IF($AK84=0,VLOOKUP(MID($A84,4,5),ProjectSplits,AV$23,FALSE),IF(ISNA(VLOOKUP($A84,Estimates,AV$22,FALSE)),VLOOKUP(MID($A84,4,5),ProjectSplits,AV$23,FALSE),VLOOKUP($A84,Estimates,AV$22,FALSE)))</f>
        <v>0</v>
      </c>
      <c r="AW84" s="28">
        <f t="shared" si="150"/>
        <v>0.35649345982463709</v>
      </c>
      <c r="AX84" s="28">
        <f t="shared" si="150"/>
        <v>0</v>
      </c>
      <c r="AY84" s="28">
        <f t="shared" si="150"/>
        <v>0</v>
      </c>
      <c r="AZ84" s="28">
        <f t="shared" si="150"/>
        <v>0.15047793589190744</v>
      </c>
      <c r="BA84" s="28">
        <f t="shared" si="150"/>
        <v>1.7302716688227686E-2</v>
      </c>
      <c r="BB84" s="28">
        <f t="shared" si="150"/>
        <v>0</v>
      </c>
      <c r="BC84" s="28">
        <f t="shared" si="150"/>
        <v>0</v>
      </c>
      <c r="BD84" s="28">
        <f t="shared" si="150"/>
        <v>0</v>
      </c>
      <c r="BE84" s="28">
        <f t="shared" si="150"/>
        <v>0</v>
      </c>
      <c r="BF84" s="27">
        <f t="shared" ref="BF84:BF86" si="151">SUM(AL84:BD84)</f>
        <v>1</v>
      </c>
      <c r="BG84" s="520">
        <f t="shared" si="112"/>
        <v>1.0034498951996242</v>
      </c>
      <c r="BH84" s="520">
        <f t="shared" si="131"/>
        <v>1.0065926315443261</v>
      </c>
      <c r="BI84" s="520">
        <f t="shared" si="132"/>
        <v>1.0099939207178206</v>
      </c>
      <c r="BJ84" s="520">
        <f t="shared" si="133"/>
        <v>1.0139228081132494</v>
      </c>
      <c r="BK84" s="520">
        <f t="shared" si="134"/>
        <v>1.0196467222390713</v>
      </c>
      <c r="BL84" s="520">
        <f t="shared" si="135"/>
        <v>1.0260851094706045</v>
      </c>
      <c r="BM84" s="520">
        <f t="shared" si="136"/>
        <v>1.0303954349252136</v>
      </c>
      <c r="BN84" s="521" t="str">
        <f t="shared" si="137"/>
        <v>Category</v>
      </c>
      <c r="BP84" s="3"/>
    </row>
    <row r="85" spans="1:69" hidden="1" x14ac:dyDescent="0.15">
      <c r="A85" s="12" t="s">
        <v>187</v>
      </c>
      <c r="B85" s="13" t="s">
        <v>2360</v>
      </c>
      <c r="C85" s="13" t="s">
        <v>27</v>
      </c>
      <c r="D85" s="13" t="s">
        <v>40</v>
      </c>
      <c r="E85" s="13" t="s">
        <v>32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10681.96</v>
      </c>
      <c r="M85" s="15">
        <v>297096.37</v>
      </c>
      <c r="N85" s="670">
        <v>617142.07999999996</v>
      </c>
      <c r="O85" s="14">
        <v>5327208.32</v>
      </c>
      <c r="P85" s="15">
        <v>582613.27</v>
      </c>
      <c r="Q85" s="15" t="str">
        <f>IF(ISTEXT('Incurred 2.5% cpi'!Q85),"",'Incurred 2.5% cpi'!Q85/'Incurred 2.5% cpi'!Q$17*Incurred!Q$17)</f>
        <v/>
      </c>
      <c r="R85" s="110" t="str">
        <f>IF(ISTEXT('Incurred 2.5% cpi'!R85),"",'Incurred 2.5% cpi'!R85/'Incurred 2.5% cpi'!R$17*Incurred!R$17*BG85)</f>
        <v/>
      </c>
      <c r="S85" s="102" t="str">
        <f>IF(ISTEXT('Incurred 2.5% cpi'!S85),"",'Incurred 2.5% cpi'!S85/'Incurred 2.5% cpi'!S$17*Incurred!S$17*BH85)</f>
        <v/>
      </c>
      <c r="T85" s="16" t="str">
        <f>IF(ISTEXT('Incurred 2.5% cpi'!T85),"",'Incurred 2.5% cpi'!T85/'Incurred 2.5% cpi'!T$17*Incurred!T$17*BI85)</f>
        <v/>
      </c>
      <c r="U85" s="16" t="str">
        <f>IF(ISTEXT('Incurred 2.5% cpi'!U85),"",'Incurred 2.5% cpi'!U85/'Incurred 2.5% cpi'!U$17*Incurred!U$17*BJ85)</f>
        <v/>
      </c>
      <c r="V85" s="16" t="str">
        <f>IF(ISTEXT('Incurred 2.5% cpi'!V85),"",'Incurred 2.5% cpi'!V85/'Incurred 2.5% cpi'!V$17*Incurred!V$17*BK85)</f>
        <v/>
      </c>
      <c r="W85" s="110" t="str">
        <f>IF(ISTEXT('Incurred 2.5% cpi'!W85),"",'Incurred 2.5% cpi'!W85/'Incurred 2.5% cpi'!W$17*Incurred!W$17*BL85)</f>
        <v/>
      </c>
      <c r="X85" s="102" t="str">
        <f>IF(ISTEXT('Incurred 2.5% cpi'!X85),"",'Incurred 2.5% cpi'!X85/'Incurred 2.5% cpi'!X$17*Incurred!X$17*BM85)</f>
        <v/>
      </c>
      <c r="Y85" s="80">
        <f t="shared" si="113"/>
        <v>6834742</v>
      </c>
      <c r="Z85" s="80">
        <f t="shared" si="124"/>
        <v>6834742</v>
      </c>
      <c r="AA85" s="566">
        <f t="shared" si="125"/>
        <v>8217795.5348331146</v>
      </c>
      <c r="AB85" s="566">
        <f t="shared" si="126"/>
        <v>6938684.199315561</v>
      </c>
      <c r="AC85" s="567">
        <f t="shared" si="146"/>
        <v>1.1843449418902401</v>
      </c>
      <c r="AD85" s="568" t="str">
        <f t="shared" si="128"/>
        <v>2016</v>
      </c>
      <c r="AE85" s="569">
        <v>42184</v>
      </c>
      <c r="AF85" s="568" t="s">
        <v>3152</v>
      </c>
      <c r="AG85" s="569"/>
      <c r="AH85" s="566">
        <f>IF(ROUND(Y85,0)=0,0,SUMPRODUCT($F$19:$W$19,F85:W85))</f>
        <v>7263333.8181605944</v>
      </c>
      <c r="AI85" s="80">
        <f t="shared" si="129"/>
        <v>582613.27</v>
      </c>
      <c r="AJ85" s="571" t="s">
        <v>0</v>
      </c>
      <c r="AK85" s="875">
        <f t="shared" si="138"/>
        <v>0</v>
      </c>
      <c r="AL85" s="28">
        <f t="shared" si="149"/>
        <v>0</v>
      </c>
      <c r="AM85" s="28">
        <f t="shared" si="149"/>
        <v>0</v>
      </c>
      <c r="AN85" s="28">
        <f t="shared" si="149"/>
        <v>0.10776253580827726</v>
      </c>
      <c r="AO85" s="28">
        <f t="shared" si="149"/>
        <v>0</v>
      </c>
      <c r="AP85" s="28">
        <f t="shared" si="149"/>
        <v>0</v>
      </c>
      <c r="AQ85" s="28">
        <f t="shared" si="149"/>
        <v>0</v>
      </c>
      <c r="AR85" s="28">
        <f t="shared" si="149"/>
        <v>0</v>
      </c>
      <c r="AS85" s="28">
        <f t="shared" si="149"/>
        <v>0</v>
      </c>
      <c r="AT85" s="28">
        <f t="shared" si="149"/>
        <v>0</v>
      </c>
      <c r="AU85" s="28">
        <f t="shared" si="149"/>
        <v>0.39145725132170395</v>
      </c>
      <c r="AV85" s="28">
        <f t="shared" si="150"/>
        <v>0</v>
      </c>
      <c r="AW85" s="28">
        <f t="shared" si="150"/>
        <v>0.30943009525584003</v>
      </c>
      <c r="AX85" s="28">
        <f t="shared" si="150"/>
        <v>0</v>
      </c>
      <c r="AY85" s="28">
        <f t="shared" si="150"/>
        <v>0</v>
      </c>
      <c r="AZ85" s="28">
        <f t="shared" si="150"/>
        <v>0.19135011761417889</v>
      </c>
      <c r="BA85" s="28">
        <f t="shared" si="150"/>
        <v>0</v>
      </c>
      <c r="BB85" s="28">
        <f t="shared" si="150"/>
        <v>0</v>
      </c>
      <c r="BC85" s="28">
        <f t="shared" si="150"/>
        <v>0</v>
      </c>
      <c r="BD85" s="28">
        <f t="shared" si="150"/>
        <v>0</v>
      </c>
      <c r="BE85" s="28">
        <f t="shared" si="150"/>
        <v>0</v>
      </c>
      <c r="BF85" s="27">
        <f t="shared" si="151"/>
        <v>1.0000000000000002</v>
      </c>
      <c r="BG85" s="520">
        <f t="shared" si="112"/>
        <v>1.0034498951996242</v>
      </c>
      <c r="BH85" s="520">
        <f t="shared" si="131"/>
        <v>1.0065926315443261</v>
      </c>
      <c r="BI85" s="520">
        <f t="shared" si="132"/>
        <v>1.0099939207178206</v>
      </c>
      <c r="BJ85" s="520">
        <f t="shared" si="133"/>
        <v>1.0139228081132494</v>
      </c>
      <c r="BK85" s="520">
        <f t="shared" si="134"/>
        <v>1.0196467222390713</v>
      </c>
      <c r="BL85" s="520">
        <f t="shared" si="135"/>
        <v>1.0260851094706045</v>
      </c>
      <c r="BM85" s="520">
        <f t="shared" si="136"/>
        <v>1.0303954349252136</v>
      </c>
      <c r="BN85" s="521" t="str">
        <f t="shared" si="137"/>
        <v>Category</v>
      </c>
      <c r="BP85" s="3"/>
    </row>
    <row r="86" spans="1:69" hidden="1" x14ac:dyDescent="0.15">
      <c r="A86" s="78" t="s">
        <v>188</v>
      </c>
      <c r="B86" s="13" t="s">
        <v>189</v>
      </c>
      <c r="C86" s="13" t="s">
        <v>27</v>
      </c>
      <c r="D86" s="13" t="s">
        <v>28</v>
      </c>
      <c r="E86" s="13" t="s">
        <v>45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203825.27</v>
      </c>
      <c r="M86" s="15">
        <v>133765.42000000001</v>
      </c>
      <c r="N86" s="670"/>
      <c r="O86" s="14"/>
      <c r="P86" s="15"/>
      <c r="Q86" s="15">
        <f>IF(ISTEXT('Incurred 2.5% cpi'!Q86),"",'Incurred 2.5% cpi'!Q86/'Incurred 2.5% cpi'!Q$17*Incurred!Q$17)</f>
        <v>-337590.69</v>
      </c>
      <c r="R86" s="110" t="str">
        <f>IF(ISTEXT('Incurred 2.5% cpi'!R86),"",'Incurred 2.5% cpi'!R86/'Incurred 2.5% cpi'!R$17*Incurred!R$17*BG86)</f>
        <v/>
      </c>
      <c r="S86" s="102" t="str">
        <f>IF(ISTEXT('Incurred 2.5% cpi'!S86),"",'Incurred 2.5% cpi'!S86/'Incurred 2.5% cpi'!S$17*Incurred!S$17*BH86)</f>
        <v/>
      </c>
      <c r="T86" s="16" t="str">
        <f>IF(ISTEXT('Incurred 2.5% cpi'!T86),"",'Incurred 2.5% cpi'!T86/'Incurred 2.5% cpi'!T$17*Incurred!T$17*BI86)</f>
        <v/>
      </c>
      <c r="U86" s="16" t="str">
        <f>IF(ISTEXT('Incurred 2.5% cpi'!U86),"",'Incurred 2.5% cpi'!U86/'Incurred 2.5% cpi'!U$17*Incurred!U$17*BJ86)</f>
        <v/>
      </c>
      <c r="V86" s="16" t="str">
        <f>IF(ISTEXT('Incurred 2.5% cpi'!V86),"",'Incurred 2.5% cpi'!V86/'Incurred 2.5% cpi'!V$17*Incurred!V$17*BK86)</f>
        <v/>
      </c>
      <c r="W86" s="110" t="str">
        <f>IF(ISTEXT('Incurred 2.5% cpi'!W86),"",'Incurred 2.5% cpi'!W86/'Incurred 2.5% cpi'!W$17*Incurred!W$17*BL86)</f>
        <v/>
      </c>
      <c r="X86" s="102" t="str">
        <f>IF(ISTEXT('Incurred 2.5% cpi'!X86),"",'Incurred 2.5% cpi'!X86/'Incurred 2.5% cpi'!X$17*Incurred!X$17*BM86)</f>
        <v/>
      </c>
      <c r="Y86" s="80">
        <f t="shared" si="113"/>
        <v>0</v>
      </c>
      <c r="Z86" s="80">
        <f t="shared" si="124"/>
        <v>675181.38</v>
      </c>
      <c r="AA86" s="572">
        <f>IF(ROUND(Y86,0)=0,0,SUMPRODUCT($F$20:$W$20,F86:W86))*0</f>
        <v>0</v>
      </c>
      <c r="AB86" s="566" t="str">
        <f t="shared" si="126"/>
        <v/>
      </c>
      <c r="AC86" s="567" t="str">
        <f t="shared" si="146"/>
        <v/>
      </c>
      <c r="AD86" s="568" t="str">
        <f t="shared" si="128"/>
        <v>2017</v>
      </c>
      <c r="AE86" s="569" t="s">
        <v>0</v>
      </c>
      <c r="AF86" s="568" t="s">
        <v>0</v>
      </c>
      <c r="AG86" s="569"/>
      <c r="AH86" s="572">
        <f>IF(ROUND(Y86,0)=0,0,SUMPRODUCT($F$19:$W$19,F86:W86))*0</f>
        <v>0</v>
      </c>
      <c r="AI86" s="80">
        <f t="shared" si="129"/>
        <v>-337590.69</v>
      </c>
      <c r="AJ86" s="571" t="s">
        <v>0</v>
      </c>
      <c r="AK86" s="875">
        <f t="shared" si="138"/>
        <v>0</v>
      </c>
      <c r="AL86" s="28">
        <f t="shared" si="149"/>
        <v>0</v>
      </c>
      <c r="AM86" s="28">
        <f t="shared" si="149"/>
        <v>0</v>
      </c>
      <c r="AN86" s="28">
        <f t="shared" si="149"/>
        <v>0</v>
      </c>
      <c r="AO86" s="28">
        <f t="shared" si="149"/>
        <v>0</v>
      </c>
      <c r="AP86" s="28">
        <f t="shared" si="149"/>
        <v>0</v>
      </c>
      <c r="AQ86" s="28">
        <f t="shared" si="149"/>
        <v>0</v>
      </c>
      <c r="AR86" s="28">
        <f t="shared" si="149"/>
        <v>0</v>
      </c>
      <c r="AS86" s="28">
        <f t="shared" si="149"/>
        <v>0</v>
      </c>
      <c r="AT86" s="28">
        <f t="shared" si="149"/>
        <v>0</v>
      </c>
      <c r="AU86" s="28">
        <f t="shared" si="149"/>
        <v>0.81187441134059291</v>
      </c>
      <c r="AV86" s="28">
        <f t="shared" si="150"/>
        <v>0</v>
      </c>
      <c r="AW86" s="28">
        <f t="shared" si="150"/>
        <v>7.8209767094487168E-2</v>
      </c>
      <c r="AX86" s="28">
        <f t="shared" si="150"/>
        <v>0</v>
      </c>
      <c r="AY86" s="28">
        <f t="shared" si="150"/>
        <v>0</v>
      </c>
      <c r="AZ86" s="28">
        <f t="shared" si="150"/>
        <v>0.10545422800705585</v>
      </c>
      <c r="BA86" s="28">
        <f t="shared" si="150"/>
        <v>4.4615935578642381E-3</v>
      </c>
      <c r="BB86" s="28">
        <f t="shared" si="150"/>
        <v>0</v>
      </c>
      <c r="BC86" s="28">
        <f t="shared" si="150"/>
        <v>0</v>
      </c>
      <c r="BD86" s="28">
        <f t="shared" si="150"/>
        <v>0</v>
      </c>
      <c r="BE86" s="28">
        <f t="shared" si="150"/>
        <v>0</v>
      </c>
      <c r="BF86" s="27">
        <f t="shared" si="151"/>
        <v>1</v>
      </c>
      <c r="BG86" s="520">
        <f t="shared" si="112"/>
        <v>1.0030444840366091</v>
      </c>
      <c r="BH86" s="520">
        <f t="shared" si="131"/>
        <v>1.0058179046998681</v>
      </c>
      <c r="BI86" s="520">
        <f t="shared" si="132"/>
        <v>1.0088194946014175</v>
      </c>
      <c r="BJ86" s="520">
        <f t="shared" si="133"/>
        <v>1.0122866825201464</v>
      </c>
      <c r="BK86" s="520">
        <f t="shared" si="134"/>
        <v>1.0173379563051834</v>
      </c>
      <c r="BL86" s="520">
        <f t="shared" si="135"/>
        <v>1.023019742566414</v>
      </c>
      <c r="BM86" s="520">
        <f t="shared" si="136"/>
        <v>1.026823544212498</v>
      </c>
      <c r="BN86" s="521" t="str">
        <f t="shared" si="137"/>
        <v>Category</v>
      </c>
      <c r="BP86" s="3"/>
    </row>
    <row r="87" spans="1:69" hidden="1" x14ac:dyDescent="0.15">
      <c r="A87" s="78" t="s">
        <v>190</v>
      </c>
      <c r="B87" s="13" t="s">
        <v>191</v>
      </c>
      <c r="C87" s="13" t="s">
        <v>27</v>
      </c>
      <c r="D87" s="13" t="s">
        <v>55</v>
      </c>
      <c r="E87" s="13" t="s">
        <v>32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5">
        <v>124347.76</v>
      </c>
      <c r="N87" s="670">
        <v>154643.18</v>
      </c>
      <c r="O87" s="14">
        <v>482919.11</v>
      </c>
      <c r="P87" s="15">
        <v>18252.330000000002</v>
      </c>
      <c r="Q87" s="15">
        <f>IF(ISTEXT('Incurred 2.5% cpi'!Q87),"",'Incurred 2.5% cpi'!Q87/'Incurred 2.5% cpi'!Q$17*Incurred!Q$17)</f>
        <v>2.44</v>
      </c>
      <c r="R87" s="110" t="str">
        <f>IF(ISTEXT('Incurred 2.5% cpi'!R87),"",'Incurred 2.5% cpi'!R87/'Incurred 2.5% cpi'!R$17*Incurred!R$17*BG87)</f>
        <v/>
      </c>
      <c r="S87" s="102" t="str">
        <f>IF(ISTEXT('Incurred 2.5% cpi'!S87),"",'Incurred 2.5% cpi'!S87/'Incurred 2.5% cpi'!S$17*Incurred!S$17*BH87)</f>
        <v/>
      </c>
      <c r="T87" s="16" t="str">
        <f>IF(ISTEXT('Incurred 2.5% cpi'!T87),"",'Incurred 2.5% cpi'!T87/'Incurred 2.5% cpi'!T$17*Incurred!T$17*BI87)</f>
        <v/>
      </c>
      <c r="U87" s="16" t="str">
        <f>IF(ISTEXT('Incurred 2.5% cpi'!U87),"",'Incurred 2.5% cpi'!U87/'Incurred 2.5% cpi'!U$17*Incurred!U$17*BJ87)</f>
        <v/>
      </c>
      <c r="V87" s="16" t="str">
        <f>IF(ISTEXT('Incurred 2.5% cpi'!V87),"",'Incurred 2.5% cpi'!V87/'Incurred 2.5% cpi'!V$17*Incurred!V$17*BK87)</f>
        <v/>
      </c>
      <c r="W87" s="110" t="str">
        <f>IF(ISTEXT('Incurred 2.5% cpi'!W87),"",'Incurred 2.5% cpi'!W87/'Incurred 2.5% cpi'!W$17*Incurred!W$17*BL87)</f>
        <v/>
      </c>
      <c r="X87" s="102" t="str">
        <f>IF(ISTEXT('Incurred 2.5% cpi'!X87),"",'Incurred 2.5% cpi'!X87/'Incurred 2.5% cpi'!X$17*Incurred!X$17*BM87)</f>
        <v/>
      </c>
      <c r="Y87" s="80">
        <f t="shared" si="113"/>
        <v>780164.82</v>
      </c>
      <c r="Z87" s="80">
        <f t="shared" si="124"/>
        <v>780164.82</v>
      </c>
      <c r="AA87" s="566">
        <f t="shared" si="125"/>
        <v>944688.56493769691</v>
      </c>
      <c r="AB87" s="566">
        <f t="shared" si="126"/>
        <v>814601.98885450268</v>
      </c>
      <c r="AC87" s="567">
        <f t="shared" si="146"/>
        <v>1.1596934182128902</v>
      </c>
      <c r="AD87" s="568" t="str">
        <f t="shared" si="128"/>
        <v>2017</v>
      </c>
      <c r="AE87" s="569">
        <v>42215</v>
      </c>
      <c r="AF87" s="568" t="s">
        <v>3152</v>
      </c>
      <c r="AG87" s="569"/>
      <c r="AH87" s="566">
        <f t="shared" ref="AH87:AH91" si="152">IF(ROUND(Y87,0)=0,0,SUMPRODUCT($F$19:$W$19,F87:W87))</f>
        <v>834967.03857586521</v>
      </c>
      <c r="AI87" s="80">
        <f t="shared" si="129"/>
        <v>2.44</v>
      </c>
      <c r="AJ87" s="571" t="s">
        <v>0</v>
      </c>
      <c r="AK87" s="875">
        <f t="shared" si="138"/>
        <v>0</v>
      </c>
      <c r="AL87" s="28">
        <f t="shared" ref="AL87:AU91" si="153">IF($AK87=0,VLOOKUP(MID($A87,4,5),ProjectSplits,AL$23,FALSE),IF(ISNA(VLOOKUP($A87,Estimates,AL$22,FALSE)),VLOOKUP(MID($A87,4,5),ProjectSplits,AL$23,FALSE),VLOOKUP($A87,Estimates,AL$22,FALSE)))</f>
        <v>0</v>
      </c>
      <c r="AM87" s="28">
        <f t="shared" si="153"/>
        <v>0</v>
      </c>
      <c r="AN87" s="28">
        <f t="shared" si="153"/>
        <v>0</v>
      </c>
      <c r="AO87" s="28">
        <f t="shared" si="153"/>
        <v>1</v>
      </c>
      <c r="AP87" s="28">
        <f t="shared" si="153"/>
        <v>0</v>
      </c>
      <c r="AQ87" s="28">
        <f t="shared" si="153"/>
        <v>0</v>
      </c>
      <c r="AR87" s="28">
        <f t="shared" si="153"/>
        <v>0</v>
      </c>
      <c r="AS87" s="28">
        <f t="shared" si="153"/>
        <v>0</v>
      </c>
      <c r="AT87" s="28">
        <f t="shared" si="153"/>
        <v>0</v>
      </c>
      <c r="AU87" s="28">
        <f t="shared" si="153"/>
        <v>0</v>
      </c>
      <c r="AV87" s="28">
        <f t="shared" ref="AV87:BE91" si="154">IF($AK87=0,VLOOKUP(MID($A87,4,5),ProjectSplits,AV$23,FALSE),IF(ISNA(VLOOKUP($A87,Estimates,AV$22,FALSE)),VLOOKUP(MID($A87,4,5),ProjectSplits,AV$23,FALSE),VLOOKUP($A87,Estimates,AV$22,FALSE)))</f>
        <v>0</v>
      </c>
      <c r="AW87" s="28">
        <f t="shared" si="154"/>
        <v>0</v>
      </c>
      <c r="AX87" s="28">
        <f t="shared" si="154"/>
        <v>0</v>
      </c>
      <c r="AY87" s="28">
        <f t="shared" si="154"/>
        <v>0</v>
      </c>
      <c r="AZ87" s="28">
        <f t="shared" si="154"/>
        <v>0</v>
      </c>
      <c r="BA87" s="28">
        <f t="shared" si="154"/>
        <v>0</v>
      </c>
      <c r="BB87" s="28">
        <f t="shared" si="154"/>
        <v>0</v>
      </c>
      <c r="BC87" s="28">
        <f t="shared" si="154"/>
        <v>0</v>
      </c>
      <c r="BD87" s="28">
        <f t="shared" si="154"/>
        <v>0</v>
      </c>
      <c r="BE87" s="28">
        <f t="shared" si="154"/>
        <v>0</v>
      </c>
      <c r="BF87" s="27">
        <f t="shared" ref="BF87:BF91" si="155">SUM(AL87:BD87)</f>
        <v>1</v>
      </c>
      <c r="BG87" s="520">
        <f t="shared" si="112"/>
        <v>1.0046190746045656</v>
      </c>
      <c r="BH87" s="520">
        <f t="shared" si="131"/>
        <v>1.0088268933348963</v>
      </c>
      <c r="BI87" s="520">
        <f t="shared" si="132"/>
        <v>1.0133808891912874</v>
      </c>
      <c r="BJ87" s="520">
        <f t="shared" si="133"/>
        <v>1.018641287824382</v>
      </c>
      <c r="BK87" s="520">
        <f t="shared" si="134"/>
        <v>1.0263050529092395</v>
      </c>
      <c r="BL87" s="520">
        <f t="shared" si="135"/>
        <v>1.0349254280901359</v>
      </c>
      <c r="BM87" s="520">
        <f t="shared" si="136"/>
        <v>1.0406965352376705</v>
      </c>
      <c r="BN87" s="521" t="str">
        <f t="shared" si="137"/>
        <v>Category</v>
      </c>
      <c r="BP87" s="3"/>
    </row>
    <row r="88" spans="1:69" hidden="1" x14ac:dyDescent="0.15">
      <c r="A88" s="78" t="s">
        <v>192</v>
      </c>
      <c r="B88" s="13" t="s">
        <v>2372</v>
      </c>
      <c r="C88" s="13" t="s">
        <v>27</v>
      </c>
      <c r="D88" s="13" t="s">
        <v>55</v>
      </c>
      <c r="E88" s="13" t="s">
        <v>29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5">
        <v>0</v>
      </c>
      <c r="N88" s="670"/>
      <c r="O88" s="14"/>
      <c r="P88" s="15"/>
      <c r="Q88" s="15">
        <f>IF(ISTEXT('Incurred 2.5% cpi'!Q88),"",'Incurred 2.5% cpi'!Q88/'Incurred 2.5% cpi'!Q$17*Incurred!Q$17)</f>
        <v>621294.22</v>
      </c>
      <c r="R88" s="110">
        <f>IF(ISTEXT('Incurred 2.5% cpi'!R88),"",'Incurred 2.5% cpi'!R88/'Incurred 2.5% cpi'!R$17*Incurred!R$17*BG88)</f>
        <v>2122713.3928663353</v>
      </c>
      <c r="S88" s="102">
        <f>IF(ISTEXT('Incurred 2.5% cpi'!S88),"",'Incurred 2.5% cpi'!S88/'Incurred 2.5% cpi'!S$17*Incurred!S$17*BH88)</f>
        <v>2843209.1966524771</v>
      </c>
      <c r="T88" s="16" t="str">
        <f>IF(ISTEXT('Incurred 2.5% cpi'!T88),"",'Incurred 2.5% cpi'!T88/'Incurred 2.5% cpi'!T$17*Incurred!T$17*BI88)</f>
        <v/>
      </c>
      <c r="U88" s="16" t="str">
        <f>IF(ISTEXT('Incurred 2.5% cpi'!U88),"",'Incurred 2.5% cpi'!U88/'Incurred 2.5% cpi'!U$17*Incurred!U$17*BJ88)</f>
        <v/>
      </c>
      <c r="V88" s="16" t="str">
        <f>IF(ISTEXT('Incurred 2.5% cpi'!V88),"",'Incurred 2.5% cpi'!V88/'Incurred 2.5% cpi'!V$17*Incurred!V$17*BK88)</f>
        <v/>
      </c>
      <c r="W88" s="110" t="str">
        <f>IF(ISTEXT('Incurred 2.5% cpi'!W88),"",'Incurred 2.5% cpi'!W88/'Incurred 2.5% cpi'!W$17*Incurred!W$17*BL88)</f>
        <v/>
      </c>
      <c r="X88" s="102" t="str">
        <f>IF(ISTEXT('Incurred 2.5% cpi'!X88),"",'Incurred 2.5% cpi'!X88/'Incurred 2.5% cpi'!X$17*Incurred!X$17*BM88)</f>
        <v/>
      </c>
      <c r="Y88" s="80">
        <f t="shared" si="113"/>
        <v>5587216.8095188122</v>
      </c>
      <c r="Z88" s="80">
        <f t="shared" si="124"/>
        <v>5587216.8095188122</v>
      </c>
      <c r="AA88" s="566">
        <f t="shared" si="125"/>
        <v>6260537.1460181605</v>
      </c>
      <c r="AB88" s="566">
        <f t="shared" si="126"/>
        <v>5671737.6642279709</v>
      </c>
      <c r="AC88" s="567">
        <f t="shared" si="146"/>
        <v>1.1038128906249998</v>
      </c>
      <c r="AD88" s="568" t="str">
        <f t="shared" si="128"/>
        <v>2019</v>
      </c>
      <c r="AE88" s="569">
        <v>43570</v>
      </c>
      <c r="AF88" s="568">
        <v>2019</v>
      </c>
      <c r="AG88" s="569"/>
      <c r="AH88" s="566">
        <f t="shared" si="152"/>
        <v>5533402.5992468009</v>
      </c>
      <c r="AI88" s="80">
        <f t="shared" si="129"/>
        <v>2843209.1966524771</v>
      </c>
      <c r="AJ88" s="571" t="s">
        <v>3035</v>
      </c>
      <c r="AK88" s="875">
        <f>IF(ISNA(VLOOKUP(LEFT($A88,8),Estimates,72,FALSE)),0,VLOOKUP(LEFT($A88,8),Estimates,72,FALSE))</f>
        <v>599999.99999999988</v>
      </c>
      <c r="AL88" s="28">
        <f t="shared" si="153"/>
        <v>0</v>
      </c>
      <c r="AM88" s="28">
        <f t="shared" si="153"/>
        <v>0</v>
      </c>
      <c r="AN88" s="28">
        <f t="shared" si="153"/>
        <v>0</v>
      </c>
      <c r="AO88" s="28">
        <f t="shared" si="153"/>
        <v>1</v>
      </c>
      <c r="AP88" s="28">
        <f t="shared" si="153"/>
        <v>0</v>
      </c>
      <c r="AQ88" s="28">
        <f t="shared" si="153"/>
        <v>0</v>
      </c>
      <c r="AR88" s="28">
        <f t="shared" si="153"/>
        <v>0</v>
      </c>
      <c r="AS88" s="28">
        <f t="shared" si="153"/>
        <v>0</v>
      </c>
      <c r="AT88" s="28">
        <f t="shared" si="153"/>
        <v>0</v>
      </c>
      <c r="AU88" s="28">
        <f t="shared" si="153"/>
        <v>0</v>
      </c>
      <c r="AV88" s="28">
        <f t="shared" si="154"/>
        <v>0</v>
      </c>
      <c r="AW88" s="28">
        <f t="shared" si="154"/>
        <v>0</v>
      </c>
      <c r="AX88" s="28">
        <f t="shared" si="154"/>
        <v>0</v>
      </c>
      <c r="AY88" s="28">
        <f t="shared" si="154"/>
        <v>0</v>
      </c>
      <c r="AZ88" s="28">
        <f t="shared" si="154"/>
        <v>0</v>
      </c>
      <c r="BA88" s="28">
        <f t="shared" si="154"/>
        <v>0</v>
      </c>
      <c r="BB88" s="28">
        <f t="shared" si="154"/>
        <v>0</v>
      </c>
      <c r="BC88" s="28">
        <f t="shared" si="154"/>
        <v>0</v>
      </c>
      <c r="BD88" s="28">
        <f t="shared" si="154"/>
        <v>0</v>
      </c>
      <c r="BE88" s="28">
        <f t="shared" si="154"/>
        <v>0</v>
      </c>
      <c r="BF88" s="27">
        <f t="shared" si="155"/>
        <v>1</v>
      </c>
      <c r="BG88" s="520">
        <f t="shared" si="112"/>
        <v>1.0046190746045656</v>
      </c>
      <c r="BH88" s="520">
        <f t="shared" si="131"/>
        <v>1.0088268933348963</v>
      </c>
      <c r="BI88" s="520">
        <f t="shared" si="132"/>
        <v>1.0133808891912874</v>
      </c>
      <c r="BJ88" s="520">
        <f t="shared" si="133"/>
        <v>1.018641287824382</v>
      </c>
      <c r="BK88" s="520">
        <f t="shared" si="134"/>
        <v>1.0263050529092395</v>
      </c>
      <c r="BL88" s="520">
        <f t="shared" si="135"/>
        <v>1.0349254280901359</v>
      </c>
      <c r="BM88" s="520">
        <f t="shared" si="136"/>
        <v>1.0406965352376705</v>
      </c>
      <c r="BN88" s="521" t="str">
        <f t="shared" si="137"/>
        <v>Category</v>
      </c>
      <c r="BP88" s="3"/>
      <c r="BQ88" s="3">
        <f>ROUND(Q88*Q$19,2)</f>
        <v>636826.57999999996</v>
      </c>
    </row>
    <row r="89" spans="1:69" hidden="1" x14ac:dyDescent="0.15">
      <c r="A89" s="12" t="s">
        <v>193</v>
      </c>
      <c r="B89" s="13" t="s">
        <v>194</v>
      </c>
      <c r="C89" s="13" t="s">
        <v>27</v>
      </c>
      <c r="D89" s="13" t="s">
        <v>55</v>
      </c>
      <c r="E89" s="13" t="s">
        <v>32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5">
        <v>0</v>
      </c>
      <c r="N89" s="670"/>
      <c r="O89" s="14">
        <v>13918.48</v>
      </c>
      <c r="P89" s="15">
        <v>356943.46</v>
      </c>
      <c r="Q89" s="15">
        <f>IF(ISTEXT('Incurred 2.5% cpi'!Q89),"",'Incurred 2.5% cpi'!Q89/'Incurred 2.5% cpi'!Q$17*Incurred!Q$17)</f>
        <v>69180.3</v>
      </c>
      <c r="R89" s="110" t="str">
        <f>IF(ISTEXT('Incurred 2.5% cpi'!R89),"",'Incurred 2.5% cpi'!R89/'Incurred 2.5% cpi'!R$17*Incurred!R$17*BG89)</f>
        <v/>
      </c>
      <c r="S89" s="102" t="str">
        <f>IF(ISTEXT('Incurred 2.5% cpi'!S89),"",'Incurred 2.5% cpi'!S89/'Incurred 2.5% cpi'!S$17*Incurred!S$17*BH89)</f>
        <v/>
      </c>
      <c r="T89" s="16" t="str">
        <f>IF(ISTEXT('Incurred 2.5% cpi'!T89),"",'Incurred 2.5% cpi'!T89/'Incurred 2.5% cpi'!T$17*Incurred!T$17*BI89)</f>
        <v/>
      </c>
      <c r="U89" s="16" t="str">
        <f>IF(ISTEXT('Incurred 2.5% cpi'!U89),"",'Incurred 2.5% cpi'!U89/'Incurred 2.5% cpi'!U$17*Incurred!U$17*BJ89)</f>
        <v/>
      </c>
      <c r="V89" s="16" t="str">
        <f>IF(ISTEXT('Incurred 2.5% cpi'!V89),"",'Incurred 2.5% cpi'!V89/'Incurred 2.5% cpi'!V$17*Incurred!V$17*BK89)</f>
        <v/>
      </c>
      <c r="W89" s="110" t="str">
        <f>IF(ISTEXT('Incurred 2.5% cpi'!W89),"",'Incurred 2.5% cpi'!W89/'Incurred 2.5% cpi'!W$17*Incurred!W$17*BL89)</f>
        <v/>
      </c>
      <c r="X89" s="102" t="str">
        <f>IF(ISTEXT('Incurred 2.5% cpi'!X89),"",'Incurred 2.5% cpi'!X89/'Incurred 2.5% cpi'!X$17*Incurred!X$17*BM89)</f>
        <v/>
      </c>
      <c r="Y89" s="80">
        <f t="shared" ref="Y89:Y143" si="156">SUM(F89:W89)</f>
        <v>440042.23999999999</v>
      </c>
      <c r="Z89" s="80">
        <f t="shared" si="124"/>
        <v>440042.23999999999</v>
      </c>
      <c r="AA89" s="566">
        <f t="shared" si="125"/>
        <v>519672.48744418973</v>
      </c>
      <c r="AB89" s="566">
        <f t="shared" si="126"/>
        <v>448111.95724902448</v>
      </c>
      <c r="AC89" s="567">
        <f t="shared" si="146"/>
        <v>1.1596934182128902</v>
      </c>
      <c r="AD89" s="568" t="str">
        <f t="shared" si="128"/>
        <v>2017</v>
      </c>
      <c r="AE89" s="569">
        <v>42625</v>
      </c>
      <c r="AF89" s="568">
        <v>2017</v>
      </c>
      <c r="AG89" s="569"/>
      <c r="AH89" s="566">
        <f t="shared" si="152"/>
        <v>459314.75618025009</v>
      </c>
      <c r="AI89" s="80">
        <f t="shared" si="129"/>
        <v>69180.3</v>
      </c>
      <c r="AJ89" s="571" t="s">
        <v>0</v>
      </c>
      <c r="AK89" s="875">
        <f>IF(ISNA(VLOOKUP(LEFT($A89,8),Estimates,72,FALSE)),0,VLOOKUP(LEFT($A89,8),Estimates,72,FALSE))</f>
        <v>499001</v>
      </c>
      <c r="AL89" s="28">
        <f t="shared" si="153"/>
        <v>0</v>
      </c>
      <c r="AM89" s="28">
        <f t="shared" si="153"/>
        <v>0</v>
      </c>
      <c r="AN89" s="28">
        <f t="shared" si="153"/>
        <v>0</v>
      </c>
      <c r="AO89" s="28">
        <f t="shared" si="153"/>
        <v>1</v>
      </c>
      <c r="AP89" s="28">
        <f t="shared" si="153"/>
        <v>0</v>
      </c>
      <c r="AQ89" s="28">
        <f t="shared" si="153"/>
        <v>0</v>
      </c>
      <c r="AR89" s="28">
        <f t="shared" si="153"/>
        <v>0</v>
      </c>
      <c r="AS89" s="28">
        <f t="shared" si="153"/>
        <v>0</v>
      </c>
      <c r="AT89" s="28">
        <f t="shared" si="153"/>
        <v>0</v>
      </c>
      <c r="AU89" s="28">
        <f t="shared" si="153"/>
        <v>0</v>
      </c>
      <c r="AV89" s="28">
        <f t="shared" si="154"/>
        <v>0</v>
      </c>
      <c r="AW89" s="28">
        <f t="shared" si="154"/>
        <v>0</v>
      </c>
      <c r="AX89" s="28">
        <f t="shared" si="154"/>
        <v>0</v>
      </c>
      <c r="AY89" s="28">
        <f t="shared" si="154"/>
        <v>0</v>
      </c>
      <c r="AZ89" s="28">
        <f t="shared" si="154"/>
        <v>0</v>
      </c>
      <c r="BA89" s="28">
        <f t="shared" si="154"/>
        <v>0</v>
      </c>
      <c r="BB89" s="28">
        <f t="shared" si="154"/>
        <v>0</v>
      </c>
      <c r="BC89" s="28">
        <f t="shared" si="154"/>
        <v>0</v>
      </c>
      <c r="BD89" s="28">
        <f t="shared" si="154"/>
        <v>0</v>
      </c>
      <c r="BE89" s="28">
        <f t="shared" si="154"/>
        <v>0</v>
      </c>
      <c r="BF89" s="27">
        <f t="shared" si="155"/>
        <v>1</v>
      </c>
      <c r="BG89" s="520">
        <f t="shared" ref="BG89:BG140" si="157">1+IF(ISNA(VLOOKUP($A89,ProjLabEsc,7,FALSE)),VLOOKUP(D89,CatLabEsc,4,FALSE),VLOOKUP(A89,ProjLabEsc,7,FALSE))*Labesc18*LabIn</f>
        <v>1.0046190746045656</v>
      </c>
      <c r="BH89" s="520">
        <f t="shared" si="131"/>
        <v>1.0088268933348963</v>
      </c>
      <c r="BI89" s="520">
        <f t="shared" si="132"/>
        <v>1.0133808891912874</v>
      </c>
      <c r="BJ89" s="520">
        <f t="shared" si="133"/>
        <v>1.018641287824382</v>
      </c>
      <c r="BK89" s="520">
        <f t="shared" si="134"/>
        <v>1.0263050529092395</v>
      </c>
      <c r="BL89" s="520">
        <f t="shared" si="135"/>
        <v>1.0349254280901359</v>
      </c>
      <c r="BM89" s="520">
        <f t="shared" si="136"/>
        <v>1.0406965352376705</v>
      </c>
      <c r="BN89" s="521" t="str">
        <f t="shared" si="137"/>
        <v>Category</v>
      </c>
      <c r="BP89" s="3"/>
    </row>
    <row r="90" spans="1:69" hidden="1" x14ac:dyDescent="0.15">
      <c r="A90" s="78" t="s">
        <v>196</v>
      </c>
      <c r="B90" s="13" t="s">
        <v>197</v>
      </c>
      <c r="C90" s="13" t="s">
        <v>27</v>
      </c>
      <c r="D90" s="13" t="s">
        <v>40</v>
      </c>
      <c r="E90" s="13" t="s">
        <v>29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5">
        <v>0</v>
      </c>
      <c r="N90" s="670"/>
      <c r="O90" s="14">
        <v>111136.3</v>
      </c>
      <c r="P90" s="15">
        <v>245766.33</v>
      </c>
      <c r="Q90" s="15">
        <f>IF(ISTEXT('Incurred 2.5% cpi'!Q90),"",'Incurred 2.5% cpi'!Q90/'Incurred 2.5% cpi'!Q$17*Incurred!Q$17)</f>
        <v>683150.95</v>
      </c>
      <c r="R90" s="110">
        <f>IF(ISTEXT('Incurred 2.5% cpi'!R90),"",'Incurred 2.5% cpi'!R90/'Incurred 2.5% cpi'!R$17*Incurred!R$17*BG90)</f>
        <v>276361.96191573777</v>
      </c>
      <c r="S90" s="102" t="str">
        <f>IF(ISTEXT('Incurred 2.5% cpi'!S90),"",'Incurred 2.5% cpi'!S90/'Incurred 2.5% cpi'!S$17*Incurred!S$17*BH90)</f>
        <v/>
      </c>
      <c r="T90" s="16" t="str">
        <f>IF(ISTEXT('Incurred 2.5% cpi'!T90),"",'Incurred 2.5% cpi'!T90/'Incurred 2.5% cpi'!T$17*Incurred!T$17*BI90)</f>
        <v/>
      </c>
      <c r="U90" s="16" t="str">
        <f>IF(ISTEXT('Incurred 2.5% cpi'!U90),"",'Incurred 2.5% cpi'!U90/'Incurred 2.5% cpi'!U$17*Incurred!U$17*BJ90)</f>
        <v/>
      </c>
      <c r="V90" s="16" t="str">
        <f>IF(ISTEXT('Incurred 2.5% cpi'!V90),"",'Incurred 2.5% cpi'!V90/'Incurred 2.5% cpi'!V$17*Incurred!V$17*BK90)</f>
        <v/>
      </c>
      <c r="W90" s="110" t="str">
        <f>IF(ISTEXT('Incurred 2.5% cpi'!W90),"",'Incurred 2.5% cpi'!W90/'Incurred 2.5% cpi'!W$17*Incurred!W$17*BL90)</f>
        <v/>
      </c>
      <c r="X90" s="102" t="str">
        <f>IF(ISTEXT('Incurred 2.5% cpi'!X90),"",'Incurred 2.5% cpi'!X90/'Incurred 2.5% cpi'!X$17*Incurred!X$17*BM90)</f>
        <v/>
      </c>
      <c r="Y90" s="80">
        <f t="shared" si="156"/>
        <v>1316415.5419157378</v>
      </c>
      <c r="Z90" s="80">
        <f t="shared" si="124"/>
        <v>1316415.5419157378</v>
      </c>
      <c r="AA90" s="566">
        <f t="shared" si="125"/>
        <v>1529345.0828914088</v>
      </c>
      <c r="AB90" s="566">
        <f t="shared" si="126"/>
        <v>1351718.2087481041</v>
      </c>
      <c r="AC90" s="567">
        <f t="shared" si="146"/>
        <v>1.1314082128906247</v>
      </c>
      <c r="AD90" s="568" t="str">
        <f t="shared" si="128"/>
        <v>2018</v>
      </c>
      <c r="AE90" s="569">
        <v>42948</v>
      </c>
      <c r="AF90" s="568">
        <v>2018</v>
      </c>
      <c r="AG90" s="569"/>
      <c r="AH90" s="566">
        <f t="shared" si="152"/>
        <v>1351718.2087481041</v>
      </c>
      <c r="AI90" s="80">
        <f t="shared" si="129"/>
        <v>276361.96191573777</v>
      </c>
      <c r="AJ90" s="571" t="s">
        <v>0</v>
      </c>
      <c r="AK90" s="875">
        <f t="shared" si="138"/>
        <v>0</v>
      </c>
      <c r="AL90" s="28">
        <f t="shared" si="153"/>
        <v>0</v>
      </c>
      <c r="AM90" s="28">
        <f t="shared" si="153"/>
        <v>0</v>
      </c>
      <c r="AN90" s="28">
        <f t="shared" si="153"/>
        <v>0</v>
      </c>
      <c r="AO90" s="378">
        <f t="shared" si="153"/>
        <v>1</v>
      </c>
      <c r="AP90" s="28">
        <f t="shared" si="153"/>
        <v>0</v>
      </c>
      <c r="AQ90" s="28">
        <f t="shared" si="153"/>
        <v>0</v>
      </c>
      <c r="AR90" s="28">
        <f t="shared" si="153"/>
        <v>0</v>
      </c>
      <c r="AS90" s="28">
        <f t="shared" si="153"/>
        <v>0</v>
      </c>
      <c r="AT90" s="28">
        <f t="shared" si="153"/>
        <v>0</v>
      </c>
      <c r="AU90" s="28">
        <f t="shared" si="153"/>
        <v>0</v>
      </c>
      <c r="AV90" s="28">
        <f t="shared" si="154"/>
        <v>0</v>
      </c>
      <c r="AW90" s="28">
        <f t="shared" si="154"/>
        <v>0</v>
      </c>
      <c r="AX90" s="28">
        <f t="shared" si="154"/>
        <v>0</v>
      </c>
      <c r="AY90" s="28">
        <f t="shared" si="154"/>
        <v>0</v>
      </c>
      <c r="AZ90" s="28">
        <f t="shared" si="154"/>
        <v>0</v>
      </c>
      <c r="BA90" s="28">
        <f t="shared" si="154"/>
        <v>0</v>
      </c>
      <c r="BB90" s="28">
        <f t="shared" si="154"/>
        <v>0</v>
      </c>
      <c r="BC90" s="28">
        <f t="shared" si="154"/>
        <v>0</v>
      </c>
      <c r="BD90" s="28">
        <f t="shared" si="154"/>
        <v>0</v>
      </c>
      <c r="BE90" s="28">
        <f t="shared" si="154"/>
        <v>0</v>
      </c>
      <c r="BF90" s="27">
        <f t="shared" si="155"/>
        <v>1</v>
      </c>
      <c r="BG90" s="520">
        <f t="shared" si="157"/>
        <v>1.0034498951996242</v>
      </c>
      <c r="BH90" s="520">
        <f t="shared" si="131"/>
        <v>1.0065926315443261</v>
      </c>
      <c r="BI90" s="520">
        <f t="shared" si="132"/>
        <v>1.0099939207178206</v>
      </c>
      <c r="BJ90" s="520">
        <f t="shared" si="133"/>
        <v>1.0139228081132494</v>
      </c>
      <c r="BK90" s="520">
        <f t="shared" si="134"/>
        <v>1.0196467222390713</v>
      </c>
      <c r="BL90" s="520">
        <f t="shared" si="135"/>
        <v>1.0260851094706045</v>
      </c>
      <c r="BM90" s="520">
        <f t="shared" si="136"/>
        <v>1.0303954349252136</v>
      </c>
      <c r="BN90" s="521" t="str">
        <f t="shared" si="137"/>
        <v>Category</v>
      </c>
      <c r="BP90" s="3"/>
    </row>
    <row r="91" spans="1:69" hidden="1" x14ac:dyDescent="0.15">
      <c r="A91" s="78" t="s">
        <v>198</v>
      </c>
      <c r="B91" s="13" t="s">
        <v>199</v>
      </c>
      <c r="C91" s="13" t="s">
        <v>27</v>
      </c>
      <c r="D91" s="13" t="s">
        <v>28</v>
      </c>
      <c r="E91" s="13" t="s">
        <v>29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481337.1</v>
      </c>
      <c r="M91" s="15">
        <v>7208668.1500000004</v>
      </c>
      <c r="N91" s="670">
        <v>2012389.33</v>
      </c>
      <c r="O91" s="14">
        <v>-27559.39</v>
      </c>
      <c r="P91" s="15">
        <v>52963.79</v>
      </c>
      <c r="Q91" s="15" t="str">
        <f>IF(ISTEXT('Incurred 2.5% cpi'!Q91),"",'Incurred 2.5% cpi'!Q91/'Incurred 2.5% cpi'!Q$17*Incurred!Q$17)</f>
        <v/>
      </c>
      <c r="R91" s="110" t="str">
        <f>IF(ISTEXT('Incurred 2.5% cpi'!R91),"",'Incurred 2.5% cpi'!R91/'Incurred 2.5% cpi'!R$17*Incurred!R$17*BG91)</f>
        <v/>
      </c>
      <c r="S91" s="102" t="str">
        <f>IF(ISTEXT('Incurred 2.5% cpi'!S91),"",'Incurred 2.5% cpi'!S91/'Incurred 2.5% cpi'!S$17*Incurred!S$17*BH91)</f>
        <v/>
      </c>
      <c r="T91" s="16" t="str">
        <f>IF(ISTEXT('Incurred 2.5% cpi'!T91),"",'Incurred 2.5% cpi'!T91/'Incurred 2.5% cpi'!T$17*Incurred!T$17*BI91)</f>
        <v/>
      </c>
      <c r="U91" s="16" t="str">
        <f>IF(ISTEXT('Incurred 2.5% cpi'!U91),"",'Incurred 2.5% cpi'!U91/'Incurred 2.5% cpi'!U$17*Incurred!U$17*BJ91)</f>
        <v/>
      </c>
      <c r="V91" s="16" t="str">
        <f>IF(ISTEXT('Incurred 2.5% cpi'!V91),"",'Incurred 2.5% cpi'!V91/'Incurred 2.5% cpi'!V$17*Incurred!V$17*BK91)</f>
        <v/>
      </c>
      <c r="W91" s="110" t="str">
        <f>IF(ISTEXT('Incurred 2.5% cpi'!W91),"",'Incurred 2.5% cpi'!W91/'Incurred 2.5% cpi'!W$17*Incurred!W$17*BL91)</f>
        <v/>
      </c>
      <c r="X91" s="102" t="str">
        <f>IF(ISTEXT('Incurred 2.5% cpi'!X91),"",'Incurred 2.5% cpi'!X91/'Incurred 2.5% cpi'!X$17*Incurred!X$17*BM91)</f>
        <v/>
      </c>
      <c r="Y91" s="80">
        <f t="shared" si="156"/>
        <v>9727798.9799999986</v>
      </c>
      <c r="Z91" s="80">
        <f t="shared" si="124"/>
        <v>9782917.7599999998</v>
      </c>
      <c r="AA91" s="566">
        <f t="shared" si="125"/>
        <v>12114892.056372279</v>
      </c>
      <c r="AB91" s="566">
        <f t="shared" si="126"/>
        <v>9964481.1385061368</v>
      </c>
      <c r="AC91" s="567">
        <f t="shared" si="146"/>
        <v>1.2158076158683491</v>
      </c>
      <c r="AD91" s="568" t="str">
        <f t="shared" si="128"/>
        <v>2016</v>
      </c>
      <c r="AE91" s="569">
        <v>41800</v>
      </c>
      <c r="AF91" s="568">
        <v>2014</v>
      </c>
      <c r="AG91" s="569"/>
      <c r="AH91" s="566">
        <f t="shared" si="152"/>
        <v>10707799.287951119</v>
      </c>
      <c r="AI91" s="80">
        <f t="shared" si="129"/>
        <v>52963.79</v>
      </c>
      <c r="AJ91" s="571" t="s">
        <v>0</v>
      </c>
      <c r="AK91" s="875">
        <f t="shared" si="138"/>
        <v>0</v>
      </c>
      <c r="AL91" s="28">
        <f t="shared" si="153"/>
        <v>0</v>
      </c>
      <c r="AM91" s="28">
        <f t="shared" si="153"/>
        <v>0</v>
      </c>
      <c r="AN91" s="28">
        <f t="shared" si="153"/>
        <v>0.28832653381698931</v>
      </c>
      <c r="AO91" s="28">
        <f t="shared" si="153"/>
        <v>0</v>
      </c>
      <c r="AP91" s="28">
        <f t="shared" si="153"/>
        <v>0</v>
      </c>
      <c r="AQ91" s="28">
        <f t="shared" si="153"/>
        <v>0</v>
      </c>
      <c r="AR91" s="28">
        <f t="shared" si="153"/>
        <v>0</v>
      </c>
      <c r="AS91" s="28">
        <f t="shared" si="153"/>
        <v>0</v>
      </c>
      <c r="AT91" s="28">
        <f t="shared" si="153"/>
        <v>0</v>
      </c>
      <c r="AU91" s="28">
        <f t="shared" si="153"/>
        <v>0</v>
      </c>
      <c r="AV91" s="28">
        <f t="shared" si="154"/>
        <v>0</v>
      </c>
      <c r="AW91" s="28">
        <f t="shared" si="154"/>
        <v>4.1544842630808661E-2</v>
      </c>
      <c r="AX91" s="28">
        <f t="shared" si="154"/>
        <v>0</v>
      </c>
      <c r="AY91" s="28">
        <f t="shared" si="154"/>
        <v>0</v>
      </c>
      <c r="AZ91" s="28">
        <f t="shared" si="154"/>
        <v>0</v>
      </c>
      <c r="BA91" s="28">
        <f t="shared" si="154"/>
        <v>0.67012862355220204</v>
      </c>
      <c r="BB91" s="28">
        <f t="shared" si="154"/>
        <v>0</v>
      </c>
      <c r="BC91" s="28">
        <f t="shared" si="154"/>
        <v>0</v>
      </c>
      <c r="BD91" s="28">
        <f t="shared" si="154"/>
        <v>0</v>
      </c>
      <c r="BE91" s="28">
        <f t="shared" si="154"/>
        <v>0</v>
      </c>
      <c r="BF91" s="27">
        <f t="shared" si="155"/>
        <v>1</v>
      </c>
      <c r="BG91" s="520">
        <f t="shared" si="157"/>
        <v>1.0030444840366091</v>
      </c>
      <c r="BH91" s="520">
        <f t="shared" si="131"/>
        <v>1.0058179046998681</v>
      </c>
      <c r="BI91" s="520">
        <f t="shared" si="132"/>
        <v>1.0088194946014175</v>
      </c>
      <c r="BJ91" s="520">
        <f t="shared" si="133"/>
        <v>1.0122866825201464</v>
      </c>
      <c r="BK91" s="520">
        <f t="shared" si="134"/>
        <v>1.0173379563051834</v>
      </c>
      <c r="BL91" s="520">
        <f t="shared" si="135"/>
        <v>1.023019742566414</v>
      </c>
      <c r="BM91" s="520">
        <f t="shared" si="136"/>
        <v>1.026823544212498</v>
      </c>
      <c r="BN91" s="521" t="str">
        <f t="shared" si="137"/>
        <v>Category</v>
      </c>
      <c r="BP91" s="3"/>
    </row>
    <row r="92" spans="1:69" hidden="1" x14ac:dyDescent="0.15">
      <c r="A92" s="78" t="s">
        <v>200</v>
      </c>
      <c r="B92" s="13" t="s">
        <v>201</v>
      </c>
      <c r="C92" s="13" t="s">
        <v>27</v>
      </c>
      <c r="D92" s="13" t="s">
        <v>55</v>
      </c>
      <c r="E92" s="13" t="s">
        <v>29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5">
        <v>0</v>
      </c>
      <c r="N92" s="670"/>
      <c r="O92" s="14">
        <v>43121.87</v>
      </c>
      <c r="P92" s="15">
        <v>139423.98000000001</v>
      </c>
      <c r="Q92" s="15">
        <f>IF(ISTEXT('Incurred 2.5% cpi'!Q92),"",'Incurred 2.5% cpi'!Q92/'Incurred 2.5% cpi'!Q$17*Incurred!Q$17)</f>
        <v>354887.15</v>
      </c>
      <c r="R92" s="110">
        <f>IF(ISTEXT('Incurred 2.5% cpi'!R92),"",'Incurred 2.5% cpi'!R92/'Incurred 2.5% cpi'!R$17*Incurred!R$17*BG92)</f>
        <v>53858.864271012528</v>
      </c>
      <c r="S92" s="102" t="str">
        <f>IF(ISTEXT('Incurred 2.5% cpi'!S92),"",'Incurred 2.5% cpi'!S92/'Incurred 2.5% cpi'!S$17*Incurred!S$17*BH92)</f>
        <v/>
      </c>
      <c r="T92" s="16" t="str">
        <f>IF(ISTEXT('Incurred 2.5% cpi'!T92),"",'Incurred 2.5% cpi'!T92/'Incurred 2.5% cpi'!T$17*Incurred!T$17*BI92)</f>
        <v/>
      </c>
      <c r="U92" s="16" t="str">
        <f>IF(ISTEXT('Incurred 2.5% cpi'!U92),"",'Incurred 2.5% cpi'!U92/'Incurred 2.5% cpi'!U$17*Incurred!U$17*BJ92)</f>
        <v/>
      </c>
      <c r="V92" s="16" t="str">
        <f>IF(ISTEXT('Incurred 2.5% cpi'!V92),"",'Incurred 2.5% cpi'!V92/'Incurred 2.5% cpi'!V$17*Incurred!V$17*BK92)</f>
        <v/>
      </c>
      <c r="W92" s="110" t="str">
        <f>IF(ISTEXT('Incurred 2.5% cpi'!W92),"",'Incurred 2.5% cpi'!W92/'Incurred 2.5% cpi'!W$17*Incurred!W$17*BL92)</f>
        <v/>
      </c>
      <c r="X92" s="102" t="str">
        <f>IF(ISTEXT('Incurred 2.5% cpi'!X92),"",'Incurred 2.5% cpi'!X92/'Incurred 2.5% cpi'!X$17*Incurred!X$17*BM92)</f>
        <v/>
      </c>
      <c r="Y92" s="80">
        <f t="shared" si="156"/>
        <v>591291.86427101248</v>
      </c>
      <c r="Z92" s="80">
        <f t="shared" si="124"/>
        <v>591291.86427101248</v>
      </c>
      <c r="AA92" s="566">
        <f t="shared" si="125"/>
        <v>689363.37979488936</v>
      </c>
      <c r="AB92" s="566">
        <f t="shared" si="126"/>
        <v>609296.77895270102</v>
      </c>
      <c r="AC92" s="567">
        <f t="shared" si="146"/>
        <v>1.1314082128906247</v>
      </c>
      <c r="AD92" s="568" t="str">
        <f t="shared" si="128"/>
        <v>2018</v>
      </c>
      <c r="AE92" s="569">
        <v>42887</v>
      </c>
      <c r="AF92" s="568">
        <v>2018</v>
      </c>
      <c r="AG92" s="569"/>
      <c r="AH92" s="566">
        <f t="shared" ref="AH92:AH94" si="158">IF(ROUND(Y92,0)=0,0,SUMPRODUCT($F$19:$W$19,F92:W92))</f>
        <v>609296.7789527009</v>
      </c>
      <c r="AI92" s="80">
        <f t="shared" si="129"/>
        <v>53858.864271012528</v>
      </c>
      <c r="AJ92" s="571" t="s">
        <v>0</v>
      </c>
      <c r="AK92" s="875">
        <f>IF(ISNA(VLOOKUP(LEFT($A92,8),Estimates,72,FALSE)),0,VLOOKUP(LEFT($A92,8),Estimates,72,FALSE))</f>
        <v>1949999.9999999974</v>
      </c>
      <c r="AL92" s="28">
        <f t="shared" ref="AL92:AU94" si="159">IF($AK92=0,VLOOKUP(MID($A92,4,5),ProjectSplits,AL$23,FALSE),IF(ISNA(VLOOKUP($A92,Estimates,AL$22,FALSE)),VLOOKUP(MID($A92,4,5),ProjectSplits,AL$23,FALSE),VLOOKUP($A92,Estimates,AL$22,FALSE)))</f>
        <v>0</v>
      </c>
      <c r="AM92" s="28">
        <f t="shared" si="159"/>
        <v>0</v>
      </c>
      <c r="AN92" s="28">
        <f t="shared" si="159"/>
        <v>0</v>
      </c>
      <c r="AO92" s="28">
        <f t="shared" si="159"/>
        <v>1</v>
      </c>
      <c r="AP92" s="28">
        <f t="shared" si="159"/>
        <v>0</v>
      </c>
      <c r="AQ92" s="28">
        <f t="shared" si="159"/>
        <v>0</v>
      </c>
      <c r="AR92" s="28">
        <f t="shared" si="159"/>
        <v>0</v>
      </c>
      <c r="AS92" s="28">
        <f t="shared" si="159"/>
        <v>0</v>
      </c>
      <c r="AT92" s="28">
        <f t="shared" si="159"/>
        <v>0</v>
      </c>
      <c r="AU92" s="28">
        <f t="shared" si="159"/>
        <v>0</v>
      </c>
      <c r="AV92" s="28">
        <f t="shared" ref="AV92:BE94" si="160">IF($AK92=0,VLOOKUP(MID($A92,4,5),ProjectSplits,AV$23,FALSE),IF(ISNA(VLOOKUP($A92,Estimates,AV$22,FALSE)),VLOOKUP(MID($A92,4,5),ProjectSplits,AV$23,FALSE),VLOOKUP($A92,Estimates,AV$22,FALSE)))</f>
        <v>0</v>
      </c>
      <c r="AW92" s="28">
        <f t="shared" si="160"/>
        <v>0</v>
      </c>
      <c r="AX92" s="28">
        <f t="shared" si="160"/>
        <v>0</v>
      </c>
      <c r="AY92" s="28">
        <f t="shared" si="160"/>
        <v>0</v>
      </c>
      <c r="AZ92" s="28">
        <f t="shared" si="160"/>
        <v>0</v>
      </c>
      <c r="BA92" s="28">
        <f t="shared" si="160"/>
        <v>0</v>
      </c>
      <c r="BB92" s="28">
        <f t="shared" si="160"/>
        <v>0</v>
      </c>
      <c r="BC92" s="28">
        <f t="shared" si="160"/>
        <v>0</v>
      </c>
      <c r="BD92" s="28">
        <f t="shared" si="160"/>
        <v>0</v>
      </c>
      <c r="BE92" s="28">
        <f t="shared" si="160"/>
        <v>0</v>
      </c>
      <c r="BF92" s="27">
        <f t="shared" ref="BF92:BF94" si="161">SUM(AL92:BD92)</f>
        <v>1</v>
      </c>
      <c r="BG92" s="520">
        <f t="shared" si="157"/>
        <v>1.0046190746045656</v>
      </c>
      <c r="BH92" s="520">
        <f t="shared" si="131"/>
        <v>1.0088268933348963</v>
      </c>
      <c r="BI92" s="520">
        <f t="shared" si="132"/>
        <v>1.0133808891912874</v>
      </c>
      <c r="BJ92" s="520">
        <f t="shared" si="133"/>
        <v>1.018641287824382</v>
      </c>
      <c r="BK92" s="520">
        <f t="shared" si="134"/>
        <v>1.0263050529092395</v>
      </c>
      <c r="BL92" s="520">
        <f t="shared" si="135"/>
        <v>1.0349254280901359</v>
      </c>
      <c r="BM92" s="520">
        <f t="shared" si="136"/>
        <v>1.0406965352376705</v>
      </c>
      <c r="BN92" s="521" t="str">
        <f t="shared" si="137"/>
        <v>Category</v>
      </c>
      <c r="BP92" s="3"/>
    </row>
    <row r="93" spans="1:69" hidden="1" x14ac:dyDescent="0.15">
      <c r="A93" s="78" t="s">
        <v>203</v>
      </c>
      <c r="B93" s="13" t="s">
        <v>204</v>
      </c>
      <c r="C93" s="13" t="s">
        <v>27</v>
      </c>
      <c r="D93" s="13" t="s">
        <v>28</v>
      </c>
      <c r="E93" s="13" t="s">
        <v>29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15705.17</v>
      </c>
      <c r="M93" s="15">
        <v>3381662.43</v>
      </c>
      <c r="N93" s="670">
        <v>7363569.1200000001</v>
      </c>
      <c r="O93" s="14">
        <v>612351.55000000005</v>
      </c>
      <c r="P93" s="15">
        <v>83757.440000000002</v>
      </c>
      <c r="Q93" s="15">
        <f>IF(ISTEXT('Incurred 2.5% cpi'!Q93),"",'Incurred 2.5% cpi'!Q93/'Incurred 2.5% cpi'!Q$17*Incurred!Q$17)</f>
        <v>271.25</v>
      </c>
      <c r="R93" s="110" t="str">
        <f>IF(ISTEXT('Incurred 2.5% cpi'!R93),"",'Incurred 2.5% cpi'!R93/'Incurred 2.5% cpi'!R$17*Incurred!R$17*BG93)</f>
        <v/>
      </c>
      <c r="S93" s="102" t="str">
        <f>IF(ISTEXT('Incurred 2.5% cpi'!S93),"",'Incurred 2.5% cpi'!S93/'Incurred 2.5% cpi'!S$17*Incurred!S$17*BH93)</f>
        <v/>
      </c>
      <c r="T93" s="16" t="str">
        <f>IF(ISTEXT('Incurred 2.5% cpi'!T93),"",'Incurred 2.5% cpi'!T93/'Incurred 2.5% cpi'!T$17*Incurred!T$17*BI93)</f>
        <v/>
      </c>
      <c r="U93" s="16" t="str">
        <f>IF(ISTEXT('Incurred 2.5% cpi'!U93),"",'Incurred 2.5% cpi'!U93/'Incurred 2.5% cpi'!U$17*Incurred!U$17*BJ93)</f>
        <v/>
      </c>
      <c r="V93" s="16" t="str">
        <f>IF(ISTEXT('Incurred 2.5% cpi'!V93),"",'Incurred 2.5% cpi'!V93/'Incurred 2.5% cpi'!V$17*Incurred!V$17*BK93)</f>
        <v/>
      </c>
      <c r="W93" s="110" t="str">
        <f>IF(ISTEXT('Incurred 2.5% cpi'!W93),"",'Incurred 2.5% cpi'!W93/'Incurred 2.5% cpi'!W$17*Incurred!W$17*BL93)</f>
        <v/>
      </c>
      <c r="X93" s="102" t="str">
        <f>IF(ISTEXT('Incurred 2.5% cpi'!X93),"",'Incurred 2.5% cpi'!X93/'Incurred 2.5% cpi'!X$17*Incurred!X$17*BM93)</f>
        <v/>
      </c>
      <c r="Y93" s="80">
        <f t="shared" si="156"/>
        <v>11457316.960000001</v>
      </c>
      <c r="Z93" s="80">
        <f t="shared" si="124"/>
        <v>11457316.960000001</v>
      </c>
      <c r="AA93" s="566">
        <f t="shared" si="125"/>
        <v>14038987.28908723</v>
      </c>
      <c r="AB93" s="566">
        <f t="shared" si="126"/>
        <v>12105774.740639281</v>
      </c>
      <c r="AC93" s="567">
        <f t="shared" si="146"/>
        <v>1.1596934182128902</v>
      </c>
      <c r="AD93" s="568" t="str">
        <f t="shared" si="128"/>
        <v>2017</v>
      </c>
      <c r="AE93" s="569">
        <v>41981</v>
      </c>
      <c r="AF93" s="568" t="s">
        <v>3152</v>
      </c>
      <c r="AG93" s="569"/>
      <c r="AH93" s="566">
        <f t="shared" si="158"/>
        <v>12408419.10915526</v>
      </c>
      <c r="AI93" s="80">
        <f t="shared" si="129"/>
        <v>271.25</v>
      </c>
      <c r="AJ93" s="571" t="s">
        <v>0</v>
      </c>
      <c r="AK93" s="875">
        <f t="shared" si="138"/>
        <v>0</v>
      </c>
      <c r="AL93" s="28">
        <f t="shared" si="159"/>
        <v>0</v>
      </c>
      <c r="AM93" s="28">
        <f t="shared" si="159"/>
        <v>5.4113247421954639E-4</v>
      </c>
      <c r="AN93" s="28">
        <f t="shared" si="159"/>
        <v>0.24782136750391559</v>
      </c>
      <c r="AO93" s="28">
        <f t="shared" si="159"/>
        <v>0</v>
      </c>
      <c r="AP93" s="28">
        <f t="shared" si="159"/>
        <v>0</v>
      </c>
      <c r="AQ93" s="28">
        <f t="shared" si="159"/>
        <v>0</v>
      </c>
      <c r="AR93" s="28">
        <f t="shared" si="159"/>
        <v>0</v>
      </c>
      <c r="AS93" s="28">
        <f t="shared" si="159"/>
        <v>0</v>
      </c>
      <c r="AT93" s="28">
        <f t="shared" si="159"/>
        <v>0</v>
      </c>
      <c r="AU93" s="28">
        <f t="shared" si="159"/>
        <v>0</v>
      </c>
      <c r="AV93" s="28">
        <f t="shared" si="160"/>
        <v>0</v>
      </c>
      <c r="AW93" s="28">
        <f t="shared" si="160"/>
        <v>8.7997881025152803E-3</v>
      </c>
      <c r="AX93" s="28">
        <f t="shared" si="160"/>
        <v>0</v>
      </c>
      <c r="AY93" s="28">
        <f t="shared" si="160"/>
        <v>0</v>
      </c>
      <c r="AZ93" s="28">
        <f t="shared" si="160"/>
        <v>0</v>
      </c>
      <c r="BA93" s="28">
        <f t="shared" si="160"/>
        <v>0.74283771191934955</v>
      </c>
      <c r="BB93" s="28">
        <f t="shared" si="160"/>
        <v>0</v>
      </c>
      <c r="BC93" s="28">
        <f t="shared" si="160"/>
        <v>0</v>
      </c>
      <c r="BD93" s="28">
        <f t="shared" si="160"/>
        <v>0</v>
      </c>
      <c r="BE93" s="28">
        <f t="shared" si="160"/>
        <v>0</v>
      </c>
      <c r="BF93" s="27">
        <f t="shared" si="161"/>
        <v>1</v>
      </c>
      <c r="BG93" s="520">
        <f t="shared" si="157"/>
        <v>1.0030444840366091</v>
      </c>
      <c r="BH93" s="520">
        <f t="shared" si="131"/>
        <v>1.0058179046998681</v>
      </c>
      <c r="BI93" s="520">
        <f t="shared" si="132"/>
        <v>1.0088194946014175</v>
      </c>
      <c r="BJ93" s="520">
        <f t="shared" si="133"/>
        <v>1.0122866825201464</v>
      </c>
      <c r="BK93" s="520">
        <f t="shared" si="134"/>
        <v>1.0173379563051834</v>
      </c>
      <c r="BL93" s="520">
        <f t="shared" si="135"/>
        <v>1.023019742566414</v>
      </c>
      <c r="BM93" s="520">
        <f t="shared" si="136"/>
        <v>1.026823544212498</v>
      </c>
      <c r="BN93" s="521" t="str">
        <f t="shared" si="137"/>
        <v>Category</v>
      </c>
      <c r="BP93" s="3"/>
    </row>
    <row r="94" spans="1:69" hidden="1" x14ac:dyDescent="0.15">
      <c r="A94" s="12" t="s">
        <v>205</v>
      </c>
      <c r="B94" s="13" t="s">
        <v>206</v>
      </c>
      <c r="C94" s="13" t="s">
        <v>27</v>
      </c>
      <c r="D94" s="13" t="s">
        <v>40</v>
      </c>
      <c r="E94" s="13" t="s">
        <v>32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5">
        <v>0</v>
      </c>
      <c r="N94" s="670">
        <v>129826.86</v>
      </c>
      <c r="O94" s="14">
        <v>70181.259999999995</v>
      </c>
      <c r="P94" s="15">
        <v>-50000</v>
      </c>
      <c r="Q94" s="15" t="str">
        <f>IF(ISTEXT('Incurred 2.5% cpi'!Q94),"",'Incurred 2.5% cpi'!Q94/'Incurred 2.5% cpi'!Q$17*Incurred!Q$17)</f>
        <v/>
      </c>
      <c r="R94" s="110" t="str">
        <f>IF(ISTEXT('Incurred 2.5% cpi'!R94),"",'Incurred 2.5% cpi'!R94/'Incurred 2.5% cpi'!R$17*Incurred!R$17*BG94)</f>
        <v/>
      </c>
      <c r="S94" s="102" t="str">
        <f>IF(ISTEXT('Incurred 2.5% cpi'!S94),"",'Incurred 2.5% cpi'!S94/'Incurred 2.5% cpi'!S$17*Incurred!S$17*BH94)</f>
        <v/>
      </c>
      <c r="T94" s="16" t="str">
        <f>IF(ISTEXT('Incurred 2.5% cpi'!T94),"",'Incurred 2.5% cpi'!T94/'Incurred 2.5% cpi'!T$17*Incurred!T$17*BI94)</f>
        <v/>
      </c>
      <c r="U94" s="16" t="str">
        <f>IF(ISTEXT('Incurred 2.5% cpi'!U94),"",'Incurred 2.5% cpi'!U94/'Incurred 2.5% cpi'!U$17*Incurred!U$17*BJ94)</f>
        <v/>
      </c>
      <c r="V94" s="16" t="str">
        <f>IF(ISTEXT('Incurred 2.5% cpi'!V94),"",'Incurred 2.5% cpi'!V94/'Incurred 2.5% cpi'!V$17*Incurred!V$17*BK94)</f>
        <v/>
      </c>
      <c r="W94" s="110" t="str">
        <f>IF(ISTEXT('Incurred 2.5% cpi'!W94),"",'Incurred 2.5% cpi'!W94/'Incurred 2.5% cpi'!W$17*Incurred!W$17*BL94)</f>
        <v/>
      </c>
      <c r="X94" s="102" t="str">
        <f>IF(ISTEXT('Incurred 2.5% cpi'!X94),"",'Incurred 2.5% cpi'!X94/'Incurred 2.5% cpi'!X$17*Incurred!X$17*BM94)</f>
        <v/>
      </c>
      <c r="Y94" s="80">
        <f t="shared" si="156"/>
        <v>150008.12</v>
      </c>
      <c r="Z94" s="80">
        <f t="shared" si="124"/>
        <v>250008.12</v>
      </c>
      <c r="AA94" s="566">
        <f t="shared" si="125"/>
        <v>182835.63088494874</v>
      </c>
      <c r="AB94" s="566">
        <f t="shared" si="126"/>
        <v>165640.05769258933</v>
      </c>
      <c r="AC94" s="567">
        <f t="shared" si="146"/>
        <v>1.1038128906249998</v>
      </c>
      <c r="AD94" s="568" t="str">
        <f t="shared" si="128"/>
        <v>2016</v>
      </c>
      <c r="AE94" s="569">
        <v>43364</v>
      </c>
      <c r="AF94" s="568">
        <v>2019</v>
      </c>
      <c r="AG94" s="569"/>
      <c r="AH94" s="566">
        <f t="shared" si="158"/>
        <v>161600.056285453</v>
      </c>
      <c r="AI94" s="80">
        <f t="shared" si="129"/>
        <v>-50000</v>
      </c>
      <c r="AJ94" s="571" t="s">
        <v>0</v>
      </c>
      <c r="AK94" s="875">
        <f t="shared" si="138"/>
        <v>0</v>
      </c>
      <c r="AL94" s="28">
        <f t="shared" si="159"/>
        <v>0</v>
      </c>
      <c r="AM94" s="28">
        <f t="shared" si="159"/>
        <v>0</v>
      </c>
      <c r="AN94" s="28">
        <f t="shared" si="159"/>
        <v>0</v>
      </c>
      <c r="AO94" s="28">
        <f t="shared" si="159"/>
        <v>1</v>
      </c>
      <c r="AP94" s="28">
        <f t="shared" si="159"/>
        <v>0</v>
      </c>
      <c r="AQ94" s="28">
        <f t="shared" si="159"/>
        <v>0</v>
      </c>
      <c r="AR94" s="28">
        <f t="shared" si="159"/>
        <v>0</v>
      </c>
      <c r="AS94" s="28">
        <f t="shared" si="159"/>
        <v>0</v>
      </c>
      <c r="AT94" s="28">
        <f t="shared" si="159"/>
        <v>0</v>
      </c>
      <c r="AU94" s="28">
        <f t="shared" si="159"/>
        <v>0</v>
      </c>
      <c r="AV94" s="28">
        <f t="shared" si="160"/>
        <v>0</v>
      </c>
      <c r="AW94" s="28">
        <f t="shared" si="160"/>
        <v>0</v>
      </c>
      <c r="AX94" s="28">
        <f t="shared" si="160"/>
        <v>0</v>
      </c>
      <c r="AY94" s="28">
        <f t="shared" si="160"/>
        <v>0</v>
      </c>
      <c r="AZ94" s="28">
        <f t="shared" si="160"/>
        <v>0</v>
      </c>
      <c r="BA94" s="28">
        <f t="shared" si="160"/>
        <v>0</v>
      </c>
      <c r="BB94" s="28">
        <f t="shared" si="160"/>
        <v>0</v>
      </c>
      <c r="BC94" s="28">
        <f t="shared" si="160"/>
        <v>0</v>
      </c>
      <c r="BD94" s="28">
        <f t="shared" si="160"/>
        <v>0</v>
      </c>
      <c r="BE94" s="28">
        <f t="shared" si="160"/>
        <v>0</v>
      </c>
      <c r="BF94" s="27">
        <f t="shared" si="161"/>
        <v>1</v>
      </c>
      <c r="BG94" s="520">
        <f t="shared" si="157"/>
        <v>1.0034498951996242</v>
      </c>
      <c r="BH94" s="520">
        <f t="shared" si="131"/>
        <v>1.0065926315443261</v>
      </c>
      <c r="BI94" s="520">
        <f t="shared" si="132"/>
        <v>1.0099939207178206</v>
      </c>
      <c r="BJ94" s="520">
        <f t="shared" si="133"/>
        <v>1.0139228081132494</v>
      </c>
      <c r="BK94" s="520">
        <f t="shared" si="134"/>
        <v>1.0196467222390713</v>
      </c>
      <c r="BL94" s="520">
        <f t="shared" si="135"/>
        <v>1.0260851094706045</v>
      </c>
      <c r="BM94" s="520">
        <f t="shared" si="136"/>
        <v>1.0303954349252136</v>
      </c>
      <c r="BN94" s="521" t="str">
        <f t="shared" si="137"/>
        <v>Category</v>
      </c>
      <c r="BP94" s="3"/>
    </row>
    <row r="95" spans="1:69" hidden="1" x14ac:dyDescent="0.15">
      <c r="A95" s="78" t="s">
        <v>207</v>
      </c>
      <c r="B95" s="13" t="s">
        <v>208</v>
      </c>
      <c r="C95" s="13" t="s">
        <v>27</v>
      </c>
      <c r="D95" s="13" t="s">
        <v>40</v>
      </c>
      <c r="E95" s="13" t="s">
        <v>112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5">
        <v>0</v>
      </c>
      <c r="N95" s="670"/>
      <c r="O95" s="14"/>
      <c r="P95" s="15"/>
      <c r="Q95" s="15" t="str">
        <f>IF(ISTEXT('Incurred 2.5% cpi'!Q95),"",'Incurred 2.5% cpi'!Q95/'Incurred 2.5% cpi'!Q$17*Incurred!Q$17)</f>
        <v/>
      </c>
      <c r="R95" s="110" t="str">
        <f>IF(ISTEXT('Incurred 2.5% cpi'!R95),"",'Incurred 2.5% cpi'!R95/'Incurred 2.5% cpi'!R$17*Incurred!R$17*BG95)</f>
        <v/>
      </c>
      <c r="S95" s="102">
        <f>IF(ISTEXT('Incurred 2.5% cpi'!S95),"",'Incurred 2.5% cpi'!S95/'Incurred 2.5% cpi'!S$17*Incurred!S$17*BH95)</f>
        <v>154628.82428065003</v>
      </c>
      <c r="T95" s="16">
        <f>IF(ISTEXT('Incurred 2.5% cpi'!T95),"",'Incurred 2.5% cpi'!T95/'Incurred 2.5% cpi'!T$17*Incurred!T$17*BI95)</f>
        <v>248897.83165221772</v>
      </c>
      <c r="U95" s="16" t="str">
        <f>IF(ISTEXT('Incurred 2.5% cpi'!U95),"",'Incurred 2.5% cpi'!U95/'Incurred 2.5% cpi'!U$17*Incurred!U$17*BJ95)</f>
        <v/>
      </c>
      <c r="V95" s="16" t="str">
        <f>IF(ISTEXT('Incurred 2.5% cpi'!V95),"",'Incurred 2.5% cpi'!V95/'Incurred 2.5% cpi'!V$17*Incurred!V$17*BK95)</f>
        <v/>
      </c>
      <c r="W95" s="110" t="str">
        <f>IF(ISTEXT('Incurred 2.5% cpi'!W95),"",'Incurred 2.5% cpi'!W95/'Incurred 2.5% cpi'!W$17*Incurred!W$17*BL95)</f>
        <v/>
      </c>
      <c r="X95" s="102" t="str">
        <f>IF(ISTEXT('Incurred 2.5% cpi'!X95),"",'Incurred 2.5% cpi'!X95/'Incurred 2.5% cpi'!X$17*Incurred!X$17*BM95)</f>
        <v/>
      </c>
      <c r="Y95" s="80">
        <f t="shared" si="156"/>
        <v>403526.65593286778</v>
      </c>
      <c r="Z95" s="80">
        <f t="shared" si="124"/>
        <v>403526.65593286778</v>
      </c>
      <c r="AA95" s="566">
        <f t="shared" si="125"/>
        <v>438717.03099227097</v>
      </c>
      <c r="AB95" s="566">
        <f t="shared" si="126"/>
        <v>407392.37653988402</v>
      </c>
      <c r="AC95" s="567">
        <f t="shared" si="146"/>
        <v>1.0768906249999999</v>
      </c>
      <c r="AD95" s="568" t="str">
        <f t="shared" si="128"/>
        <v>2020</v>
      </c>
      <c r="AE95" s="569">
        <v>43775</v>
      </c>
      <c r="AF95" s="568">
        <v>2020</v>
      </c>
      <c r="AG95" s="569"/>
      <c r="AH95" s="566">
        <f t="shared" ref="AH95:AH112" si="162">IF(ROUND(Y95,0)=0,0,SUMPRODUCT($F$19:$W$19,F95:W95))</f>
        <v>387761.92888983607</v>
      </c>
      <c r="AI95" s="80">
        <f t="shared" si="129"/>
        <v>248897.83165221772</v>
      </c>
      <c r="AJ95" s="571" t="s">
        <v>3035</v>
      </c>
      <c r="AK95" s="875">
        <f t="shared" ref="AK95:AK100" si="163">IF(ISNA(VLOOKUP(LEFT($A95,8),Estimates,72,FALSE)),0,VLOOKUP(LEFT($A95,8),Estimates,72,FALSE))</f>
        <v>68400</v>
      </c>
      <c r="AL95" s="28">
        <f t="shared" ref="AL95:BE95" si="164">IF($AK95=0,VLOOKUP(MID($A95,4,5),ProjectSplits,AL$23,FALSE),IF(ISNA(VLOOKUP($A95,Estimates,AL$22,FALSE)),VLOOKUP(MID($A95,4,5),ProjectSplits,AL$23,FALSE),VLOOKUP($A95,Estimates,AL$22,FALSE)))</f>
        <v>0</v>
      </c>
      <c r="AM95" s="28">
        <f t="shared" si="164"/>
        <v>0</v>
      </c>
      <c r="AN95" s="28">
        <f t="shared" si="164"/>
        <v>0</v>
      </c>
      <c r="AO95" s="28">
        <f t="shared" si="164"/>
        <v>1</v>
      </c>
      <c r="AP95" s="28">
        <f t="shared" si="164"/>
        <v>0</v>
      </c>
      <c r="AQ95" s="28">
        <f t="shared" si="164"/>
        <v>0</v>
      </c>
      <c r="AR95" s="28">
        <f t="shared" si="164"/>
        <v>0</v>
      </c>
      <c r="AS95" s="28">
        <f t="shared" si="164"/>
        <v>0</v>
      </c>
      <c r="AT95" s="28">
        <f t="shared" si="164"/>
        <v>0</v>
      </c>
      <c r="AU95" s="28">
        <f t="shared" si="164"/>
        <v>0</v>
      </c>
      <c r="AV95" s="28">
        <f t="shared" si="164"/>
        <v>0</v>
      </c>
      <c r="AW95" s="28">
        <f t="shared" si="164"/>
        <v>0</v>
      </c>
      <c r="AX95" s="28">
        <f t="shared" si="164"/>
        <v>0</v>
      </c>
      <c r="AY95" s="28">
        <f t="shared" si="164"/>
        <v>0</v>
      </c>
      <c r="AZ95" s="28">
        <f t="shared" si="164"/>
        <v>0</v>
      </c>
      <c r="BA95" s="28">
        <f t="shared" si="164"/>
        <v>0</v>
      </c>
      <c r="BB95" s="28">
        <f t="shared" si="164"/>
        <v>0</v>
      </c>
      <c r="BC95" s="28">
        <f t="shared" si="164"/>
        <v>0</v>
      </c>
      <c r="BD95" s="28">
        <f t="shared" si="164"/>
        <v>0</v>
      </c>
      <c r="BE95" s="28">
        <f t="shared" si="164"/>
        <v>0</v>
      </c>
      <c r="BF95" s="27">
        <f>SUM(AL95:BD95)</f>
        <v>1</v>
      </c>
      <c r="BG95" s="520">
        <f t="shared" si="157"/>
        <v>1.0034498951996242</v>
      </c>
      <c r="BH95" s="520">
        <f t="shared" si="131"/>
        <v>1.0065926315443261</v>
      </c>
      <c r="BI95" s="520">
        <f t="shared" si="132"/>
        <v>1.0099939207178206</v>
      </c>
      <c r="BJ95" s="520">
        <f t="shared" si="133"/>
        <v>1.0139228081132494</v>
      </c>
      <c r="BK95" s="520">
        <f t="shared" si="134"/>
        <v>1.0196467222390713</v>
      </c>
      <c r="BL95" s="520">
        <f t="shared" si="135"/>
        <v>1.0260851094706045</v>
      </c>
      <c r="BM95" s="520">
        <f t="shared" si="136"/>
        <v>1.0303954349252136</v>
      </c>
      <c r="BN95" s="521" t="str">
        <f t="shared" si="137"/>
        <v>Category</v>
      </c>
      <c r="BP95" s="3"/>
    </row>
    <row r="96" spans="1:69" hidden="1" x14ac:dyDescent="0.15">
      <c r="A96" s="78" t="s">
        <v>209</v>
      </c>
      <c r="B96" s="13" t="s">
        <v>210</v>
      </c>
      <c r="C96" s="13" t="s">
        <v>27</v>
      </c>
      <c r="D96" s="13" t="s">
        <v>40</v>
      </c>
      <c r="E96" s="13" t="s">
        <v>29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22293.77</v>
      </c>
      <c r="M96" s="15">
        <v>2206.4499999999998</v>
      </c>
      <c r="N96" s="670"/>
      <c r="O96" s="14">
        <v>24922.94</v>
      </c>
      <c r="P96" s="15">
        <v>1557029.81</v>
      </c>
      <c r="Q96" s="15">
        <f>IF(ISTEXT('Incurred 2.5% cpi'!Q96),"",'Incurred 2.5% cpi'!Q96/'Incurred 2.5% cpi'!Q$17*Incurred!Q$17)</f>
        <v>1893126.4</v>
      </c>
      <c r="R96" s="110">
        <f>IF(ISTEXT('Incurred 2.5% cpi'!R96),"",'Incurred 2.5% cpi'!R96/'Incurred 2.5% cpi'!R$17*Incurred!R$17*BG96)</f>
        <v>76860.298345205185</v>
      </c>
      <c r="S96" s="102" t="str">
        <f>IF(ISTEXT('Incurred 2.5% cpi'!S96),"",'Incurred 2.5% cpi'!S96/'Incurred 2.5% cpi'!S$17*Incurred!S$17*BH96)</f>
        <v/>
      </c>
      <c r="T96" s="16" t="str">
        <f>IF(ISTEXT('Incurred 2.5% cpi'!T96),"",'Incurred 2.5% cpi'!T96/'Incurred 2.5% cpi'!T$17*Incurred!T$17*BI96)</f>
        <v/>
      </c>
      <c r="U96" s="16" t="str">
        <f>IF(ISTEXT('Incurred 2.5% cpi'!U96),"",'Incurred 2.5% cpi'!U96/'Incurred 2.5% cpi'!U$17*Incurred!U$17*BJ96)</f>
        <v/>
      </c>
      <c r="V96" s="16" t="str">
        <f>IF(ISTEXT('Incurred 2.5% cpi'!V96),"",'Incurred 2.5% cpi'!V96/'Incurred 2.5% cpi'!V$17*Incurred!V$17*BK96)</f>
        <v/>
      </c>
      <c r="W96" s="110" t="str">
        <f>IF(ISTEXT('Incurred 2.5% cpi'!W96),"",'Incurred 2.5% cpi'!W96/'Incurred 2.5% cpi'!W$17*Incurred!W$17*BL96)</f>
        <v/>
      </c>
      <c r="X96" s="102" t="str">
        <f>IF(ISTEXT('Incurred 2.5% cpi'!X96),"",'Incurred 2.5% cpi'!X96/'Incurred 2.5% cpi'!X$17*Incurred!X$17*BM96)</f>
        <v/>
      </c>
      <c r="Y96" s="80">
        <f t="shared" si="156"/>
        <v>3576439.6683452055</v>
      </c>
      <c r="Z96" s="80">
        <f t="shared" si="124"/>
        <v>3576439.6683452055</v>
      </c>
      <c r="AA96" s="566">
        <f t="shared" si="125"/>
        <v>4187729.6782677928</v>
      </c>
      <c r="AB96" s="566">
        <f t="shared" si="126"/>
        <v>3701342.8314866126</v>
      </c>
      <c r="AC96" s="567">
        <f t="shared" si="146"/>
        <v>1.1314082128906247</v>
      </c>
      <c r="AD96" s="568" t="str">
        <f t="shared" si="128"/>
        <v>2018</v>
      </c>
      <c r="AE96" s="569">
        <v>42675</v>
      </c>
      <c r="AF96" s="568" t="s">
        <v>3152</v>
      </c>
      <c r="AG96" s="569"/>
      <c r="AH96" s="566">
        <f t="shared" si="162"/>
        <v>3701342.8314866126</v>
      </c>
      <c r="AI96" s="80">
        <f t="shared" si="129"/>
        <v>76860.298345205185</v>
      </c>
      <c r="AJ96" s="571" t="s">
        <v>0</v>
      </c>
      <c r="AK96" s="875">
        <f t="shared" si="163"/>
        <v>5531473.0311388988</v>
      </c>
      <c r="AL96" s="28">
        <f t="shared" ref="AL96:AU96" si="165">IF($AK96=0,VLOOKUP(MID($A96,4,5),ProjectSplits,AL$23,FALSE),IF(ISNA(VLOOKUP($A96,Estimates,AL$22,FALSE)),VLOOKUP(MID($A96,4,5),ProjectSplits,AL$23,FALSE),VLOOKUP($A96,Estimates,AL$22,FALSE)))</f>
        <v>0</v>
      </c>
      <c r="AM96" s="28">
        <f t="shared" si="165"/>
        <v>0.52860569289324932</v>
      </c>
      <c r="AN96" s="28">
        <f t="shared" si="165"/>
        <v>0.37731345441698327</v>
      </c>
      <c r="AO96" s="28">
        <f t="shared" si="165"/>
        <v>0</v>
      </c>
      <c r="AP96" s="28">
        <f t="shared" si="165"/>
        <v>0</v>
      </c>
      <c r="AQ96" s="28">
        <f t="shared" si="165"/>
        <v>0</v>
      </c>
      <c r="AR96" s="28">
        <f t="shared" si="165"/>
        <v>0</v>
      </c>
      <c r="AS96" s="28">
        <f t="shared" si="165"/>
        <v>0</v>
      </c>
      <c r="AT96" s="28">
        <f t="shared" si="165"/>
        <v>0</v>
      </c>
      <c r="AU96" s="28">
        <f t="shared" si="165"/>
        <v>0</v>
      </c>
      <c r="AV96" s="28">
        <f t="shared" ref="AV96:BE96" si="166">IF($AK96=0,VLOOKUP(MID($A96,4,5),ProjectSplits,AV$23,FALSE),IF(ISNA(VLOOKUP($A96,Estimates,AV$22,FALSE)),VLOOKUP(MID($A96,4,5),ProjectSplits,AV$23,FALSE),VLOOKUP($A96,Estimates,AV$22,FALSE)))</f>
        <v>9.4080852689767416E-2</v>
      </c>
      <c r="AW96" s="28">
        <f t="shared" si="166"/>
        <v>0</v>
      </c>
      <c r="AX96" s="28">
        <f t="shared" si="166"/>
        <v>0</v>
      </c>
      <c r="AY96" s="28">
        <f t="shared" si="166"/>
        <v>0</v>
      </c>
      <c r="AZ96" s="28">
        <f t="shared" si="166"/>
        <v>0</v>
      </c>
      <c r="BA96" s="28">
        <f t="shared" si="166"/>
        <v>0</v>
      </c>
      <c r="BB96" s="28">
        <f t="shared" si="166"/>
        <v>0</v>
      </c>
      <c r="BC96" s="28">
        <f t="shared" si="166"/>
        <v>0</v>
      </c>
      <c r="BD96" s="28">
        <f t="shared" si="166"/>
        <v>0</v>
      </c>
      <c r="BE96" s="28">
        <f t="shared" si="166"/>
        <v>0</v>
      </c>
      <c r="BF96" s="27">
        <f t="shared" ref="BF96" si="167">SUM(AL96:BD96)</f>
        <v>1</v>
      </c>
      <c r="BG96" s="520">
        <f t="shared" si="157"/>
        <v>1.0034498951996242</v>
      </c>
      <c r="BH96" s="520">
        <f t="shared" si="131"/>
        <v>1.0065926315443261</v>
      </c>
      <c r="BI96" s="520">
        <f t="shared" si="132"/>
        <v>1.0099939207178206</v>
      </c>
      <c r="BJ96" s="520">
        <f t="shared" si="133"/>
        <v>1.0139228081132494</v>
      </c>
      <c r="BK96" s="520">
        <f t="shared" si="134"/>
        <v>1.0196467222390713</v>
      </c>
      <c r="BL96" s="520">
        <f t="shared" si="135"/>
        <v>1.0260851094706045</v>
      </c>
      <c r="BM96" s="520">
        <f t="shared" si="136"/>
        <v>1.0303954349252136</v>
      </c>
      <c r="BN96" s="521" t="str">
        <f t="shared" si="137"/>
        <v>Category</v>
      </c>
      <c r="BP96" s="3">
        <f>SUMPRODUCT(F96:P96,$F$19:$P$19)/$Q$19</f>
        <v>1642954.1201379588</v>
      </c>
      <c r="BQ96" s="3"/>
    </row>
    <row r="97" spans="1:69" hidden="1" x14ac:dyDescent="0.15">
      <c r="A97" s="12" t="s">
        <v>212</v>
      </c>
      <c r="B97" s="13" t="s">
        <v>213</v>
      </c>
      <c r="C97" s="13" t="s">
        <v>27</v>
      </c>
      <c r="D97" s="13" t="s">
        <v>36</v>
      </c>
      <c r="E97" s="13" t="s">
        <v>32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5">
        <v>0</v>
      </c>
      <c r="N97" s="670"/>
      <c r="O97" s="14">
        <v>15748.67</v>
      </c>
      <c r="P97" s="15">
        <v>-2762.64</v>
      </c>
      <c r="Q97" s="15" t="str">
        <f>IF(ISTEXT('Incurred 2.5% cpi'!Q97),"",'Incurred 2.5% cpi'!Q97/'Incurred 2.5% cpi'!Q$17*Incurred!Q$17)</f>
        <v/>
      </c>
      <c r="R97" s="110" t="str">
        <f>IF(ISTEXT('Incurred 2.5% cpi'!R97),"",'Incurred 2.5% cpi'!R97/'Incurred 2.5% cpi'!R$17*Incurred!R$17*BG97)</f>
        <v/>
      </c>
      <c r="S97" s="102" t="str">
        <f>IF(ISTEXT('Incurred 2.5% cpi'!S97),"",'Incurred 2.5% cpi'!S97/'Incurred 2.5% cpi'!S$17*Incurred!S$17*BH97)</f>
        <v/>
      </c>
      <c r="T97" s="16" t="str">
        <f>IF(ISTEXT('Incurred 2.5% cpi'!T97),"",'Incurred 2.5% cpi'!T97/'Incurred 2.5% cpi'!T$17*Incurred!T$17*BI97)</f>
        <v/>
      </c>
      <c r="U97" s="16" t="str">
        <f>IF(ISTEXT('Incurred 2.5% cpi'!U97),"",'Incurred 2.5% cpi'!U97/'Incurred 2.5% cpi'!U$17*Incurred!U$17*BJ97)</f>
        <v/>
      </c>
      <c r="V97" s="16" t="str">
        <f>IF(ISTEXT('Incurred 2.5% cpi'!V97),"",'Incurred 2.5% cpi'!V97/'Incurred 2.5% cpi'!V$17*Incurred!V$17*BK97)</f>
        <v/>
      </c>
      <c r="W97" s="110" t="str">
        <f>IF(ISTEXT('Incurred 2.5% cpi'!W97),"",'Incurred 2.5% cpi'!W97/'Incurred 2.5% cpi'!W$17*Incurred!W$17*BL97)</f>
        <v/>
      </c>
      <c r="X97" s="102" t="str">
        <f>IF(ISTEXT('Incurred 2.5% cpi'!X97),"",'Incurred 2.5% cpi'!X97/'Incurred 2.5% cpi'!X$17*Incurred!X$17*BM97)</f>
        <v/>
      </c>
      <c r="Y97" s="80">
        <f t="shared" si="156"/>
        <v>12986.03</v>
      </c>
      <c r="Z97" s="80">
        <f t="shared" si="124"/>
        <v>18511.310000000001</v>
      </c>
      <c r="AA97" s="566">
        <f t="shared" si="125"/>
        <v>15624.438952461493</v>
      </c>
      <c r="AB97" s="566">
        <f t="shared" si="126"/>
        <v>13192.473239700379</v>
      </c>
      <c r="AC97" s="567">
        <f t="shared" si="146"/>
        <v>1.1843449418902401</v>
      </c>
      <c r="AD97" s="568" t="str">
        <f t="shared" si="128"/>
        <v>2016</v>
      </c>
      <c r="AE97" s="569">
        <v>42710</v>
      </c>
      <c r="AF97" s="568">
        <v>2016</v>
      </c>
      <c r="AG97" s="569"/>
      <c r="AH97" s="566">
        <f t="shared" si="162"/>
        <v>13809.727359626244</v>
      </c>
      <c r="AI97" s="80">
        <f t="shared" si="129"/>
        <v>-2762.64</v>
      </c>
      <c r="AJ97" s="571" t="s">
        <v>0</v>
      </c>
      <c r="AK97" s="875">
        <f t="shared" si="163"/>
        <v>14999.999999999996</v>
      </c>
      <c r="AL97" s="28">
        <f t="shared" ref="AL97:AU99" si="168">IF($AK97=0,VLOOKUP(MID($A97,4,5),ProjectSplits,AL$23,FALSE),IF(ISNA(VLOOKUP($A97,Estimates,AL$22,FALSE)),VLOOKUP(MID($A97,4,5),ProjectSplits,AL$23,FALSE),VLOOKUP($A97,Estimates,AL$22,FALSE)))</f>
        <v>0.3</v>
      </c>
      <c r="AM97" s="28">
        <f t="shared" si="168"/>
        <v>0</v>
      </c>
      <c r="AN97" s="28">
        <f t="shared" si="168"/>
        <v>0</v>
      </c>
      <c r="AO97" s="28">
        <f t="shared" si="168"/>
        <v>0</v>
      </c>
      <c r="AP97" s="28">
        <f t="shared" si="168"/>
        <v>0</v>
      </c>
      <c r="AQ97" s="28">
        <f t="shared" si="168"/>
        <v>0</v>
      </c>
      <c r="AR97" s="28">
        <f t="shared" si="168"/>
        <v>0</v>
      </c>
      <c r="AS97" s="28">
        <f t="shared" si="168"/>
        <v>0.7</v>
      </c>
      <c r="AT97" s="28">
        <f t="shared" si="168"/>
        <v>0</v>
      </c>
      <c r="AU97" s="28">
        <f t="shared" si="168"/>
        <v>0</v>
      </c>
      <c r="AV97" s="28">
        <f t="shared" ref="AV97:BE99" si="169">IF($AK97=0,VLOOKUP(MID($A97,4,5),ProjectSplits,AV$23,FALSE),IF(ISNA(VLOOKUP($A97,Estimates,AV$22,FALSE)),VLOOKUP(MID($A97,4,5),ProjectSplits,AV$23,FALSE),VLOOKUP($A97,Estimates,AV$22,FALSE)))</f>
        <v>0</v>
      </c>
      <c r="AW97" s="28">
        <f t="shared" si="169"/>
        <v>0</v>
      </c>
      <c r="AX97" s="28">
        <f t="shared" si="169"/>
        <v>0</v>
      </c>
      <c r="AY97" s="28">
        <f t="shared" si="169"/>
        <v>0</v>
      </c>
      <c r="AZ97" s="28">
        <f t="shared" si="169"/>
        <v>0</v>
      </c>
      <c r="BA97" s="28">
        <f t="shared" si="169"/>
        <v>0</v>
      </c>
      <c r="BB97" s="28">
        <f t="shared" si="169"/>
        <v>0</v>
      </c>
      <c r="BC97" s="28">
        <f t="shared" si="169"/>
        <v>0</v>
      </c>
      <c r="BD97" s="28">
        <f t="shared" si="169"/>
        <v>0</v>
      </c>
      <c r="BE97" s="28">
        <f t="shared" si="169"/>
        <v>0</v>
      </c>
      <c r="BF97" s="27">
        <f t="shared" ref="BF97:BF99" si="170">SUM(AL97:BD97)</f>
        <v>1</v>
      </c>
      <c r="BG97" s="520">
        <f t="shared" si="157"/>
        <v>1.0018756098697492</v>
      </c>
      <c r="BH97" s="520">
        <f t="shared" si="131"/>
        <v>1.0035842262088148</v>
      </c>
      <c r="BI97" s="520">
        <f t="shared" si="132"/>
        <v>1.0054334103650095</v>
      </c>
      <c r="BJ97" s="520">
        <f t="shared" si="133"/>
        <v>1.007569434664183</v>
      </c>
      <c r="BK97" s="520">
        <f t="shared" si="134"/>
        <v>1.0106813639277612</v>
      </c>
      <c r="BL97" s="520">
        <f t="shared" si="135"/>
        <v>1.0141817318919957</v>
      </c>
      <c r="BM97" s="520">
        <f t="shared" si="136"/>
        <v>1.0165251332119476</v>
      </c>
      <c r="BN97" s="521" t="str">
        <f t="shared" si="137"/>
        <v>Category</v>
      </c>
      <c r="BP97" s="3"/>
    </row>
    <row r="98" spans="1:69" hidden="1" x14ac:dyDescent="0.15">
      <c r="A98" s="12" t="s">
        <v>214</v>
      </c>
      <c r="B98" s="13" t="s">
        <v>215</v>
      </c>
      <c r="C98" s="13" t="s">
        <v>27</v>
      </c>
      <c r="D98" s="13" t="s">
        <v>36</v>
      </c>
      <c r="E98" s="13" t="s">
        <v>32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5">
        <v>0</v>
      </c>
      <c r="N98" s="670"/>
      <c r="O98" s="14">
        <v>118677.6</v>
      </c>
      <c r="P98" s="15">
        <v>36888.410000000003</v>
      </c>
      <c r="Q98" s="15">
        <f>IF(ISTEXT('Incurred 2.5% cpi'!Q98),"",'Incurred 2.5% cpi'!Q98/'Incurred 2.5% cpi'!Q$17*Incurred!Q$17)</f>
        <v>6470.75</v>
      </c>
      <c r="R98" s="110" t="str">
        <f>IF(ISTEXT('Incurred 2.5% cpi'!R98),"",'Incurred 2.5% cpi'!R98/'Incurred 2.5% cpi'!R$17*Incurred!R$17*BG98)</f>
        <v/>
      </c>
      <c r="S98" s="102" t="str">
        <f>IF(ISTEXT('Incurred 2.5% cpi'!S98),"",'Incurred 2.5% cpi'!S98/'Incurred 2.5% cpi'!S$17*Incurred!S$17*BH98)</f>
        <v/>
      </c>
      <c r="T98" s="16" t="str">
        <f>IF(ISTEXT('Incurred 2.5% cpi'!T98),"",'Incurred 2.5% cpi'!T98/'Incurred 2.5% cpi'!T$17*Incurred!T$17*BI98)</f>
        <v/>
      </c>
      <c r="U98" s="16" t="str">
        <f>IF(ISTEXT('Incurred 2.5% cpi'!U98),"",'Incurred 2.5% cpi'!U98/'Incurred 2.5% cpi'!U$17*Incurred!U$17*BJ98)</f>
        <v/>
      </c>
      <c r="V98" s="16" t="str">
        <f>IF(ISTEXT('Incurred 2.5% cpi'!V98),"",'Incurred 2.5% cpi'!V98/'Incurred 2.5% cpi'!V$17*Incurred!V$17*BK98)</f>
        <v/>
      </c>
      <c r="W98" s="110" t="str">
        <f>IF(ISTEXT('Incurred 2.5% cpi'!W98),"",'Incurred 2.5% cpi'!W98/'Incurred 2.5% cpi'!W$17*Incurred!W$17*BL98)</f>
        <v/>
      </c>
      <c r="X98" s="102" t="str">
        <f>IF(ISTEXT('Incurred 2.5% cpi'!X98),"",'Incurred 2.5% cpi'!X98/'Incurred 2.5% cpi'!X$17*Incurred!X$17*BM98)</f>
        <v/>
      </c>
      <c r="Y98" s="80">
        <f t="shared" si="156"/>
        <v>162036.76</v>
      </c>
      <c r="Z98" s="80">
        <f t="shared" si="124"/>
        <v>162036.76</v>
      </c>
      <c r="AA98" s="566">
        <f t="shared" si="125"/>
        <v>193590.38735482158</v>
      </c>
      <c r="AB98" s="566">
        <f t="shared" si="126"/>
        <v>166932.38429614276</v>
      </c>
      <c r="AC98" s="567">
        <f t="shared" si="146"/>
        <v>1.1596934182128902</v>
      </c>
      <c r="AD98" s="568" t="str">
        <f t="shared" si="128"/>
        <v>2017</v>
      </c>
      <c r="AE98" s="569">
        <v>42121</v>
      </c>
      <c r="AF98" s="568" t="s">
        <v>3152</v>
      </c>
      <c r="AG98" s="569"/>
      <c r="AH98" s="566">
        <f t="shared" si="162"/>
        <v>171105.69390354631</v>
      </c>
      <c r="AI98" s="80">
        <f t="shared" si="129"/>
        <v>6470.75</v>
      </c>
      <c r="AJ98" s="571" t="s">
        <v>0</v>
      </c>
      <c r="AK98" s="875">
        <f t="shared" si="163"/>
        <v>169999.99999999997</v>
      </c>
      <c r="AL98" s="28">
        <f t="shared" si="168"/>
        <v>0</v>
      </c>
      <c r="AM98" s="28">
        <f t="shared" si="168"/>
        <v>0</v>
      </c>
      <c r="AN98" s="28">
        <f t="shared" si="168"/>
        <v>0</v>
      </c>
      <c r="AO98" s="28">
        <f t="shared" si="168"/>
        <v>0</v>
      </c>
      <c r="AP98" s="28">
        <f t="shared" si="168"/>
        <v>0</v>
      </c>
      <c r="AQ98" s="28">
        <f t="shared" si="168"/>
        <v>0</v>
      </c>
      <c r="AR98" s="28">
        <f t="shared" si="168"/>
        <v>0</v>
      </c>
      <c r="AS98" s="28">
        <f t="shared" si="168"/>
        <v>1</v>
      </c>
      <c r="AT98" s="28">
        <f t="shared" si="168"/>
        <v>0</v>
      </c>
      <c r="AU98" s="28">
        <f t="shared" si="168"/>
        <v>0</v>
      </c>
      <c r="AV98" s="28">
        <f t="shared" si="169"/>
        <v>0</v>
      </c>
      <c r="AW98" s="28">
        <f t="shared" si="169"/>
        <v>0</v>
      </c>
      <c r="AX98" s="28">
        <f t="shared" si="169"/>
        <v>0</v>
      </c>
      <c r="AY98" s="28">
        <f t="shared" si="169"/>
        <v>0</v>
      </c>
      <c r="AZ98" s="28">
        <f t="shared" si="169"/>
        <v>0</v>
      </c>
      <c r="BA98" s="28">
        <f t="shared" si="169"/>
        <v>0</v>
      </c>
      <c r="BB98" s="28">
        <f t="shared" si="169"/>
        <v>0</v>
      </c>
      <c r="BC98" s="28">
        <f t="shared" si="169"/>
        <v>0</v>
      </c>
      <c r="BD98" s="28">
        <f t="shared" si="169"/>
        <v>0</v>
      </c>
      <c r="BE98" s="28">
        <f t="shared" si="169"/>
        <v>0</v>
      </c>
      <c r="BF98" s="27">
        <f t="shared" si="170"/>
        <v>1</v>
      </c>
      <c r="BG98" s="520">
        <f t="shared" si="157"/>
        <v>1.0018756098697492</v>
      </c>
      <c r="BH98" s="520">
        <f t="shared" si="131"/>
        <v>1.0035842262088148</v>
      </c>
      <c r="BI98" s="520">
        <f t="shared" si="132"/>
        <v>1.0054334103650095</v>
      </c>
      <c r="BJ98" s="520">
        <f t="shared" si="133"/>
        <v>1.007569434664183</v>
      </c>
      <c r="BK98" s="520">
        <f t="shared" si="134"/>
        <v>1.0106813639277612</v>
      </c>
      <c r="BL98" s="520">
        <f t="shared" si="135"/>
        <v>1.0141817318919957</v>
      </c>
      <c r="BM98" s="520">
        <f t="shared" si="136"/>
        <v>1.0165251332119476</v>
      </c>
      <c r="BN98" s="521" t="str">
        <f t="shared" si="137"/>
        <v>Category</v>
      </c>
      <c r="BP98" s="3"/>
    </row>
    <row r="99" spans="1:69" hidden="1" x14ac:dyDescent="0.15">
      <c r="A99" s="12" t="s">
        <v>216</v>
      </c>
      <c r="B99" s="13" t="s">
        <v>217</v>
      </c>
      <c r="C99" s="13" t="s">
        <v>27</v>
      </c>
      <c r="D99" s="13" t="s">
        <v>40</v>
      </c>
      <c r="E99" s="13" t="s">
        <v>29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5">
        <v>0</v>
      </c>
      <c r="N99" s="670"/>
      <c r="O99" s="14">
        <v>329673.95</v>
      </c>
      <c r="P99" s="15">
        <v>170681.92</v>
      </c>
      <c r="Q99" s="15">
        <f>IF(ISTEXT('Incurred 2.5% cpi'!Q99),"",'Incurred 2.5% cpi'!Q99/'Incurred 2.5% cpi'!Q$17*Incurred!Q$17)</f>
        <v>469435.6</v>
      </c>
      <c r="R99" s="110">
        <f>IF(ISTEXT('Incurred 2.5% cpi'!R99),"",'Incurred 2.5% cpi'!R99/'Incurred 2.5% cpi'!R$17*Incurred!R$17*BG99)</f>
        <v>685328.39254875574</v>
      </c>
      <c r="S99" s="102">
        <f>IF(ISTEXT('Incurred 2.5% cpi'!S99),"",'Incurred 2.5% cpi'!S99/'Incurred 2.5% cpi'!S$17*Incurred!S$17*BH99)</f>
        <v>27458.790066266094</v>
      </c>
      <c r="T99" s="16" t="str">
        <f>IF(ISTEXT('Incurred 2.5% cpi'!T99),"",'Incurred 2.5% cpi'!T99/'Incurred 2.5% cpi'!T$17*Incurred!T$17*BI99)</f>
        <v/>
      </c>
      <c r="U99" s="16" t="str">
        <f>IF(ISTEXT('Incurred 2.5% cpi'!U99),"",'Incurred 2.5% cpi'!U99/'Incurred 2.5% cpi'!U$17*Incurred!U$17*BJ99)</f>
        <v/>
      </c>
      <c r="V99" s="16" t="str">
        <f>IF(ISTEXT('Incurred 2.5% cpi'!V99),"",'Incurred 2.5% cpi'!V99/'Incurred 2.5% cpi'!V$17*Incurred!V$17*BK99)</f>
        <v/>
      </c>
      <c r="W99" s="110" t="str">
        <f>IF(ISTEXT('Incurred 2.5% cpi'!W99),"",'Incurred 2.5% cpi'!W99/'Incurred 2.5% cpi'!W$17*Incurred!W$17*BL99)</f>
        <v/>
      </c>
      <c r="X99" s="102" t="str">
        <f>IF(ISTEXT('Incurred 2.5% cpi'!X99),"",'Incurred 2.5% cpi'!X99/'Incurred 2.5% cpi'!X$17*Incurred!X$17*BM99)</f>
        <v/>
      </c>
      <c r="Y99" s="80">
        <f t="shared" si="156"/>
        <v>1682578.6526150219</v>
      </c>
      <c r="Z99" s="80">
        <f t="shared" si="124"/>
        <v>1682578.6526150219</v>
      </c>
      <c r="AA99" s="566">
        <f t="shared" si="125"/>
        <v>1947809.0856187881</v>
      </c>
      <c r="AB99" s="566">
        <f t="shared" si="126"/>
        <v>1721579.4117689391</v>
      </c>
      <c r="AC99" s="567">
        <f t="shared" si="146"/>
        <v>1.1314082128906247</v>
      </c>
      <c r="AD99" s="568" t="str">
        <f t="shared" si="128"/>
        <v>2019</v>
      </c>
      <c r="AE99" s="569">
        <v>42957</v>
      </c>
      <c r="AF99" s="568">
        <v>2018</v>
      </c>
      <c r="AG99" s="569"/>
      <c r="AH99" s="566">
        <f t="shared" si="162"/>
        <v>1721579.4117689393</v>
      </c>
      <c r="AI99" s="80">
        <f t="shared" si="129"/>
        <v>27458.790066266094</v>
      </c>
      <c r="AJ99" s="571" t="s">
        <v>0</v>
      </c>
      <c r="AK99" s="875">
        <f t="shared" si="163"/>
        <v>743217.99999871629</v>
      </c>
      <c r="AL99" s="28">
        <f t="shared" si="168"/>
        <v>0</v>
      </c>
      <c r="AM99" s="28">
        <f t="shared" si="168"/>
        <v>0</v>
      </c>
      <c r="AN99" s="28">
        <f t="shared" si="168"/>
        <v>0</v>
      </c>
      <c r="AO99" s="28">
        <f t="shared" si="168"/>
        <v>0</v>
      </c>
      <c r="AP99" s="28">
        <f t="shared" si="168"/>
        <v>0</v>
      </c>
      <c r="AQ99" s="28">
        <f t="shared" si="168"/>
        <v>0</v>
      </c>
      <c r="AR99" s="28">
        <f t="shared" si="168"/>
        <v>0</v>
      </c>
      <c r="AS99" s="28">
        <f t="shared" si="168"/>
        <v>0</v>
      </c>
      <c r="AT99" s="28">
        <f t="shared" si="168"/>
        <v>0</v>
      </c>
      <c r="AU99" s="28">
        <f t="shared" si="168"/>
        <v>0</v>
      </c>
      <c r="AV99" s="28">
        <f t="shared" si="169"/>
        <v>0</v>
      </c>
      <c r="AW99" s="28">
        <f t="shared" si="169"/>
        <v>0</v>
      </c>
      <c r="AX99" s="28">
        <f t="shared" si="169"/>
        <v>0</v>
      </c>
      <c r="AY99" s="28">
        <f t="shared" si="169"/>
        <v>0</v>
      </c>
      <c r="AZ99" s="28">
        <f t="shared" si="169"/>
        <v>0</v>
      </c>
      <c r="BA99" s="28">
        <f t="shared" si="169"/>
        <v>0</v>
      </c>
      <c r="BB99" s="28">
        <f t="shared" si="169"/>
        <v>1</v>
      </c>
      <c r="BC99" s="28">
        <f t="shared" si="169"/>
        <v>0</v>
      </c>
      <c r="BD99" s="28">
        <f t="shared" si="169"/>
        <v>0</v>
      </c>
      <c r="BE99" s="28">
        <f t="shared" si="169"/>
        <v>0</v>
      </c>
      <c r="BF99" s="27">
        <f t="shared" si="170"/>
        <v>1</v>
      </c>
      <c r="BG99" s="520">
        <f t="shared" si="157"/>
        <v>1.0034498951996242</v>
      </c>
      <c r="BH99" s="520">
        <f t="shared" si="131"/>
        <v>1.0065926315443261</v>
      </c>
      <c r="BI99" s="520">
        <f t="shared" si="132"/>
        <v>1.0099939207178206</v>
      </c>
      <c r="BJ99" s="520">
        <f t="shared" si="133"/>
        <v>1.0139228081132494</v>
      </c>
      <c r="BK99" s="520">
        <f t="shared" si="134"/>
        <v>1.0196467222390713</v>
      </c>
      <c r="BL99" s="520">
        <f t="shared" si="135"/>
        <v>1.0260851094706045</v>
      </c>
      <c r="BM99" s="520">
        <f t="shared" si="136"/>
        <v>1.0303954349252136</v>
      </c>
      <c r="BN99" s="521" t="str">
        <f t="shared" si="137"/>
        <v>Category</v>
      </c>
      <c r="BP99" s="3"/>
    </row>
    <row r="100" spans="1:69" hidden="1" x14ac:dyDescent="0.15">
      <c r="A100" s="12" t="s">
        <v>218</v>
      </c>
      <c r="B100" s="13" t="s">
        <v>219</v>
      </c>
      <c r="C100" s="13" t="s">
        <v>27</v>
      </c>
      <c r="D100" s="13" t="s">
        <v>55</v>
      </c>
      <c r="E100" s="13" t="s">
        <v>112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5">
        <v>0</v>
      </c>
      <c r="N100" s="670"/>
      <c r="O100" s="14"/>
      <c r="P100" s="15"/>
      <c r="Q100" s="15" t="str">
        <f>IF(ISTEXT('Incurred 2.5% cpi'!Q100),"",'Incurred 2.5% cpi'!Q100/'Incurred 2.5% cpi'!Q$17*Incurred!Q$17)</f>
        <v/>
      </c>
      <c r="R100" s="110">
        <f>IF(ISTEXT('Incurred 2.5% cpi'!R100),"",'Incurred 2.5% cpi'!R100/'Incurred 2.5% cpi'!R$17*Incurred!R$17*BG100)</f>
        <v>138643.38968654245</v>
      </c>
      <c r="S100" s="102">
        <f>IF(ISTEXT('Incurred 2.5% cpi'!S100),"",'Incurred 2.5% cpi'!S100/'Incurred 2.5% cpi'!S$17*Incurred!S$17*BH100)</f>
        <v>609870.57075434446</v>
      </c>
      <c r="T100" s="16">
        <f>IF(ISTEXT('Incurred 2.5% cpi'!T100),"",'Incurred 2.5% cpi'!T100/'Incurred 2.5% cpi'!T$17*Incurred!T$17*BI100)</f>
        <v>621711.00973826437</v>
      </c>
      <c r="U100" s="16" t="str">
        <f>IF(ISTEXT('Incurred 2.5% cpi'!U100),"",'Incurred 2.5% cpi'!U100/'Incurred 2.5% cpi'!U$17*Incurred!U$17*BJ100)</f>
        <v/>
      </c>
      <c r="V100" s="16" t="str">
        <f>IF(ISTEXT('Incurred 2.5% cpi'!V100),"",'Incurred 2.5% cpi'!V100/'Incurred 2.5% cpi'!V$17*Incurred!V$17*BK100)</f>
        <v/>
      </c>
      <c r="W100" s="110" t="str">
        <f>IF(ISTEXT('Incurred 2.5% cpi'!W100),"",'Incurred 2.5% cpi'!W100/'Incurred 2.5% cpi'!W$17*Incurred!W$17*BL100)</f>
        <v/>
      </c>
      <c r="X100" s="102" t="str">
        <f>IF(ISTEXT('Incurred 2.5% cpi'!X100),"",'Incurred 2.5% cpi'!X100/'Incurred 2.5% cpi'!X$17*Incurred!X$17*BM100)</f>
        <v/>
      </c>
      <c r="Y100" s="80">
        <f t="shared" si="156"/>
        <v>1370224.9701791513</v>
      </c>
      <c r="Z100" s="80">
        <f t="shared" si="124"/>
        <v>1370224.9701791513</v>
      </c>
      <c r="AA100" s="566">
        <f t="shared" si="125"/>
        <v>1499560.0252122413</v>
      </c>
      <c r="AB100" s="566">
        <f t="shared" si="126"/>
        <v>1392490.5560508911</v>
      </c>
      <c r="AC100" s="567">
        <f t="shared" si="146"/>
        <v>1.0768906249999999</v>
      </c>
      <c r="AD100" s="568" t="str">
        <f t="shared" si="128"/>
        <v>2020</v>
      </c>
      <c r="AE100" s="569">
        <v>43882</v>
      </c>
      <c r="AF100" s="568">
        <v>2020</v>
      </c>
      <c r="AG100" s="569"/>
      <c r="AH100" s="566">
        <f t="shared" si="162"/>
        <v>1325392.5578116751</v>
      </c>
      <c r="AI100" s="80">
        <f t="shared" si="129"/>
        <v>621711.00973826437</v>
      </c>
      <c r="AJ100" s="571" t="s">
        <v>3035</v>
      </c>
      <c r="AK100" s="875">
        <f t="shared" si="163"/>
        <v>343869.99999999948</v>
      </c>
      <c r="AL100" s="28">
        <f t="shared" ref="AL100:BE100" si="171">IF($AK100=0,VLOOKUP(MID($A100,4,5),ProjectSplits,AL$23,FALSE),IF(ISNA(VLOOKUP($A100,Estimates,AL$22,FALSE)),VLOOKUP(MID($A100,4,5),ProjectSplits,AL$23,FALSE),VLOOKUP($A100,Estimates,AL$22,FALSE)))</f>
        <v>0</v>
      </c>
      <c r="AM100" s="28">
        <f t="shared" si="171"/>
        <v>0</v>
      </c>
      <c r="AN100" s="28">
        <f t="shared" si="171"/>
        <v>0</v>
      </c>
      <c r="AO100" s="28">
        <f t="shared" si="171"/>
        <v>1</v>
      </c>
      <c r="AP100" s="28">
        <f t="shared" si="171"/>
        <v>0</v>
      </c>
      <c r="AQ100" s="28">
        <f t="shared" si="171"/>
        <v>0</v>
      </c>
      <c r="AR100" s="28">
        <f t="shared" si="171"/>
        <v>0</v>
      </c>
      <c r="AS100" s="28">
        <f t="shared" si="171"/>
        <v>0</v>
      </c>
      <c r="AT100" s="28">
        <f t="shared" si="171"/>
        <v>0</v>
      </c>
      <c r="AU100" s="28">
        <f t="shared" si="171"/>
        <v>0</v>
      </c>
      <c r="AV100" s="28">
        <f t="shared" si="171"/>
        <v>0</v>
      </c>
      <c r="AW100" s="28">
        <f t="shared" si="171"/>
        <v>0</v>
      </c>
      <c r="AX100" s="28">
        <f t="shared" si="171"/>
        <v>0</v>
      </c>
      <c r="AY100" s="28">
        <f t="shared" si="171"/>
        <v>0</v>
      </c>
      <c r="AZ100" s="28">
        <f t="shared" si="171"/>
        <v>0</v>
      </c>
      <c r="BA100" s="28">
        <f t="shared" si="171"/>
        <v>0</v>
      </c>
      <c r="BB100" s="28">
        <f t="shared" si="171"/>
        <v>0</v>
      </c>
      <c r="BC100" s="28">
        <f t="shared" si="171"/>
        <v>0</v>
      </c>
      <c r="BD100" s="28">
        <f t="shared" si="171"/>
        <v>0</v>
      </c>
      <c r="BE100" s="28">
        <f t="shared" si="171"/>
        <v>0</v>
      </c>
      <c r="BF100" s="27">
        <f>SUM(AL100:BD100)</f>
        <v>1</v>
      </c>
      <c r="BG100" s="520">
        <f t="shared" si="157"/>
        <v>1.0046190746045656</v>
      </c>
      <c r="BH100" s="520">
        <f t="shared" si="131"/>
        <v>1.0088268933348963</v>
      </c>
      <c r="BI100" s="520">
        <f t="shared" si="132"/>
        <v>1.0133808891912874</v>
      </c>
      <c r="BJ100" s="520">
        <f t="shared" si="133"/>
        <v>1.018641287824382</v>
      </c>
      <c r="BK100" s="520">
        <f t="shared" si="134"/>
        <v>1.0263050529092395</v>
      </c>
      <c r="BL100" s="520">
        <f t="shared" si="135"/>
        <v>1.0349254280901359</v>
      </c>
      <c r="BM100" s="520">
        <f t="shared" si="136"/>
        <v>1.0406965352376705</v>
      </c>
      <c r="BN100" s="521" t="str">
        <f t="shared" si="137"/>
        <v>Category</v>
      </c>
      <c r="BP100" s="3"/>
    </row>
    <row r="101" spans="1:69" hidden="1" x14ac:dyDescent="0.15">
      <c r="A101" s="78" t="s">
        <v>220</v>
      </c>
      <c r="B101" s="78" t="s">
        <v>2373</v>
      </c>
      <c r="C101" s="13" t="s">
        <v>27</v>
      </c>
      <c r="D101" s="13" t="s">
        <v>55</v>
      </c>
      <c r="E101" s="13" t="s">
        <v>29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5">
        <v>0</v>
      </c>
      <c r="N101" s="670"/>
      <c r="O101" s="14">
        <v>25072.28</v>
      </c>
      <c r="P101" s="15">
        <v>355103.46</v>
      </c>
      <c r="Q101" s="15">
        <f>IF(ISTEXT('Incurred 2.5% cpi'!Q101),"",'Incurred 2.5% cpi'!Q101/'Incurred 2.5% cpi'!Q$17*Incurred!Q$17)</f>
        <v>95565.09</v>
      </c>
      <c r="R101" s="110">
        <f>IF(ISTEXT('Incurred 2.5% cpi'!R101),"",'Incurred 2.5% cpi'!R101/'Incurred 2.5% cpi'!R$17*Incurred!R$17*BG101)</f>
        <v>9142.8473203519752</v>
      </c>
      <c r="S101" s="102" t="str">
        <f>IF(ISTEXT('Incurred 2.5% cpi'!S101),"",'Incurred 2.5% cpi'!S101/'Incurred 2.5% cpi'!S$17*Incurred!S$17*BH101)</f>
        <v/>
      </c>
      <c r="T101" s="16" t="str">
        <f>IF(ISTEXT('Incurred 2.5% cpi'!T101),"",'Incurred 2.5% cpi'!T101/'Incurred 2.5% cpi'!T$17*Incurred!T$17*BI101)</f>
        <v/>
      </c>
      <c r="U101" s="16" t="str">
        <f>IF(ISTEXT('Incurred 2.5% cpi'!U101),"",'Incurred 2.5% cpi'!U101/'Incurred 2.5% cpi'!U$17*Incurred!U$17*BJ101)</f>
        <v/>
      </c>
      <c r="V101" s="16" t="str">
        <f>IF(ISTEXT('Incurred 2.5% cpi'!V101),"",'Incurred 2.5% cpi'!V101/'Incurred 2.5% cpi'!V$17*Incurred!V$17*BK101)</f>
        <v/>
      </c>
      <c r="W101" s="110" t="str">
        <f>IF(ISTEXT('Incurred 2.5% cpi'!W101),"",'Incurred 2.5% cpi'!W101/'Incurred 2.5% cpi'!W$17*Incurred!W$17*BL101)</f>
        <v/>
      </c>
      <c r="X101" s="102" t="str">
        <f>IF(ISTEXT('Incurred 2.5% cpi'!X101),"",'Incurred 2.5% cpi'!X101/'Incurred 2.5% cpi'!X$17*Incurred!X$17*BM101)</f>
        <v/>
      </c>
      <c r="Y101" s="80">
        <f t="shared" si="156"/>
        <v>484883.67732035194</v>
      </c>
      <c r="Z101" s="80">
        <f t="shared" ref="Z101:Z135" si="172">-SUMIFS(F101:W101,F101:W101,"&lt;0")+SUMIFS(F101:W101,F101:W101,"&gt;0")</f>
        <v>484883.67732035194</v>
      </c>
      <c r="AA101" s="566">
        <f t="shared" ref="AA101:AA135" si="173">IF(ROUND(Y101,0)=0,0,SUMPRODUCT($F$20:$W$20,F101:W101))</f>
        <v>571818.96330952353</v>
      </c>
      <c r="AB101" s="566">
        <f t="shared" ref="AB101:AB135" si="174">IF(AC101="","",AA101/AC101)</f>
        <v>505404.64245755156</v>
      </c>
      <c r="AC101" s="567">
        <f t="shared" si="146"/>
        <v>1.1314082128906247</v>
      </c>
      <c r="AD101" s="568" t="str">
        <f t="shared" ref="AD101:AD135" si="175">IF(AI101=0,"",INDEX($F$24:$W$24,1,MATCH(AI101,F101:W101,0)))</f>
        <v>2018</v>
      </c>
      <c r="AE101" s="569">
        <v>42754</v>
      </c>
      <c r="AF101" s="568" t="s">
        <v>3152</v>
      </c>
      <c r="AG101" s="569"/>
      <c r="AH101" s="566">
        <f t="shared" si="162"/>
        <v>505404.64245755161</v>
      </c>
      <c r="AI101" s="80">
        <f t="shared" ref="AI101:AI135" si="176">IF(ROUND(Z101,0)=0,0,LOOKUP(2,1/(F101:W101&lt;&gt;""),F101:W101))</f>
        <v>9142.8473203519752</v>
      </c>
      <c r="AJ101" s="571" t="s">
        <v>0</v>
      </c>
      <c r="AK101" s="875">
        <f t="shared" ref="AK101:AK133" si="177">IF(ISNA(VLOOKUP($A101,Estimates,71,FALSE)),0,VLOOKUP($A101,Estimates,71,FALSE))</f>
        <v>0</v>
      </c>
      <c r="AL101" s="28">
        <f t="shared" ref="AL101:AU102" si="178">IF($AK101=0,VLOOKUP(MID($A101,4,5),ProjectSplits,AL$23,FALSE),IF(ISNA(VLOOKUP($A101,Estimates,AL$22,FALSE)),VLOOKUP(MID($A101,4,5),ProjectSplits,AL$23,FALSE),VLOOKUP($A101,Estimates,AL$22,FALSE)))</f>
        <v>0</v>
      </c>
      <c r="AM101" s="28">
        <f t="shared" si="178"/>
        <v>0</v>
      </c>
      <c r="AN101" s="28">
        <f t="shared" si="178"/>
        <v>0</v>
      </c>
      <c r="AO101" s="28">
        <f t="shared" si="178"/>
        <v>1</v>
      </c>
      <c r="AP101" s="28">
        <f t="shared" si="178"/>
        <v>0</v>
      </c>
      <c r="AQ101" s="28">
        <f t="shared" si="178"/>
        <v>0</v>
      </c>
      <c r="AR101" s="28">
        <f t="shared" si="178"/>
        <v>0</v>
      </c>
      <c r="AS101" s="28">
        <f t="shared" si="178"/>
        <v>0</v>
      </c>
      <c r="AT101" s="28">
        <f t="shared" si="178"/>
        <v>0</v>
      </c>
      <c r="AU101" s="28">
        <f t="shared" si="178"/>
        <v>0</v>
      </c>
      <c r="AV101" s="28">
        <f t="shared" ref="AV101:BE102" si="179">IF($AK101=0,VLOOKUP(MID($A101,4,5),ProjectSplits,AV$23,FALSE),IF(ISNA(VLOOKUP($A101,Estimates,AV$22,FALSE)),VLOOKUP(MID($A101,4,5),ProjectSplits,AV$23,FALSE),VLOOKUP($A101,Estimates,AV$22,FALSE)))</f>
        <v>0</v>
      </c>
      <c r="AW101" s="28">
        <f t="shared" si="179"/>
        <v>0</v>
      </c>
      <c r="AX101" s="28">
        <f t="shared" si="179"/>
        <v>0</v>
      </c>
      <c r="AY101" s="28">
        <f t="shared" si="179"/>
        <v>0</v>
      </c>
      <c r="AZ101" s="28">
        <f t="shared" si="179"/>
        <v>0</v>
      </c>
      <c r="BA101" s="28">
        <f t="shared" si="179"/>
        <v>0</v>
      </c>
      <c r="BB101" s="28">
        <f t="shared" si="179"/>
        <v>0</v>
      </c>
      <c r="BC101" s="28">
        <f t="shared" si="179"/>
        <v>0</v>
      </c>
      <c r="BD101" s="28">
        <f t="shared" si="179"/>
        <v>0</v>
      </c>
      <c r="BE101" s="28">
        <f t="shared" si="179"/>
        <v>0</v>
      </c>
      <c r="BF101" s="27">
        <f t="shared" ref="BF101:BF102" si="180">SUM(AL101:BD101)</f>
        <v>1</v>
      </c>
      <c r="BG101" s="520">
        <f t="shared" si="157"/>
        <v>1.0046190746045656</v>
      </c>
      <c r="BH101" s="520">
        <f t="shared" ref="BH101:BH135" si="181">1+IF(ISNA(VLOOKUP($A101,ProjLabEsc,7,FALSE)),VLOOKUP($D101,CatLabEsc,4,FALSE),VLOOKUP($A101,ProjLabEsc,7,FALSE))*LabEsc19*LabIn</f>
        <v>1.0088268933348963</v>
      </c>
      <c r="BI101" s="520">
        <f t="shared" ref="BI101:BI135" si="182">1+IF(ISNA(VLOOKUP($A101,ProjLabEsc,7,FALSE)),VLOOKUP($D101,CatLabEsc,4,FALSE),VLOOKUP($A101,ProjLabEsc,7,FALSE))*LabEsc20*LabIn</f>
        <v>1.0133808891912874</v>
      </c>
      <c r="BJ101" s="520">
        <f t="shared" ref="BJ101:BJ135" si="183">1+IF(ISNA(VLOOKUP($A101,ProjLabEsc,7,FALSE)),VLOOKUP($D101,CatLabEsc,4,FALSE),VLOOKUP($A101,ProjLabEsc,7,FALSE))*LabEsc21*LabIn</f>
        <v>1.018641287824382</v>
      </c>
      <c r="BK101" s="520">
        <f t="shared" ref="BK101:BK135" si="184">1+IF(ISNA(VLOOKUP($A101,ProjLabEsc,7,FALSE)),VLOOKUP($D101,CatLabEsc,4,FALSE),VLOOKUP($A101,ProjLabEsc,7,FALSE))*LabEsc22*LabIn</f>
        <v>1.0263050529092395</v>
      </c>
      <c r="BL101" s="520">
        <f t="shared" ref="BL101:BL135" si="185">1+IF(ISNA(VLOOKUP($A101,ProjLabEsc,7,FALSE)),VLOOKUP($D101,CatLabEsc,4,FALSE),VLOOKUP($A101,ProjLabEsc,7,FALSE))*LabEsc23*LabIn</f>
        <v>1.0349254280901359</v>
      </c>
      <c r="BM101" s="520">
        <f t="shared" ref="BM101:BM135" si="186">1+IF(ISNA(VLOOKUP($A101,ProjLabEsc,7,FALSE)),VLOOKUP($D101,CatLabEsc,4,FALSE),VLOOKUP($A101,ProjLabEsc,7,FALSE))*LabEsc24*LabIn</f>
        <v>1.0406965352376705</v>
      </c>
      <c r="BN101" s="521" t="str">
        <f t="shared" ref="BN101:BN135" si="187">IF(ISNA(VLOOKUP($A101,ProjLabEsc,7,FALSE)),"Category","Project")</f>
        <v>Category</v>
      </c>
      <c r="BP101" s="3">
        <f>SUMPRODUCT(F101:P101,$F$19:$P$19)/$Q$19</f>
        <v>388592.75891434116</v>
      </c>
      <c r="BQ101" s="3"/>
    </row>
    <row r="102" spans="1:69" hidden="1" x14ac:dyDescent="0.15">
      <c r="A102" s="78" t="s">
        <v>221</v>
      </c>
      <c r="B102" s="78" t="s">
        <v>222</v>
      </c>
      <c r="C102" s="13" t="s">
        <v>27</v>
      </c>
      <c r="D102" s="13" t="s">
        <v>55</v>
      </c>
      <c r="E102" s="13" t="s">
        <v>32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5">
        <v>0</v>
      </c>
      <c r="N102" s="670"/>
      <c r="O102" s="14">
        <v>168079.52</v>
      </c>
      <c r="P102" s="15">
        <v>507544.2</v>
      </c>
      <c r="Q102" s="15">
        <f>IF(ISTEXT('Incurred 2.5% cpi'!Q102),"",'Incurred 2.5% cpi'!Q102/'Incurred 2.5% cpi'!Q$17*Incurred!Q$17)</f>
        <v>145338.79999999999</v>
      </c>
      <c r="R102" s="110" t="str">
        <f>IF(ISTEXT('Incurred 2.5% cpi'!R102),"",'Incurred 2.5% cpi'!R102/'Incurred 2.5% cpi'!R$17*Incurred!R$17*BG102)</f>
        <v/>
      </c>
      <c r="S102" s="102" t="str">
        <f>IF(ISTEXT('Incurred 2.5% cpi'!S102),"",'Incurred 2.5% cpi'!S102/'Incurred 2.5% cpi'!S$17*Incurred!S$17*BH102)</f>
        <v/>
      </c>
      <c r="T102" s="16" t="str">
        <f>IF(ISTEXT('Incurred 2.5% cpi'!T102),"",'Incurred 2.5% cpi'!T102/'Incurred 2.5% cpi'!T$17*Incurred!T$17*BI102)</f>
        <v/>
      </c>
      <c r="U102" s="16" t="str">
        <f>IF(ISTEXT('Incurred 2.5% cpi'!U102),"",'Incurred 2.5% cpi'!U102/'Incurred 2.5% cpi'!U$17*Incurred!U$17*BJ102)</f>
        <v/>
      </c>
      <c r="V102" s="16" t="str">
        <f>IF(ISTEXT('Incurred 2.5% cpi'!V102),"",'Incurred 2.5% cpi'!V102/'Incurred 2.5% cpi'!V$17*Incurred!V$17*BK102)</f>
        <v/>
      </c>
      <c r="W102" s="110" t="str">
        <f>IF(ISTEXT('Incurred 2.5% cpi'!W102),"",'Incurred 2.5% cpi'!W102/'Incurred 2.5% cpi'!W$17*Incurred!W$17*BL102)</f>
        <v/>
      </c>
      <c r="X102" s="102" t="str">
        <f>IF(ISTEXT('Incurred 2.5% cpi'!X102),"",'Incurred 2.5% cpi'!X102/'Incurred 2.5% cpi'!X$17*Incurred!X$17*BM102)</f>
        <v/>
      </c>
      <c r="Y102" s="80">
        <f t="shared" si="156"/>
        <v>820962.52</v>
      </c>
      <c r="Z102" s="80">
        <f t="shared" si="172"/>
        <v>820962.52</v>
      </c>
      <c r="AA102" s="566">
        <f t="shared" si="173"/>
        <v>971329.44005311246</v>
      </c>
      <c r="AB102" s="566">
        <f t="shared" si="174"/>
        <v>837574.33197297074</v>
      </c>
      <c r="AC102" s="567">
        <f t="shared" si="146"/>
        <v>1.1596934182128902</v>
      </c>
      <c r="AD102" s="568" t="str">
        <f t="shared" si="175"/>
        <v>2017</v>
      </c>
      <c r="AE102" s="569">
        <v>42251</v>
      </c>
      <c r="AF102" s="568" t="s">
        <v>3152</v>
      </c>
      <c r="AG102" s="569"/>
      <c r="AH102" s="566">
        <f t="shared" si="162"/>
        <v>858513.69027229492</v>
      </c>
      <c r="AI102" s="80">
        <f t="shared" si="176"/>
        <v>145338.79999999999</v>
      </c>
      <c r="AJ102" s="571" t="s">
        <v>0</v>
      </c>
      <c r="AK102" s="875">
        <f t="shared" si="177"/>
        <v>0</v>
      </c>
      <c r="AL102" s="28">
        <f t="shared" si="178"/>
        <v>0</v>
      </c>
      <c r="AM102" s="28">
        <f t="shared" si="178"/>
        <v>0</v>
      </c>
      <c r="AN102" s="28">
        <f t="shared" si="178"/>
        <v>0</v>
      </c>
      <c r="AO102" s="28">
        <f t="shared" si="178"/>
        <v>1</v>
      </c>
      <c r="AP102" s="28">
        <f t="shared" si="178"/>
        <v>0</v>
      </c>
      <c r="AQ102" s="28">
        <f t="shared" si="178"/>
        <v>0</v>
      </c>
      <c r="AR102" s="28">
        <f t="shared" si="178"/>
        <v>0</v>
      </c>
      <c r="AS102" s="28">
        <f t="shared" si="178"/>
        <v>0</v>
      </c>
      <c r="AT102" s="28">
        <f t="shared" si="178"/>
        <v>0</v>
      </c>
      <c r="AU102" s="28">
        <f t="shared" si="178"/>
        <v>0</v>
      </c>
      <c r="AV102" s="28">
        <f t="shared" si="179"/>
        <v>0</v>
      </c>
      <c r="AW102" s="28">
        <f t="shared" si="179"/>
        <v>0</v>
      </c>
      <c r="AX102" s="28">
        <f t="shared" si="179"/>
        <v>0</v>
      </c>
      <c r="AY102" s="28">
        <f t="shared" si="179"/>
        <v>0</v>
      </c>
      <c r="AZ102" s="28">
        <f t="shared" si="179"/>
        <v>0</v>
      </c>
      <c r="BA102" s="28">
        <f t="shared" si="179"/>
        <v>0</v>
      </c>
      <c r="BB102" s="28">
        <f t="shared" si="179"/>
        <v>0</v>
      </c>
      <c r="BC102" s="28">
        <f t="shared" si="179"/>
        <v>0</v>
      </c>
      <c r="BD102" s="28">
        <f t="shared" si="179"/>
        <v>0</v>
      </c>
      <c r="BE102" s="28">
        <f t="shared" si="179"/>
        <v>0</v>
      </c>
      <c r="BF102" s="27">
        <f t="shared" si="180"/>
        <v>1</v>
      </c>
      <c r="BG102" s="520">
        <f t="shared" si="157"/>
        <v>1.0046190746045656</v>
      </c>
      <c r="BH102" s="520">
        <f t="shared" si="181"/>
        <v>1.0088268933348963</v>
      </c>
      <c r="BI102" s="520">
        <f t="shared" si="182"/>
        <v>1.0133808891912874</v>
      </c>
      <c r="BJ102" s="520">
        <f t="shared" si="183"/>
        <v>1.018641287824382</v>
      </c>
      <c r="BK102" s="520">
        <f t="shared" si="184"/>
        <v>1.0263050529092395</v>
      </c>
      <c r="BL102" s="520">
        <f t="shared" si="185"/>
        <v>1.0349254280901359</v>
      </c>
      <c r="BM102" s="520">
        <f t="shared" si="186"/>
        <v>1.0406965352376705</v>
      </c>
      <c r="BN102" s="521" t="str">
        <f t="shared" si="187"/>
        <v>Category</v>
      </c>
      <c r="BP102" s="3"/>
    </row>
    <row r="103" spans="1:69" hidden="1" x14ac:dyDescent="0.15">
      <c r="A103" s="78" t="s">
        <v>223</v>
      </c>
      <c r="B103" s="78" t="s">
        <v>224</v>
      </c>
      <c r="C103" s="13" t="s">
        <v>27</v>
      </c>
      <c r="D103" s="13" t="s">
        <v>40</v>
      </c>
      <c r="E103" s="13" t="s">
        <v>29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5">
        <v>0</v>
      </c>
      <c r="N103" s="670"/>
      <c r="O103" s="14"/>
      <c r="P103" s="15">
        <v>28007.03</v>
      </c>
      <c r="Q103" s="15">
        <f>IF(ISTEXT('Incurred 2.5% cpi'!Q103),"",'Incurred 2.5% cpi'!Q103/'Incurred 2.5% cpi'!Q$17*Incurred!Q$17)</f>
        <v>695453.93</v>
      </c>
      <c r="R103" s="110">
        <f>IF(ISTEXT('Incurred 2.5% cpi'!R103),"",'Incurred 2.5% cpi'!R103/'Incurred 2.5% cpi'!R$17*Incurred!R$17*BG103)</f>
        <v>2160591.8891126355</v>
      </c>
      <c r="S103" s="102">
        <f>IF(ISTEXT('Incurred 2.5% cpi'!S103),"",'Incurred 2.5% cpi'!S103/'Incurred 2.5% cpi'!S$17*Incurred!S$17*BH103)</f>
        <v>918055.63259453967</v>
      </c>
      <c r="T103" s="16" t="str">
        <f>IF(ISTEXT('Incurred 2.5% cpi'!T103),"",'Incurred 2.5% cpi'!T103/'Incurred 2.5% cpi'!T$17*Incurred!T$17*BI103)</f>
        <v/>
      </c>
      <c r="U103" s="16" t="str">
        <f>IF(ISTEXT('Incurred 2.5% cpi'!U103),"",'Incurred 2.5% cpi'!U103/'Incurred 2.5% cpi'!U$17*Incurred!U$17*BJ103)</f>
        <v/>
      </c>
      <c r="V103" s="16" t="str">
        <f>IF(ISTEXT('Incurred 2.5% cpi'!V103),"",'Incurred 2.5% cpi'!V103/'Incurred 2.5% cpi'!V$17*Incurred!V$17*BK103)</f>
        <v/>
      </c>
      <c r="W103" s="110" t="str">
        <f>IF(ISTEXT('Incurred 2.5% cpi'!W103),"",'Incurred 2.5% cpi'!W103/'Incurred 2.5% cpi'!W$17*Incurred!W$17*BL103)</f>
        <v/>
      </c>
      <c r="X103" s="102" t="str">
        <f>IF(ISTEXT('Incurred 2.5% cpi'!X103),"",'Incurred 2.5% cpi'!X103/'Incurred 2.5% cpi'!X$17*Incurred!X$17*BM103)</f>
        <v/>
      </c>
      <c r="Y103" s="80">
        <f t="shared" si="156"/>
        <v>3802108.4817071753</v>
      </c>
      <c r="Z103" s="80">
        <f t="shared" si="172"/>
        <v>3802108.4817071753</v>
      </c>
      <c r="AA103" s="566">
        <f t="shared" si="173"/>
        <v>4297556.3792248033</v>
      </c>
      <c r="AB103" s="566">
        <f t="shared" si="174"/>
        <v>3893373.972822011</v>
      </c>
      <c r="AC103" s="567">
        <f t="shared" si="146"/>
        <v>1.1038128906249998</v>
      </c>
      <c r="AD103" s="568" t="str">
        <f t="shared" si="175"/>
        <v>2019</v>
      </c>
      <c r="AE103" s="569">
        <v>43266</v>
      </c>
      <c r="AF103" s="568">
        <v>2019</v>
      </c>
      <c r="AG103" s="569"/>
      <c r="AH103" s="566">
        <f t="shared" si="162"/>
        <v>3798413.6320214747</v>
      </c>
      <c r="AI103" s="80">
        <f t="shared" si="176"/>
        <v>918055.63259453967</v>
      </c>
      <c r="AJ103" s="571" t="s">
        <v>3035</v>
      </c>
      <c r="AK103" s="875">
        <f t="shared" si="177"/>
        <v>0</v>
      </c>
      <c r="AL103" s="28">
        <f t="shared" ref="AL103:AU107" si="188">IF($AK103=0,VLOOKUP(MID($A103,4,5),ProjectSplits,AL$23,FALSE),IF(ISNA(VLOOKUP($A103,Estimates,AL$22,FALSE)),VLOOKUP(MID($A103,4,5),ProjectSplits,AL$23,FALSE),VLOOKUP($A103,Estimates,AL$22,FALSE)))</f>
        <v>0</v>
      </c>
      <c r="AM103" s="28">
        <f t="shared" si="188"/>
        <v>0</v>
      </c>
      <c r="AN103" s="28">
        <f t="shared" si="188"/>
        <v>1</v>
      </c>
      <c r="AO103" s="28">
        <f t="shared" si="188"/>
        <v>0</v>
      </c>
      <c r="AP103" s="28">
        <f t="shared" si="188"/>
        <v>0</v>
      </c>
      <c r="AQ103" s="28">
        <f t="shared" si="188"/>
        <v>0</v>
      </c>
      <c r="AR103" s="28">
        <f t="shared" si="188"/>
        <v>0</v>
      </c>
      <c r="AS103" s="28">
        <f t="shared" si="188"/>
        <v>0</v>
      </c>
      <c r="AT103" s="28">
        <f t="shared" si="188"/>
        <v>0</v>
      </c>
      <c r="AU103" s="28">
        <f t="shared" si="188"/>
        <v>0</v>
      </c>
      <c r="AV103" s="28">
        <f t="shared" ref="AV103:BE107" si="189">IF($AK103=0,VLOOKUP(MID($A103,4,5),ProjectSplits,AV$23,FALSE),IF(ISNA(VLOOKUP($A103,Estimates,AV$22,FALSE)),VLOOKUP(MID($A103,4,5),ProjectSplits,AV$23,FALSE),VLOOKUP($A103,Estimates,AV$22,FALSE)))</f>
        <v>0</v>
      </c>
      <c r="AW103" s="28">
        <f t="shared" si="189"/>
        <v>0</v>
      </c>
      <c r="AX103" s="28">
        <f t="shared" si="189"/>
        <v>0</v>
      </c>
      <c r="AY103" s="28">
        <f t="shared" si="189"/>
        <v>0</v>
      </c>
      <c r="AZ103" s="28">
        <f t="shared" si="189"/>
        <v>0</v>
      </c>
      <c r="BA103" s="28">
        <f t="shared" si="189"/>
        <v>0</v>
      </c>
      <c r="BB103" s="28">
        <f t="shared" si="189"/>
        <v>0</v>
      </c>
      <c r="BC103" s="28">
        <f t="shared" si="189"/>
        <v>0</v>
      </c>
      <c r="BD103" s="28">
        <f t="shared" si="189"/>
        <v>0</v>
      </c>
      <c r="BE103" s="28">
        <f t="shared" si="189"/>
        <v>0</v>
      </c>
      <c r="BF103" s="27">
        <f t="shared" ref="BF103:BF107" si="190">SUM(AL103:BD103)</f>
        <v>1</v>
      </c>
      <c r="BG103" s="520">
        <f t="shared" si="157"/>
        <v>1.0034498951996242</v>
      </c>
      <c r="BH103" s="520">
        <f t="shared" si="181"/>
        <v>1.0065926315443261</v>
      </c>
      <c r="BI103" s="520">
        <f t="shared" si="182"/>
        <v>1.0099939207178206</v>
      </c>
      <c r="BJ103" s="520">
        <f t="shared" si="183"/>
        <v>1.0139228081132494</v>
      </c>
      <c r="BK103" s="520">
        <f t="shared" si="184"/>
        <v>1.0196467222390713</v>
      </c>
      <c r="BL103" s="520">
        <f t="shared" si="185"/>
        <v>1.0260851094706045</v>
      </c>
      <c r="BM103" s="520">
        <f t="shared" si="186"/>
        <v>1.0303954349252136</v>
      </c>
      <c r="BN103" s="521" t="str">
        <f t="shared" si="187"/>
        <v>Category</v>
      </c>
      <c r="BP103" s="3"/>
    </row>
    <row r="104" spans="1:69" hidden="1" x14ac:dyDescent="0.15">
      <c r="A104" s="78" t="s">
        <v>225</v>
      </c>
      <c r="B104" s="78" t="s">
        <v>226</v>
      </c>
      <c r="C104" s="13" t="s">
        <v>27</v>
      </c>
      <c r="D104" s="13" t="s">
        <v>55</v>
      </c>
      <c r="E104" s="13" t="s">
        <v>32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5">
        <v>0</v>
      </c>
      <c r="N104" s="670"/>
      <c r="O104" s="14">
        <v>5520.76</v>
      </c>
      <c r="P104" s="15">
        <v>41285.660000000003</v>
      </c>
      <c r="Q104" s="15" t="str">
        <f>IF(ISTEXT('Incurred 2.5% cpi'!Q104),"",'Incurred 2.5% cpi'!Q104/'Incurred 2.5% cpi'!Q$17*Incurred!Q$17)</f>
        <v/>
      </c>
      <c r="R104" s="110" t="str">
        <f>IF(ISTEXT('Incurred 2.5% cpi'!R104),"",'Incurred 2.5% cpi'!R104/'Incurred 2.5% cpi'!R$17*Incurred!R$17*BG104)</f>
        <v/>
      </c>
      <c r="S104" s="102" t="str">
        <f>IF(ISTEXT('Incurred 2.5% cpi'!S104),"",'Incurred 2.5% cpi'!S104/'Incurred 2.5% cpi'!S$17*Incurred!S$17*BH104)</f>
        <v/>
      </c>
      <c r="T104" s="16" t="str">
        <f>IF(ISTEXT('Incurred 2.5% cpi'!T104),"",'Incurred 2.5% cpi'!T104/'Incurred 2.5% cpi'!T$17*Incurred!T$17*BI104)</f>
        <v/>
      </c>
      <c r="U104" s="16" t="str">
        <f>IF(ISTEXT('Incurred 2.5% cpi'!U104),"",'Incurred 2.5% cpi'!U104/'Incurred 2.5% cpi'!U$17*Incurred!U$17*BJ104)</f>
        <v/>
      </c>
      <c r="V104" s="16" t="str">
        <f>IF(ISTEXT('Incurred 2.5% cpi'!V104),"",'Incurred 2.5% cpi'!V104/'Incurred 2.5% cpi'!V$17*Incurred!V$17*BK104)</f>
        <v/>
      </c>
      <c r="W104" s="110" t="str">
        <f>IF(ISTEXT('Incurred 2.5% cpi'!W104),"",'Incurred 2.5% cpi'!W104/'Incurred 2.5% cpi'!W$17*Incurred!W$17*BL104)</f>
        <v/>
      </c>
      <c r="X104" s="102" t="str">
        <f>IF(ISTEXT('Incurred 2.5% cpi'!X104),"",'Incurred 2.5% cpi'!X104/'Incurred 2.5% cpi'!X$17*Incurred!X$17*BM104)</f>
        <v/>
      </c>
      <c r="Y104" s="80">
        <f t="shared" si="156"/>
        <v>46806.420000000006</v>
      </c>
      <c r="Z104" s="80">
        <f t="shared" si="172"/>
        <v>46806.420000000006</v>
      </c>
      <c r="AA104" s="566">
        <f t="shared" si="173"/>
        <v>55520.657241787419</v>
      </c>
      <c r="AB104" s="566">
        <f t="shared" si="174"/>
        <v>46878.789513108619</v>
      </c>
      <c r="AC104" s="567">
        <f t="shared" si="146"/>
        <v>1.1843449418902401</v>
      </c>
      <c r="AD104" s="568" t="str">
        <f t="shared" si="175"/>
        <v>2016</v>
      </c>
      <c r="AE104" s="569">
        <v>42251</v>
      </c>
      <c r="AF104" s="568">
        <v>2016</v>
      </c>
      <c r="AG104" s="569"/>
      <c r="AH104" s="566">
        <f t="shared" si="162"/>
        <v>49072.170954052206</v>
      </c>
      <c r="AI104" s="80">
        <f t="shared" si="176"/>
        <v>41285.660000000003</v>
      </c>
      <c r="AJ104" s="571" t="s">
        <v>0</v>
      </c>
      <c r="AK104" s="875">
        <f t="shared" si="177"/>
        <v>0</v>
      </c>
      <c r="AL104" s="28">
        <f t="shared" si="188"/>
        <v>0</v>
      </c>
      <c r="AM104" s="28">
        <f t="shared" si="188"/>
        <v>0</v>
      </c>
      <c r="AN104" s="28">
        <f t="shared" si="188"/>
        <v>0</v>
      </c>
      <c r="AO104" s="28">
        <f t="shared" si="188"/>
        <v>1</v>
      </c>
      <c r="AP104" s="28">
        <f t="shared" si="188"/>
        <v>0</v>
      </c>
      <c r="AQ104" s="28">
        <f t="shared" si="188"/>
        <v>0</v>
      </c>
      <c r="AR104" s="28">
        <f t="shared" si="188"/>
        <v>0</v>
      </c>
      <c r="AS104" s="28">
        <f t="shared" si="188"/>
        <v>0</v>
      </c>
      <c r="AT104" s="28">
        <f t="shared" si="188"/>
        <v>0</v>
      </c>
      <c r="AU104" s="28">
        <f t="shared" si="188"/>
        <v>0</v>
      </c>
      <c r="AV104" s="28">
        <f t="shared" si="189"/>
        <v>0</v>
      </c>
      <c r="AW104" s="28">
        <f t="shared" si="189"/>
        <v>0</v>
      </c>
      <c r="AX104" s="28">
        <f t="shared" si="189"/>
        <v>0</v>
      </c>
      <c r="AY104" s="28">
        <f t="shared" si="189"/>
        <v>0</v>
      </c>
      <c r="AZ104" s="28">
        <f t="shared" si="189"/>
        <v>0</v>
      </c>
      <c r="BA104" s="28">
        <f t="shared" si="189"/>
        <v>0</v>
      </c>
      <c r="BB104" s="28">
        <f t="shared" si="189"/>
        <v>0</v>
      </c>
      <c r="BC104" s="28">
        <f t="shared" si="189"/>
        <v>0</v>
      </c>
      <c r="BD104" s="28">
        <f t="shared" si="189"/>
        <v>0</v>
      </c>
      <c r="BE104" s="28">
        <f t="shared" si="189"/>
        <v>0</v>
      </c>
      <c r="BF104" s="27">
        <f t="shared" si="190"/>
        <v>1</v>
      </c>
      <c r="BG104" s="520">
        <f t="shared" si="157"/>
        <v>1.0046190746045656</v>
      </c>
      <c r="BH104" s="520">
        <f t="shared" si="181"/>
        <v>1.0088268933348963</v>
      </c>
      <c r="BI104" s="520">
        <f t="shared" si="182"/>
        <v>1.0133808891912874</v>
      </c>
      <c r="BJ104" s="520">
        <f t="shared" si="183"/>
        <v>1.018641287824382</v>
      </c>
      <c r="BK104" s="520">
        <f t="shared" si="184"/>
        <v>1.0263050529092395</v>
      </c>
      <c r="BL104" s="520">
        <f t="shared" si="185"/>
        <v>1.0349254280901359</v>
      </c>
      <c r="BM104" s="520">
        <f t="shared" si="186"/>
        <v>1.0406965352376705</v>
      </c>
      <c r="BN104" s="521" t="str">
        <f t="shared" si="187"/>
        <v>Category</v>
      </c>
      <c r="BP104" s="3"/>
    </row>
    <row r="105" spans="1:69" hidden="1" x14ac:dyDescent="0.15">
      <c r="A105" s="78" t="s">
        <v>227</v>
      </c>
      <c r="B105" s="78" t="s">
        <v>228</v>
      </c>
      <c r="C105" s="13" t="s">
        <v>27</v>
      </c>
      <c r="D105" s="13" t="s">
        <v>36</v>
      </c>
      <c r="E105" s="13" t="s">
        <v>32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5">
        <v>0</v>
      </c>
      <c r="N105" s="670"/>
      <c r="O105" s="14">
        <v>180219.19</v>
      </c>
      <c r="P105" s="15">
        <v>-15569.69</v>
      </c>
      <c r="Q105" s="15" t="str">
        <f>IF(ISTEXT('Incurred 2.5% cpi'!Q105),"",'Incurred 2.5% cpi'!Q105/'Incurred 2.5% cpi'!Q$17*Incurred!Q$17)</f>
        <v/>
      </c>
      <c r="R105" s="110" t="str">
        <f>IF(ISTEXT('Incurred 2.5% cpi'!R105),"",'Incurred 2.5% cpi'!R105/'Incurred 2.5% cpi'!R$17*Incurred!R$17*BG105)</f>
        <v/>
      </c>
      <c r="S105" s="102" t="str">
        <f>IF(ISTEXT('Incurred 2.5% cpi'!S105),"",'Incurred 2.5% cpi'!S105/'Incurred 2.5% cpi'!S$17*Incurred!S$17*BH105)</f>
        <v/>
      </c>
      <c r="T105" s="16" t="str">
        <f>IF(ISTEXT('Incurred 2.5% cpi'!T105),"",'Incurred 2.5% cpi'!T105/'Incurred 2.5% cpi'!T$17*Incurred!T$17*BI105)</f>
        <v/>
      </c>
      <c r="U105" s="16" t="str">
        <f>IF(ISTEXT('Incurred 2.5% cpi'!U105),"",'Incurred 2.5% cpi'!U105/'Incurred 2.5% cpi'!U$17*Incurred!U$17*BJ105)</f>
        <v/>
      </c>
      <c r="V105" s="16" t="str">
        <f>IF(ISTEXT('Incurred 2.5% cpi'!V105),"",'Incurred 2.5% cpi'!V105/'Incurred 2.5% cpi'!V$17*Incurred!V$17*BK105)</f>
        <v/>
      </c>
      <c r="W105" s="110" t="str">
        <f>IF(ISTEXT('Incurred 2.5% cpi'!W105),"",'Incurred 2.5% cpi'!W105/'Incurred 2.5% cpi'!W$17*Incurred!W$17*BL105)</f>
        <v/>
      </c>
      <c r="X105" s="102" t="str">
        <f>IF(ISTEXT('Incurred 2.5% cpi'!X105),"",'Incurred 2.5% cpi'!X105/'Incurred 2.5% cpi'!X$17*Incurred!X$17*BM105)</f>
        <v/>
      </c>
      <c r="Y105" s="80">
        <f t="shared" si="156"/>
        <v>164649.5</v>
      </c>
      <c r="Z105" s="80">
        <f t="shared" si="172"/>
        <v>195788.88</v>
      </c>
      <c r="AA105" s="566">
        <f t="shared" si="173"/>
        <v>197799.72723402004</v>
      </c>
      <c r="AB105" s="566">
        <f t="shared" si="174"/>
        <v>167011.92383895136</v>
      </c>
      <c r="AC105" s="567">
        <f t="shared" si="146"/>
        <v>1.1843449418902401</v>
      </c>
      <c r="AD105" s="568" t="str">
        <f t="shared" si="175"/>
        <v>2016</v>
      </c>
      <c r="AE105" s="569">
        <v>42495</v>
      </c>
      <c r="AF105" s="568">
        <v>2016</v>
      </c>
      <c r="AG105" s="569"/>
      <c r="AH105" s="566">
        <f t="shared" si="162"/>
        <v>174826.13700378159</v>
      </c>
      <c r="AI105" s="80">
        <f t="shared" si="176"/>
        <v>-15569.69</v>
      </c>
      <c r="AJ105" s="571" t="s">
        <v>0</v>
      </c>
      <c r="AK105" s="875">
        <f>IF(ISNA(VLOOKUP(LEFT($A105,8),Estimates,72,FALSE)),0,VLOOKUP(LEFT($A105,8),Estimates,72,FALSE))</f>
        <v>195999.99999999994</v>
      </c>
      <c r="AL105" s="28">
        <f t="shared" si="188"/>
        <v>0.39999999999999997</v>
      </c>
      <c r="AM105" s="28">
        <f t="shared" si="188"/>
        <v>0</v>
      </c>
      <c r="AN105" s="28">
        <f t="shared" si="188"/>
        <v>0</v>
      </c>
      <c r="AO105" s="28">
        <f t="shared" si="188"/>
        <v>0</v>
      </c>
      <c r="AP105" s="28">
        <f t="shared" si="188"/>
        <v>0</v>
      </c>
      <c r="AQ105" s="28">
        <f t="shared" si="188"/>
        <v>0</v>
      </c>
      <c r="AR105" s="28">
        <f t="shared" si="188"/>
        <v>0</v>
      </c>
      <c r="AS105" s="28">
        <f t="shared" si="188"/>
        <v>0.6</v>
      </c>
      <c r="AT105" s="28">
        <f t="shared" si="188"/>
        <v>0</v>
      </c>
      <c r="AU105" s="28">
        <f t="shared" si="188"/>
        <v>0</v>
      </c>
      <c r="AV105" s="28">
        <f t="shared" si="189"/>
        <v>0</v>
      </c>
      <c r="AW105" s="28">
        <f t="shared" si="189"/>
        <v>0</v>
      </c>
      <c r="AX105" s="28">
        <f t="shared" si="189"/>
        <v>0</v>
      </c>
      <c r="AY105" s="28">
        <f t="shared" si="189"/>
        <v>0</v>
      </c>
      <c r="AZ105" s="28">
        <f t="shared" si="189"/>
        <v>0</v>
      </c>
      <c r="BA105" s="28">
        <f t="shared" si="189"/>
        <v>0</v>
      </c>
      <c r="BB105" s="28">
        <f t="shared" si="189"/>
        <v>0</v>
      </c>
      <c r="BC105" s="28">
        <f t="shared" si="189"/>
        <v>0</v>
      </c>
      <c r="BD105" s="28">
        <f t="shared" si="189"/>
        <v>0</v>
      </c>
      <c r="BE105" s="28">
        <f t="shared" si="189"/>
        <v>0</v>
      </c>
      <c r="BF105" s="27">
        <f t="shared" si="190"/>
        <v>1</v>
      </c>
      <c r="BG105" s="520">
        <f t="shared" si="157"/>
        <v>1.0018756098697492</v>
      </c>
      <c r="BH105" s="520">
        <f t="shared" si="181"/>
        <v>1.0035842262088148</v>
      </c>
      <c r="BI105" s="520">
        <f t="shared" si="182"/>
        <v>1.0054334103650095</v>
      </c>
      <c r="BJ105" s="520">
        <f t="shared" si="183"/>
        <v>1.007569434664183</v>
      </c>
      <c r="BK105" s="520">
        <f t="shared" si="184"/>
        <v>1.0106813639277612</v>
      </c>
      <c r="BL105" s="520">
        <f t="shared" si="185"/>
        <v>1.0141817318919957</v>
      </c>
      <c r="BM105" s="520">
        <f t="shared" si="186"/>
        <v>1.0165251332119476</v>
      </c>
      <c r="BN105" s="521" t="str">
        <f t="shared" si="187"/>
        <v>Category</v>
      </c>
      <c r="BP105" s="3"/>
    </row>
    <row r="106" spans="1:69" hidden="1" x14ac:dyDescent="0.15">
      <c r="A106" s="12" t="s">
        <v>229</v>
      </c>
      <c r="B106" s="78" t="s">
        <v>230</v>
      </c>
      <c r="C106" s="13" t="s">
        <v>27</v>
      </c>
      <c r="D106" s="13" t="s">
        <v>60</v>
      </c>
      <c r="E106" s="13" t="s">
        <v>32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5">
        <v>0</v>
      </c>
      <c r="N106" s="670"/>
      <c r="O106" s="14">
        <v>1991085.2</v>
      </c>
      <c r="P106" s="15"/>
      <c r="Q106" s="15">
        <f>IF(ISTEXT('Incurred 2.5% cpi'!Q106),"",'Incurred 2.5% cpi'!Q106/'Incurred 2.5% cpi'!Q$17*Incurred!Q$17)</f>
        <v>-16.18</v>
      </c>
      <c r="R106" s="110" t="str">
        <f>IF(ISTEXT('Incurred 2.5% cpi'!R106),"",'Incurred 2.5% cpi'!R106/'Incurred 2.5% cpi'!R$17*Incurred!R$17*BG106)</f>
        <v/>
      </c>
      <c r="S106" s="102" t="str">
        <f>IF(ISTEXT('Incurred 2.5% cpi'!S106),"",'Incurred 2.5% cpi'!S106/'Incurred 2.5% cpi'!S$17*Incurred!S$17*BH106)</f>
        <v/>
      </c>
      <c r="T106" s="16" t="str">
        <f>IF(ISTEXT('Incurred 2.5% cpi'!T106),"",'Incurred 2.5% cpi'!T106/'Incurred 2.5% cpi'!T$17*Incurred!T$17*BI106)</f>
        <v/>
      </c>
      <c r="U106" s="16" t="str">
        <f>IF(ISTEXT('Incurred 2.5% cpi'!U106),"",'Incurred 2.5% cpi'!U106/'Incurred 2.5% cpi'!U$17*Incurred!U$17*BJ106)</f>
        <v/>
      </c>
      <c r="V106" s="16" t="str">
        <f>IF(ISTEXT('Incurred 2.5% cpi'!V106),"",'Incurred 2.5% cpi'!V106/'Incurred 2.5% cpi'!V$17*Incurred!V$17*BK106)</f>
        <v/>
      </c>
      <c r="W106" s="110" t="str">
        <f>IF(ISTEXT('Incurred 2.5% cpi'!W106),"",'Incurred 2.5% cpi'!W106/'Incurred 2.5% cpi'!W$17*Incurred!W$17*BL106)</f>
        <v/>
      </c>
      <c r="X106" s="102" t="str">
        <f>IF(ISTEXT('Incurred 2.5% cpi'!X106),"",'Incurred 2.5% cpi'!X106/'Incurred 2.5% cpi'!X$17*Incurred!X$17*BM106)</f>
        <v/>
      </c>
      <c r="Y106" s="80">
        <f t="shared" si="156"/>
        <v>1991069.02</v>
      </c>
      <c r="Z106" s="80">
        <f t="shared" si="172"/>
        <v>1991101.38</v>
      </c>
      <c r="AA106" s="566">
        <f t="shared" si="173"/>
        <v>2389024.760226883</v>
      </c>
      <c r="AB106" s="566">
        <f t="shared" si="174"/>
        <v>2060048.5634456873</v>
      </c>
      <c r="AC106" s="567">
        <f t="shared" si="146"/>
        <v>1.1596934182128902</v>
      </c>
      <c r="AD106" s="568" t="str">
        <f t="shared" si="175"/>
        <v>2017</v>
      </c>
      <c r="AE106" s="569">
        <v>41821</v>
      </c>
      <c r="AF106" s="568" t="s">
        <v>3152</v>
      </c>
      <c r="AG106" s="569"/>
      <c r="AH106" s="566">
        <f t="shared" si="162"/>
        <v>2111549.7775318292</v>
      </c>
      <c r="AI106" s="80">
        <f t="shared" si="176"/>
        <v>-16.18</v>
      </c>
      <c r="AJ106" s="571" t="s">
        <v>0</v>
      </c>
      <c r="AK106" s="875">
        <f>IF(ISNA(VLOOKUP(LEFT($A106,8),Estimates,72,FALSE)),0,VLOOKUP(LEFT($A106,8),Estimates,72,FALSE))</f>
        <v>2000000.0000000005</v>
      </c>
      <c r="AL106" s="28">
        <f t="shared" si="188"/>
        <v>0</v>
      </c>
      <c r="AM106" s="28">
        <f t="shared" si="188"/>
        <v>0</v>
      </c>
      <c r="AN106" s="28">
        <f t="shared" si="188"/>
        <v>0</v>
      </c>
      <c r="AO106" s="28">
        <f t="shared" si="188"/>
        <v>0</v>
      </c>
      <c r="AP106" s="28">
        <f t="shared" si="188"/>
        <v>0</v>
      </c>
      <c r="AQ106" s="28">
        <f t="shared" si="188"/>
        <v>0</v>
      </c>
      <c r="AR106" s="28">
        <f t="shared" si="188"/>
        <v>0</v>
      </c>
      <c r="AS106" s="28">
        <f t="shared" si="188"/>
        <v>0</v>
      </c>
      <c r="AT106" s="28">
        <f t="shared" si="188"/>
        <v>0</v>
      </c>
      <c r="AU106" s="28">
        <f t="shared" si="188"/>
        <v>1</v>
      </c>
      <c r="AV106" s="28">
        <f t="shared" si="189"/>
        <v>0</v>
      </c>
      <c r="AW106" s="28">
        <f t="shared" si="189"/>
        <v>0</v>
      </c>
      <c r="AX106" s="28">
        <f t="shared" si="189"/>
        <v>0</v>
      </c>
      <c r="AY106" s="28">
        <f t="shared" si="189"/>
        <v>0</v>
      </c>
      <c r="AZ106" s="28">
        <f t="shared" si="189"/>
        <v>0</v>
      </c>
      <c r="BA106" s="28">
        <f t="shared" si="189"/>
        <v>0</v>
      </c>
      <c r="BB106" s="28">
        <f t="shared" si="189"/>
        <v>0</v>
      </c>
      <c r="BC106" s="28">
        <f t="shared" si="189"/>
        <v>0</v>
      </c>
      <c r="BD106" s="28">
        <f t="shared" si="189"/>
        <v>0</v>
      </c>
      <c r="BE106" s="28">
        <f t="shared" si="189"/>
        <v>0</v>
      </c>
      <c r="BF106" s="27">
        <f t="shared" si="190"/>
        <v>1</v>
      </c>
      <c r="BG106" s="520">
        <f t="shared" si="157"/>
        <v>1.0002847743844534</v>
      </c>
      <c r="BH106" s="520">
        <f t="shared" si="181"/>
        <v>1.0005441940932489</v>
      </c>
      <c r="BI106" s="520">
        <f t="shared" si="182"/>
        <v>1.0008249562540341</v>
      </c>
      <c r="BJ106" s="520">
        <f t="shared" si="183"/>
        <v>1.0011492694359945</v>
      </c>
      <c r="BK106" s="520">
        <f t="shared" si="184"/>
        <v>1.0016217545485921</v>
      </c>
      <c r="BL106" s="520">
        <f t="shared" si="185"/>
        <v>1.0021532164205156</v>
      </c>
      <c r="BM106" s="520">
        <f t="shared" si="186"/>
        <v>1.0025090157150169</v>
      </c>
      <c r="BN106" s="521" t="str">
        <f t="shared" si="187"/>
        <v>Category</v>
      </c>
      <c r="BP106" s="3"/>
    </row>
    <row r="107" spans="1:69" hidden="1" x14ac:dyDescent="0.15">
      <c r="A107" s="78" t="s">
        <v>231</v>
      </c>
      <c r="B107" s="78" t="s">
        <v>232</v>
      </c>
      <c r="C107" s="13" t="s">
        <v>27</v>
      </c>
      <c r="D107" s="13" t="s">
        <v>54</v>
      </c>
      <c r="E107" s="13" t="s">
        <v>29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5">
        <v>0</v>
      </c>
      <c r="N107" s="670">
        <v>73819.259999999995</v>
      </c>
      <c r="O107" s="14">
        <v>1176181.29</v>
      </c>
      <c r="P107" s="15">
        <v>5432407.5999999996</v>
      </c>
      <c r="Q107" s="15">
        <f>IF(ISTEXT('Incurred 2.5% cpi'!Q107),"",'Incurred 2.5% cpi'!Q107/'Incurred 2.5% cpi'!Q$17*Incurred!Q$17)</f>
        <v>1522285.4</v>
      </c>
      <c r="R107" s="110">
        <f>IF(ISTEXT('Incurred 2.5% cpi'!R107),"",'Incurred 2.5% cpi'!R107/'Incurred 2.5% cpi'!R$17*Incurred!R$17*BG107)</f>
        <v>739676.86444602511</v>
      </c>
      <c r="S107" s="102">
        <f>IF(ISTEXT('Incurred 2.5% cpi'!S107),"",'Incurred 2.5% cpi'!S107/'Incurred 2.5% cpi'!S$17*Incurred!S$17*BH107)</f>
        <v>75834.734526512562</v>
      </c>
      <c r="T107" s="16" t="str">
        <f>IF(ISTEXT('Incurred 2.5% cpi'!T107),"",'Incurred 2.5% cpi'!T107/'Incurred 2.5% cpi'!T$17*Incurred!T$17*BI107)</f>
        <v/>
      </c>
      <c r="U107" s="16" t="str">
        <f>IF(ISTEXT('Incurred 2.5% cpi'!U107),"",'Incurred 2.5% cpi'!U107/'Incurred 2.5% cpi'!U$17*Incurred!U$17*BJ107)</f>
        <v/>
      </c>
      <c r="V107" s="16" t="str">
        <f>IF(ISTEXT('Incurred 2.5% cpi'!V107),"",'Incurred 2.5% cpi'!V107/'Incurred 2.5% cpi'!V$17*Incurred!V$17*BK107)</f>
        <v/>
      </c>
      <c r="W107" s="110" t="str">
        <f>IF(ISTEXT('Incurred 2.5% cpi'!W107),"",'Incurred 2.5% cpi'!W107/'Incurred 2.5% cpi'!W$17*Incurred!W$17*BL107)</f>
        <v/>
      </c>
      <c r="X107" s="102" t="str">
        <f>IF(ISTEXT('Incurred 2.5% cpi'!X107),"",'Incurred 2.5% cpi'!X107/'Incurred 2.5% cpi'!X$17*Incurred!X$17*BM107)</f>
        <v/>
      </c>
      <c r="Y107" s="80">
        <f t="shared" si="156"/>
        <v>9020205.1489725374</v>
      </c>
      <c r="Z107" s="80">
        <f t="shared" si="172"/>
        <v>9020205.1489725374</v>
      </c>
      <c r="AA107" s="566">
        <f t="shared" si="173"/>
        <v>10620827.396077227</v>
      </c>
      <c r="AB107" s="566">
        <f t="shared" si="174"/>
        <v>9387263.8319834806</v>
      </c>
      <c r="AC107" s="567">
        <f t="shared" si="146"/>
        <v>1.1314082128906247</v>
      </c>
      <c r="AD107" s="568" t="str">
        <f t="shared" si="175"/>
        <v>2019</v>
      </c>
      <c r="AE107" s="569">
        <v>43059</v>
      </c>
      <c r="AF107" s="568">
        <v>2018</v>
      </c>
      <c r="AG107" s="569"/>
      <c r="AH107" s="566">
        <f t="shared" si="162"/>
        <v>9387263.8319834806</v>
      </c>
      <c r="AI107" s="80">
        <f t="shared" si="176"/>
        <v>75834.734526512562</v>
      </c>
      <c r="AJ107" s="571" t="s">
        <v>0</v>
      </c>
      <c r="AK107" s="875">
        <f t="shared" si="177"/>
        <v>0</v>
      </c>
      <c r="AL107" s="28">
        <f t="shared" si="188"/>
        <v>0</v>
      </c>
      <c r="AM107" s="28">
        <f t="shared" si="188"/>
        <v>0</v>
      </c>
      <c r="AN107" s="28">
        <f t="shared" si="188"/>
        <v>0</v>
      </c>
      <c r="AO107" s="28">
        <f t="shared" si="188"/>
        <v>0</v>
      </c>
      <c r="AP107" s="28">
        <f t="shared" si="188"/>
        <v>0</v>
      </c>
      <c r="AQ107" s="28">
        <f t="shared" si="188"/>
        <v>0</v>
      </c>
      <c r="AR107" s="28">
        <f t="shared" si="188"/>
        <v>0</v>
      </c>
      <c r="AS107" s="28">
        <f t="shared" si="188"/>
        <v>0</v>
      </c>
      <c r="AT107" s="28">
        <f t="shared" si="188"/>
        <v>0</v>
      </c>
      <c r="AU107" s="28">
        <f t="shared" si="188"/>
        <v>1</v>
      </c>
      <c r="AV107" s="28">
        <f t="shared" si="189"/>
        <v>0</v>
      </c>
      <c r="AW107" s="28">
        <f t="shared" si="189"/>
        <v>0</v>
      </c>
      <c r="AX107" s="28">
        <f t="shared" si="189"/>
        <v>0</v>
      </c>
      <c r="AY107" s="28">
        <f t="shared" si="189"/>
        <v>0</v>
      </c>
      <c r="AZ107" s="28">
        <f t="shared" si="189"/>
        <v>0</v>
      </c>
      <c r="BA107" s="28">
        <f t="shared" si="189"/>
        <v>0</v>
      </c>
      <c r="BB107" s="28">
        <f t="shared" si="189"/>
        <v>0</v>
      </c>
      <c r="BC107" s="28">
        <f t="shared" si="189"/>
        <v>0</v>
      </c>
      <c r="BD107" s="28">
        <f t="shared" si="189"/>
        <v>0</v>
      </c>
      <c r="BE107" s="28">
        <f t="shared" si="189"/>
        <v>0</v>
      </c>
      <c r="BF107" s="27">
        <f t="shared" si="190"/>
        <v>1</v>
      </c>
      <c r="BG107" s="520">
        <f t="shared" si="157"/>
        <v>1.0030818160192299</v>
      </c>
      <c r="BH107" s="520">
        <f t="shared" si="181"/>
        <v>1.0058892448397847</v>
      </c>
      <c r="BI107" s="520">
        <f t="shared" si="182"/>
        <v>1.0089276407487533</v>
      </c>
      <c r="BJ107" s="520">
        <f t="shared" si="183"/>
        <v>1.0124373439172154</v>
      </c>
      <c r="BK107" s="520">
        <f t="shared" si="184"/>
        <v>1.0175505572831101</v>
      </c>
      <c r="BL107" s="520">
        <f t="shared" si="185"/>
        <v>1.023302014576742</v>
      </c>
      <c r="BM107" s="520">
        <f t="shared" si="186"/>
        <v>1.0271524590875074</v>
      </c>
      <c r="BN107" s="521" t="str">
        <f t="shared" si="187"/>
        <v>Category</v>
      </c>
      <c r="BP107" s="3"/>
    </row>
    <row r="108" spans="1:69" hidden="1" x14ac:dyDescent="0.15">
      <c r="A108" s="78" t="s">
        <v>233</v>
      </c>
      <c r="B108" s="78" t="s">
        <v>2299</v>
      </c>
      <c r="C108" s="13" t="s">
        <v>27</v>
      </c>
      <c r="D108" s="13" t="s">
        <v>55</v>
      </c>
      <c r="E108" s="13" t="s">
        <v>112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5">
        <v>0</v>
      </c>
      <c r="N108" s="670"/>
      <c r="O108" s="14"/>
      <c r="P108" s="15"/>
      <c r="Q108" s="15" t="str">
        <f>IF(ISTEXT('Incurred 2.5% cpi'!Q108),"",'Incurred 2.5% cpi'!Q108/'Incurred 2.5% cpi'!Q$17*Incurred!Q$17)</f>
        <v/>
      </c>
      <c r="R108" s="110" t="str">
        <f>IF(ISTEXT('Incurred 2.5% cpi'!R108),"",'Incurred 2.5% cpi'!R108/'Incurred 2.5% cpi'!R$17*Incurred!R$17*BG108)</f>
        <v/>
      </c>
      <c r="S108" s="102">
        <f>IF(ISTEXT('Incurred 2.5% cpi'!S108),"",'Incurred 2.5% cpi'!S108/'Incurred 2.5% cpi'!S$17*Incurred!S$17*BH108)</f>
        <v>750812.35504659696</v>
      </c>
      <c r="T108" s="16">
        <f>IF(ISTEXT('Incurred 2.5% cpi'!T108),"",'Incurred 2.5% cpi'!T108/'Incurred 2.5% cpi'!T$17*Incurred!T$17*BI108)</f>
        <v>969259.88213484548</v>
      </c>
      <c r="U108" s="16" t="str">
        <f>IF(ISTEXT('Incurred 2.5% cpi'!U108),"",'Incurred 2.5% cpi'!U108/'Incurred 2.5% cpi'!U$17*Incurred!U$17*BJ108)</f>
        <v/>
      </c>
      <c r="V108" s="16" t="str">
        <f>IF(ISTEXT('Incurred 2.5% cpi'!V108),"",'Incurred 2.5% cpi'!V108/'Incurred 2.5% cpi'!V$17*Incurred!V$17*BK108)</f>
        <v/>
      </c>
      <c r="W108" s="110" t="str">
        <f>IF(ISTEXT('Incurred 2.5% cpi'!W108),"",'Incurred 2.5% cpi'!W108/'Incurred 2.5% cpi'!W$17*Incurred!W$17*BL108)</f>
        <v/>
      </c>
      <c r="X108" s="102" t="str">
        <f>IF(ISTEXT('Incurred 2.5% cpi'!X108),"",'Incurred 2.5% cpi'!X108/'Incurred 2.5% cpi'!X$17*Incurred!X$17*BM108)</f>
        <v/>
      </c>
      <c r="Y108" s="80">
        <f t="shared" si="156"/>
        <v>1720072.2371814423</v>
      </c>
      <c r="Z108" s="80">
        <f t="shared" si="172"/>
        <v>1720072.2371814423</v>
      </c>
      <c r="AA108" s="566">
        <f t="shared" si="173"/>
        <v>1872543.2362005678</v>
      </c>
      <c r="AB108" s="566">
        <f t="shared" si="174"/>
        <v>1738842.5460576073</v>
      </c>
      <c r="AC108" s="567">
        <f t="shared" si="146"/>
        <v>1.0768906249999999</v>
      </c>
      <c r="AD108" s="568" t="str">
        <f t="shared" si="175"/>
        <v>2020</v>
      </c>
      <c r="AE108" s="569">
        <v>43787</v>
      </c>
      <c r="AF108" s="568">
        <v>2020</v>
      </c>
      <c r="AG108" s="569"/>
      <c r="AH108" s="566">
        <f t="shared" si="162"/>
        <v>1655055.3680500726</v>
      </c>
      <c r="AI108" s="80">
        <f t="shared" si="176"/>
        <v>969259.88213484548</v>
      </c>
      <c r="AJ108" s="571" t="s">
        <v>3035</v>
      </c>
      <c r="AK108" s="875">
        <f>IF(ISNA(VLOOKUP(LEFT($A108,8),Estimates,72,FALSE)),0,VLOOKUP(LEFT($A108,8),Estimates,72,FALSE))</f>
        <v>310308.99999999988</v>
      </c>
      <c r="AL108" s="28">
        <f t="shared" ref="AL108:BE108" si="191">IF($AK108=0,VLOOKUP(MID($A108,4,5),ProjectSplits,AL$23,FALSE),IF(ISNA(VLOOKUP($A108,Estimates,AL$22,FALSE)),VLOOKUP(MID($A108,4,5),ProjectSplits,AL$23,FALSE),VLOOKUP($A108,Estimates,AL$22,FALSE)))</f>
        <v>0</v>
      </c>
      <c r="AM108" s="28">
        <f t="shared" si="191"/>
        <v>0</v>
      </c>
      <c r="AN108" s="28">
        <f t="shared" si="191"/>
        <v>0</v>
      </c>
      <c r="AO108" s="28">
        <f t="shared" si="191"/>
        <v>1</v>
      </c>
      <c r="AP108" s="28">
        <f t="shared" si="191"/>
        <v>0</v>
      </c>
      <c r="AQ108" s="28">
        <f t="shared" si="191"/>
        <v>0</v>
      </c>
      <c r="AR108" s="28">
        <f t="shared" si="191"/>
        <v>0</v>
      </c>
      <c r="AS108" s="28">
        <f t="shared" si="191"/>
        <v>0</v>
      </c>
      <c r="AT108" s="28">
        <f t="shared" si="191"/>
        <v>0</v>
      </c>
      <c r="AU108" s="28">
        <f t="shared" si="191"/>
        <v>0</v>
      </c>
      <c r="AV108" s="28">
        <f t="shared" si="191"/>
        <v>0</v>
      </c>
      <c r="AW108" s="28">
        <f t="shared" si="191"/>
        <v>0</v>
      </c>
      <c r="AX108" s="28">
        <f t="shared" si="191"/>
        <v>0</v>
      </c>
      <c r="AY108" s="28">
        <f t="shared" si="191"/>
        <v>0</v>
      </c>
      <c r="AZ108" s="28">
        <f t="shared" si="191"/>
        <v>0</v>
      </c>
      <c r="BA108" s="28">
        <f t="shared" si="191"/>
        <v>0</v>
      </c>
      <c r="BB108" s="28">
        <f t="shared" si="191"/>
        <v>0</v>
      </c>
      <c r="BC108" s="28">
        <f t="shared" si="191"/>
        <v>0</v>
      </c>
      <c r="BD108" s="28">
        <f t="shared" si="191"/>
        <v>0</v>
      </c>
      <c r="BE108" s="28">
        <f t="shared" si="191"/>
        <v>0</v>
      </c>
      <c r="BF108" s="27">
        <f>SUM(AL108:BD108)</f>
        <v>1</v>
      </c>
      <c r="BG108" s="520">
        <f t="shared" si="157"/>
        <v>1.0047443590460903</v>
      </c>
      <c r="BH108" s="520">
        <f t="shared" si="181"/>
        <v>1.0090663076108137</v>
      </c>
      <c r="BI108" s="520">
        <f t="shared" si="182"/>
        <v>1.0137438227597946</v>
      </c>
      <c r="BJ108" s="520">
        <f t="shared" si="183"/>
        <v>1.0191469006439002</v>
      </c>
      <c r="BK108" s="520">
        <f t="shared" si="184"/>
        <v>1.0270185321545748</v>
      </c>
      <c r="BL108" s="520">
        <f t="shared" si="185"/>
        <v>1.0358727201622233</v>
      </c>
      <c r="BM108" s="520">
        <f t="shared" si="186"/>
        <v>1.0418003586494431</v>
      </c>
      <c r="BN108" s="521" t="str">
        <f t="shared" si="187"/>
        <v>Project</v>
      </c>
      <c r="BP108" s="3"/>
    </row>
    <row r="109" spans="1:69" hidden="1" x14ac:dyDescent="0.15">
      <c r="A109" s="78" t="s">
        <v>234</v>
      </c>
      <c r="B109" s="78" t="s">
        <v>2374</v>
      </c>
      <c r="C109" s="13" t="s">
        <v>27</v>
      </c>
      <c r="D109" s="13" t="s">
        <v>55</v>
      </c>
      <c r="E109" s="13" t="s">
        <v>29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5">
        <v>0</v>
      </c>
      <c r="N109" s="670">
        <v>58928.5</v>
      </c>
      <c r="O109" s="14">
        <v>11460.27</v>
      </c>
      <c r="P109" s="15">
        <v>-37171.56</v>
      </c>
      <c r="Q109" s="15">
        <f>IF(ISTEXT('Incurred 2.5% cpi'!Q109),"",'Incurred 2.5% cpi'!Q109/'Incurred 2.5% cpi'!Q$17*Incurred!Q$17)</f>
        <v>937145.45</v>
      </c>
      <c r="R109" s="110">
        <f>IF(ISTEXT('Incurred 2.5% cpi'!R109),"",'Incurred 2.5% cpi'!R109/'Incurred 2.5% cpi'!R$17*Incurred!R$17*BG109)</f>
        <v>234222.46668917246</v>
      </c>
      <c r="S109" s="102" t="str">
        <f>IF(ISTEXT('Incurred 2.5% cpi'!S109),"",'Incurred 2.5% cpi'!S109/'Incurred 2.5% cpi'!S$17*Incurred!S$17*BH109)</f>
        <v/>
      </c>
      <c r="T109" s="16" t="str">
        <f>IF(ISTEXT('Incurred 2.5% cpi'!T109),"",'Incurred 2.5% cpi'!T109/'Incurred 2.5% cpi'!T$17*Incurred!T$17*BI109)</f>
        <v/>
      </c>
      <c r="U109" s="16" t="str">
        <f>IF(ISTEXT('Incurred 2.5% cpi'!U109),"",'Incurred 2.5% cpi'!U109/'Incurred 2.5% cpi'!U$17*Incurred!U$17*BJ109)</f>
        <v/>
      </c>
      <c r="V109" s="16" t="str">
        <f>IF(ISTEXT('Incurred 2.5% cpi'!V109),"",'Incurred 2.5% cpi'!V109/'Incurred 2.5% cpi'!V$17*Incurred!V$17*BK109)</f>
        <v/>
      </c>
      <c r="W109" s="110" t="str">
        <f>IF(ISTEXT('Incurred 2.5% cpi'!W109),"",'Incurred 2.5% cpi'!W109/'Incurred 2.5% cpi'!W$17*Incurred!W$17*BL109)</f>
        <v/>
      </c>
      <c r="X109" s="102" t="str">
        <f>IF(ISTEXT('Incurred 2.5% cpi'!X109),"",'Incurred 2.5% cpi'!X109/'Incurred 2.5% cpi'!X$17*Incurred!X$17*BM109)</f>
        <v/>
      </c>
      <c r="Y109" s="80">
        <f t="shared" si="156"/>
        <v>1204585.1266891723</v>
      </c>
      <c r="Z109" s="80">
        <f t="shared" si="172"/>
        <v>1278928.2466891725</v>
      </c>
      <c r="AA109" s="566">
        <f t="shared" si="173"/>
        <v>1393175.2376375094</v>
      </c>
      <c r="AB109" s="566">
        <f t="shared" si="174"/>
        <v>1231363.9071773207</v>
      </c>
      <c r="AC109" s="567">
        <f t="shared" si="146"/>
        <v>1.1314082128906247</v>
      </c>
      <c r="AD109" s="568" t="str">
        <f t="shared" si="175"/>
        <v>2018</v>
      </c>
      <c r="AE109" s="569">
        <v>42975</v>
      </c>
      <c r="AF109" s="568">
        <v>2018</v>
      </c>
      <c r="AG109" s="569"/>
      <c r="AH109" s="566">
        <f t="shared" si="162"/>
        <v>1231363.9071773207</v>
      </c>
      <c r="AI109" s="80">
        <f t="shared" si="176"/>
        <v>234222.46668917246</v>
      </c>
      <c r="AJ109" s="571" t="s">
        <v>0</v>
      </c>
      <c r="AK109" s="875">
        <f>IF(ISNA(VLOOKUP(LEFT($A109,8),Estimates,72,FALSE)),0,VLOOKUP(LEFT($A109,8),Estimates,72,FALSE))</f>
        <v>1100000.0000000005</v>
      </c>
      <c r="AL109" s="28">
        <f t="shared" ref="AL109:BE109" si="192">IF($AK109=0,VLOOKUP(MID($A109,4,5),ProjectSplits,AL$23,FALSE),IF(ISNA(VLOOKUP($A109,Estimates,AL$22,FALSE)),VLOOKUP(MID($A109,4,5),ProjectSplits,AL$23,FALSE),VLOOKUP($A109,Estimates,AL$22,FALSE)))</f>
        <v>0</v>
      </c>
      <c r="AM109" s="28">
        <f t="shared" si="192"/>
        <v>0</v>
      </c>
      <c r="AN109" s="28">
        <f t="shared" si="192"/>
        <v>0</v>
      </c>
      <c r="AO109" s="28">
        <f t="shared" si="192"/>
        <v>1</v>
      </c>
      <c r="AP109" s="28">
        <f t="shared" si="192"/>
        <v>0</v>
      </c>
      <c r="AQ109" s="28">
        <f t="shared" si="192"/>
        <v>0</v>
      </c>
      <c r="AR109" s="28">
        <f t="shared" si="192"/>
        <v>0</v>
      </c>
      <c r="AS109" s="28">
        <f t="shared" si="192"/>
        <v>0</v>
      </c>
      <c r="AT109" s="28">
        <f t="shared" si="192"/>
        <v>0</v>
      </c>
      <c r="AU109" s="28">
        <f t="shared" si="192"/>
        <v>0</v>
      </c>
      <c r="AV109" s="28">
        <f t="shared" si="192"/>
        <v>0</v>
      </c>
      <c r="AW109" s="28">
        <f t="shared" si="192"/>
        <v>0</v>
      </c>
      <c r="AX109" s="28">
        <f t="shared" si="192"/>
        <v>0</v>
      </c>
      <c r="AY109" s="28">
        <f t="shared" si="192"/>
        <v>0</v>
      </c>
      <c r="AZ109" s="28">
        <f t="shared" si="192"/>
        <v>0</v>
      </c>
      <c r="BA109" s="28">
        <f t="shared" si="192"/>
        <v>0</v>
      </c>
      <c r="BB109" s="28">
        <f t="shared" si="192"/>
        <v>0</v>
      </c>
      <c r="BC109" s="28">
        <f t="shared" si="192"/>
        <v>0</v>
      </c>
      <c r="BD109" s="28">
        <f t="shared" si="192"/>
        <v>0</v>
      </c>
      <c r="BE109" s="28">
        <f t="shared" si="192"/>
        <v>0</v>
      </c>
      <c r="BF109" s="27">
        <f>SUM(AL109:BD109)</f>
        <v>1</v>
      </c>
      <c r="BG109" s="520">
        <f t="shared" si="157"/>
        <v>1.0046190746045656</v>
      </c>
      <c r="BH109" s="520">
        <f t="shared" si="181"/>
        <v>1.0088268933348963</v>
      </c>
      <c r="BI109" s="520">
        <f t="shared" si="182"/>
        <v>1.0133808891912874</v>
      </c>
      <c r="BJ109" s="520">
        <f t="shared" si="183"/>
        <v>1.018641287824382</v>
      </c>
      <c r="BK109" s="520">
        <f t="shared" si="184"/>
        <v>1.0263050529092395</v>
      </c>
      <c r="BL109" s="520">
        <f t="shared" si="185"/>
        <v>1.0349254280901359</v>
      </c>
      <c r="BM109" s="520">
        <f t="shared" si="186"/>
        <v>1.0406965352376705</v>
      </c>
      <c r="BN109" s="521" t="str">
        <f t="shared" si="187"/>
        <v>Category</v>
      </c>
      <c r="BP109" s="3"/>
    </row>
    <row r="110" spans="1:69" hidden="1" x14ac:dyDescent="0.15">
      <c r="A110" s="78" t="s">
        <v>235</v>
      </c>
      <c r="B110" s="78" t="s">
        <v>236</v>
      </c>
      <c r="C110" s="13" t="s">
        <v>27</v>
      </c>
      <c r="D110" s="13" t="s">
        <v>28</v>
      </c>
      <c r="E110" s="13" t="s">
        <v>29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5">
        <v>0</v>
      </c>
      <c r="N110" s="670"/>
      <c r="O110" s="14">
        <v>9013.5</v>
      </c>
      <c r="P110" s="15">
        <v>404991.72</v>
      </c>
      <c r="Q110" s="15">
        <f>IF(ISTEXT('Incurred 2.5% cpi'!Q110),"",'Incurred 2.5% cpi'!Q110/'Incurred 2.5% cpi'!Q$17*Incurred!Q$17)</f>
        <v>1644815.3600000001</v>
      </c>
      <c r="R110" s="110">
        <f>IF(ISTEXT('Incurred 2.5% cpi'!R110),"",'Incurred 2.5% cpi'!R110/'Incurred 2.5% cpi'!R$17*Incurred!R$17*BG110)</f>
        <v>1582263.5026745601</v>
      </c>
      <c r="S110" s="102">
        <f>IF(ISTEXT('Incurred 2.5% cpi'!S110),"",'Incurred 2.5% cpi'!S110/'Incurred 2.5% cpi'!S$17*Incurred!S$17*BH110)</f>
        <v>13063.432189914276</v>
      </c>
      <c r="T110" s="16" t="str">
        <f>IF(ISTEXT('Incurred 2.5% cpi'!T110),"",'Incurred 2.5% cpi'!T110/'Incurred 2.5% cpi'!T$17*Incurred!T$17*BI110)</f>
        <v/>
      </c>
      <c r="U110" s="16" t="str">
        <f>IF(ISTEXT('Incurred 2.5% cpi'!U110),"",'Incurred 2.5% cpi'!U110/'Incurred 2.5% cpi'!U$17*Incurred!U$17*BJ110)</f>
        <v/>
      </c>
      <c r="V110" s="16" t="str">
        <f>IF(ISTEXT('Incurred 2.5% cpi'!V110),"",'Incurred 2.5% cpi'!V110/'Incurred 2.5% cpi'!V$17*Incurred!V$17*BK110)</f>
        <v/>
      </c>
      <c r="W110" s="110" t="str">
        <f>IF(ISTEXT('Incurred 2.5% cpi'!W110),"",'Incurred 2.5% cpi'!W110/'Incurred 2.5% cpi'!W$17*Incurred!W$17*BL110)</f>
        <v/>
      </c>
      <c r="X110" s="102" t="str">
        <f>IF(ISTEXT('Incurred 2.5% cpi'!X110),"",'Incurred 2.5% cpi'!X110/'Incurred 2.5% cpi'!X$17*Incurred!X$17*BM110)</f>
        <v/>
      </c>
      <c r="Y110" s="80">
        <f t="shared" si="156"/>
        <v>3654147.5148644745</v>
      </c>
      <c r="Z110" s="80">
        <f t="shared" si="172"/>
        <v>3654147.5148644745</v>
      </c>
      <c r="AA110" s="566">
        <f t="shared" si="173"/>
        <v>4202551.9777985215</v>
      </c>
      <c r="AB110" s="566">
        <f t="shared" si="174"/>
        <v>3714443.5844790796</v>
      </c>
      <c r="AC110" s="567">
        <f t="shared" si="146"/>
        <v>1.1314082128906247</v>
      </c>
      <c r="AD110" s="568" t="str">
        <f t="shared" si="175"/>
        <v>2019</v>
      </c>
      <c r="AE110" s="569">
        <v>43194</v>
      </c>
      <c r="AF110" s="568">
        <v>2018</v>
      </c>
      <c r="AG110" s="569"/>
      <c r="AH110" s="566">
        <f t="shared" si="162"/>
        <v>3714443.58447908</v>
      </c>
      <c r="AI110" s="80">
        <f t="shared" si="176"/>
        <v>13063.432189914276</v>
      </c>
      <c r="AJ110" s="571" t="s">
        <v>0</v>
      </c>
      <c r="AK110" s="875">
        <f>IF(ISNA(VLOOKUP(LEFT($A110,8),Estimates,72,FALSE)),0,VLOOKUP(LEFT($A110,8),Estimates,72,FALSE))</f>
        <v>0</v>
      </c>
      <c r="AL110" s="28">
        <f t="shared" ref="AL110:BE110" si="193">IF($AK110=0,VLOOKUP(MID($A110,4,5),ProjectSplits,AL$23,FALSE),IF(ISNA(VLOOKUP($A110,Estimates,AL$22,FALSE)),VLOOKUP(MID($A110,4,5),ProjectSplits,AL$23,FALSE),VLOOKUP($A110,Estimates,AL$22,FALSE)))</f>
        <v>0</v>
      </c>
      <c r="AM110" s="28">
        <f t="shared" si="193"/>
        <v>0</v>
      </c>
      <c r="AN110" s="28">
        <f t="shared" si="193"/>
        <v>0</v>
      </c>
      <c r="AO110" s="28">
        <f t="shared" si="193"/>
        <v>0</v>
      </c>
      <c r="AP110" s="28">
        <f t="shared" si="193"/>
        <v>0</v>
      </c>
      <c r="AQ110" s="28">
        <f t="shared" si="193"/>
        <v>0</v>
      </c>
      <c r="AR110" s="28">
        <f t="shared" si="193"/>
        <v>0</v>
      </c>
      <c r="AS110" s="28">
        <f t="shared" si="193"/>
        <v>1</v>
      </c>
      <c r="AT110" s="28">
        <f t="shared" si="193"/>
        <v>0</v>
      </c>
      <c r="AU110" s="28">
        <f t="shared" si="193"/>
        <v>0</v>
      </c>
      <c r="AV110" s="28">
        <f t="shared" si="193"/>
        <v>0</v>
      </c>
      <c r="AW110" s="28">
        <f t="shared" si="193"/>
        <v>0</v>
      </c>
      <c r="AX110" s="28">
        <f t="shared" si="193"/>
        <v>0</v>
      </c>
      <c r="AY110" s="28">
        <f t="shared" si="193"/>
        <v>0</v>
      </c>
      <c r="AZ110" s="28">
        <f t="shared" si="193"/>
        <v>0</v>
      </c>
      <c r="BA110" s="28">
        <f t="shared" si="193"/>
        <v>0</v>
      </c>
      <c r="BB110" s="28">
        <f t="shared" si="193"/>
        <v>0</v>
      </c>
      <c r="BC110" s="28">
        <f t="shared" si="193"/>
        <v>0</v>
      </c>
      <c r="BD110" s="28">
        <f t="shared" si="193"/>
        <v>0</v>
      </c>
      <c r="BE110" s="28">
        <f t="shared" si="193"/>
        <v>0</v>
      </c>
      <c r="BF110" s="27">
        <f>SUM(AL110:BD110)</f>
        <v>1</v>
      </c>
      <c r="BG110" s="520">
        <f t="shared" si="157"/>
        <v>1.0030444840366091</v>
      </c>
      <c r="BH110" s="520">
        <f t="shared" si="181"/>
        <v>1.0058179046998681</v>
      </c>
      <c r="BI110" s="520">
        <f t="shared" si="182"/>
        <v>1.0088194946014175</v>
      </c>
      <c r="BJ110" s="520">
        <f t="shared" si="183"/>
        <v>1.0122866825201464</v>
      </c>
      <c r="BK110" s="520">
        <f t="shared" si="184"/>
        <v>1.0173379563051834</v>
      </c>
      <c r="BL110" s="520">
        <f t="shared" si="185"/>
        <v>1.023019742566414</v>
      </c>
      <c r="BM110" s="520">
        <f t="shared" si="186"/>
        <v>1.026823544212498</v>
      </c>
      <c r="BN110" s="521" t="str">
        <f t="shared" si="187"/>
        <v>Category</v>
      </c>
      <c r="BP110" s="3"/>
    </row>
    <row r="111" spans="1:69" hidden="1" x14ac:dyDescent="0.15">
      <c r="A111" s="78" t="s">
        <v>237</v>
      </c>
      <c r="B111" s="78" t="s">
        <v>238</v>
      </c>
      <c r="C111" s="13" t="s">
        <v>27</v>
      </c>
      <c r="D111" s="13" t="s">
        <v>36</v>
      </c>
      <c r="E111" s="13" t="s">
        <v>32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5">
        <v>0</v>
      </c>
      <c r="N111" s="670"/>
      <c r="O111" s="14">
        <v>188173.23</v>
      </c>
      <c r="P111" s="15">
        <v>12484.04</v>
      </c>
      <c r="Q111" s="15">
        <f>IF(ISTEXT('Incurred 2.5% cpi'!Q111),"",'Incurred 2.5% cpi'!Q111/'Incurred 2.5% cpi'!Q$17*Incurred!Q$17)</f>
        <v>-2221.56</v>
      </c>
      <c r="R111" s="110" t="str">
        <f>IF(ISTEXT('Incurred 2.5% cpi'!R111),"",'Incurred 2.5% cpi'!R111/'Incurred 2.5% cpi'!R$17*Incurred!R$17*BG111)</f>
        <v/>
      </c>
      <c r="S111" s="102" t="str">
        <f>IF(ISTEXT('Incurred 2.5% cpi'!S111),"",'Incurred 2.5% cpi'!S111/'Incurred 2.5% cpi'!S$17*Incurred!S$17*BH111)</f>
        <v/>
      </c>
      <c r="T111" s="16" t="str">
        <f>IF(ISTEXT('Incurred 2.5% cpi'!T111),"",'Incurred 2.5% cpi'!T111/'Incurred 2.5% cpi'!T$17*Incurred!T$17*BI111)</f>
        <v/>
      </c>
      <c r="U111" s="16" t="str">
        <f>IF(ISTEXT('Incurred 2.5% cpi'!U111),"",'Incurred 2.5% cpi'!U111/'Incurred 2.5% cpi'!U$17*Incurred!U$17*BJ111)</f>
        <v/>
      </c>
      <c r="V111" s="16" t="str">
        <f>IF(ISTEXT('Incurred 2.5% cpi'!V111),"",'Incurred 2.5% cpi'!V111/'Incurred 2.5% cpi'!V$17*Incurred!V$17*BK111)</f>
        <v/>
      </c>
      <c r="W111" s="110" t="str">
        <f>IF(ISTEXT('Incurred 2.5% cpi'!W111),"",'Incurred 2.5% cpi'!W111/'Incurred 2.5% cpi'!W$17*Incurred!W$17*BL111)</f>
        <v/>
      </c>
      <c r="X111" s="102" t="str">
        <f>IF(ISTEXT('Incurred 2.5% cpi'!X111),"",'Incurred 2.5% cpi'!X111/'Incurred 2.5% cpi'!X$17*Incurred!X$17*BM111)</f>
        <v/>
      </c>
      <c r="Y111" s="80">
        <f t="shared" si="156"/>
        <v>198435.71000000002</v>
      </c>
      <c r="Z111" s="80">
        <f t="shared" si="172"/>
        <v>202878.83000000002</v>
      </c>
      <c r="AA111" s="566">
        <f t="shared" si="173"/>
        <v>237992.50642523164</v>
      </c>
      <c r="AB111" s="566">
        <f t="shared" si="174"/>
        <v>205220.19241256249</v>
      </c>
      <c r="AC111" s="567">
        <f t="shared" ref="AC111:AC140" si="194">IF(AF111="","",IF(AF111&lt;AD111,INDEX($F$20:$W$20,1,MATCH(TEXT(AF111,"000"),$F$24:$W$24)),INDEX($F$20:$W$20,1,MATCH(AD111,$F$24:$W$24))))</f>
        <v>1.1596934182128902</v>
      </c>
      <c r="AD111" s="568" t="str">
        <f t="shared" si="175"/>
        <v>2017</v>
      </c>
      <c r="AE111" s="569">
        <v>42114</v>
      </c>
      <c r="AF111" s="568" t="s">
        <v>3152</v>
      </c>
      <c r="AG111" s="569"/>
      <c r="AH111" s="566">
        <f t="shared" si="162"/>
        <v>210350.6972228766</v>
      </c>
      <c r="AI111" s="80">
        <f t="shared" si="176"/>
        <v>-2221.56</v>
      </c>
      <c r="AJ111" s="571" t="s">
        <v>0</v>
      </c>
      <c r="AK111" s="875">
        <f>IF(ISNA(VLOOKUP(LEFT($A111,8),Estimates,72,FALSE)),0,VLOOKUP(LEFT($A111,8),Estimates,72,FALSE))</f>
        <v>209999.99999999994</v>
      </c>
      <c r="AL111" s="28">
        <f t="shared" ref="AL111:AU112" si="195">IF($AK111=0,VLOOKUP(MID($A111,4,5),ProjectSplits,AL$23,FALSE),IF(ISNA(VLOOKUP($A111,Estimates,AL$22,FALSE)),VLOOKUP(MID($A111,4,5),ProjectSplits,AL$23,FALSE),VLOOKUP($A111,Estimates,AL$22,FALSE)))</f>
        <v>0.22</v>
      </c>
      <c r="AM111" s="28">
        <f t="shared" si="195"/>
        <v>0</v>
      </c>
      <c r="AN111" s="28">
        <f t="shared" si="195"/>
        <v>0</v>
      </c>
      <c r="AO111" s="28">
        <f t="shared" si="195"/>
        <v>0</v>
      </c>
      <c r="AP111" s="28">
        <f t="shared" si="195"/>
        <v>0</v>
      </c>
      <c r="AQ111" s="28">
        <f t="shared" si="195"/>
        <v>0</v>
      </c>
      <c r="AR111" s="28">
        <f t="shared" si="195"/>
        <v>0</v>
      </c>
      <c r="AS111" s="28">
        <f t="shared" si="195"/>
        <v>0.77999999999999992</v>
      </c>
      <c r="AT111" s="28">
        <f t="shared" si="195"/>
        <v>0</v>
      </c>
      <c r="AU111" s="28">
        <f t="shared" si="195"/>
        <v>0</v>
      </c>
      <c r="AV111" s="28">
        <f t="shared" ref="AV111:BE112" si="196">IF($AK111=0,VLOOKUP(MID($A111,4,5),ProjectSplits,AV$23,FALSE),IF(ISNA(VLOOKUP($A111,Estimates,AV$22,FALSE)),VLOOKUP(MID($A111,4,5),ProjectSplits,AV$23,FALSE),VLOOKUP($A111,Estimates,AV$22,FALSE)))</f>
        <v>0</v>
      </c>
      <c r="AW111" s="28">
        <f t="shared" si="196"/>
        <v>0</v>
      </c>
      <c r="AX111" s="28">
        <f t="shared" si="196"/>
        <v>0</v>
      </c>
      <c r="AY111" s="28">
        <f t="shared" si="196"/>
        <v>0</v>
      </c>
      <c r="AZ111" s="28">
        <f t="shared" si="196"/>
        <v>0</v>
      </c>
      <c r="BA111" s="28">
        <f t="shared" si="196"/>
        <v>0</v>
      </c>
      <c r="BB111" s="28">
        <f t="shared" si="196"/>
        <v>0</v>
      </c>
      <c r="BC111" s="28">
        <f t="shared" si="196"/>
        <v>0</v>
      </c>
      <c r="BD111" s="28">
        <f t="shared" si="196"/>
        <v>0</v>
      </c>
      <c r="BE111" s="28">
        <f t="shared" si="196"/>
        <v>0</v>
      </c>
      <c r="BF111" s="27">
        <f t="shared" ref="BF111:BF112" si="197">SUM(AL111:BD111)</f>
        <v>0.99999999999999989</v>
      </c>
      <c r="BG111" s="520">
        <f t="shared" si="157"/>
        <v>1.0018756098697492</v>
      </c>
      <c r="BH111" s="520">
        <f t="shared" si="181"/>
        <v>1.0035842262088148</v>
      </c>
      <c r="BI111" s="520">
        <f t="shared" si="182"/>
        <v>1.0054334103650095</v>
      </c>
      <c r="BJ111" s="520">
        <f t="shared" si="183"/>
        <v>1.007569434664183</v>
      </c>
      <c r="BK111" s="520">
        <f t="shared" si="184"/>
        <v>1.0106813639277612</v>
      </c>
      <c r="BL111" s="520">
        <f t="shared" si="185"/>
        <v>1.0141817318919957</v>
      </c>
      <c r="BM111" s="520">
        <f t="shared" si="186"/>
        <v>1.0165251332119476</v>
      </c>
      <c r="BN111" s="521" t="str">
        <f t="shared" si="187"/>
        <v>Category</v>
      </c>
      <c r="BP111" s="3"/>
    </row>
    <row r="112" spans="1:69" hidden="1" x14ac:dyDescent="0.15">
      <c r="A112" s="78" t="s">
        <v>239</v>
      </c>
      <c r="B112" s="78" t="s">
        <v>240</v>
      </c>
      <c r="C112" s="13" t="s">
        <v>27</v>
      </c>
      <c r="D112" s="13" t="s">
        <v>36</v>
      </c>
      <c r="E112" s="13" t="s">
        <v>29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5">
        <v>0</v>
      </c>
      <c r="N112" s="670"/>
      <c r="O112" s="14"/>
      <c r="P112" s="15">
        <v>5363.33</v>
      </c>
      <c r="Q112" s="15">
        <f>IF(ISTEXT('Incurred 2.5% cpi'!Q112),"",'Incurred 2.5% cpi'!Q112/'Incurred 2.5% cpi'!Q$17*Incurred!Q$17)</f>
        <v>19460.88</v>
      </c>
      <c r="R112" s="110" t="str">
        <f>IF(ISTEXT('Incurred 2.5% cpi'!R112),"",'Incurred 2.5% cpi'!R112/'Incurred 2.5% cpi'!R$17*Incurred!R$17*BG112)</f>
        <v/>
      </c>
      <c r="S112" s="102" t="str">
        <f>IF(ISTEXT('Incurred 2.5% cpi'!S112),"",'Incurred 2.5% cpi'!S112/'Incurred 2.5% cpi'!S$17*Incurred!S$17*BH112)</f>
        <v/>
      </c>
      <c r="T112" s="16" t="str">
        <f>IF(ISTEXT('Incurred 2.5% cpi'!T112),"",'Incurred 2.5% cpi'!T112/'Incurred 2.5% cpi'!T$17*Incurred!T$17*BI112)</f>
        <v/>
      </c>
      <c r="U112" s="16" t="str">
        <f>IF(ISTEXT('Incurred 2.5% cpi'!U112),"",'Incurred 2.5% cpi'!U112/'Incurred 2.5% cpi'!U$17*Incurred!U$17*BJ112)</f>
        <v/>
      </c>
      <c r="V112" s="16" t="str">
        <f>IF(ISTEXT('Incurred 2.5% cpi'!V112),"",'Incurred 2.5% cpi'!V112/'Incurred 2.5% cpi'!V$17*Incurred!V$17*BK112)</f>
        <v/>
      </c>
      <c r="W112" s="110" t="str">
        <f>IF(ISTEXT('Incurred 2.5% cpi'!W112),"",'Incurred 2.5% cpi'!W112/'Incurred 2.5% cpi'!W$17*Incurred!W$17*BL112)</f>
        <v/>
      </c>
      <c r="X112" s="102" t="str">
        <f>IF(ISTEXT('Incurred 2.5% cpi'!X112),"",'Incurred 2.5% cpi'!X112/'Incurred 2.5% cpi'!X$17*Incurred!X$17*BM112)</f>
        <v/>
      </c>
      <c r="Y112" s="80">
        <f t="shared" si="156"/>
        <v>24824.21</v>
      </c>
      <c r="Z112" s="80">
        <f t="shared" si="172"/>
        <v>24824.21</v>
      </c>
      <c r="AA112" s="566">
        <f t="shared" si="173"/>
        <v>28920.687205819053</v>
      </c>
      <c r="AB112" s="566">
        <f t="shared" si="174"/>
        <v>24938.217939001832</v>
      </c>
      <c r="AC112" s="567">
        <f t="shared" si="194"/>
        <v>1.1596934182128902</v>
      </c>
      <c r="AD112" s="568" t="str">
        <f t="shared" si="175"/>
        <v>2017</v>
      </c>
      <c r="AE112" s="569">
        <v>42578</v>
      </c>
      <c r="AF112" s="568">
        <v>2017</v>
      </c>
      <c r="AG112" s="569"/>
      <c r="AH112" s="566">
        <f t="shared" si="162"/>
        <v>25561.673387476876</v>
      </c>
      <c r="AI112" s="80">
        <f t="shared" si="176"/>
        <v>19460.88</v>
      </c>
      <c r="AJ112" s="571" t="s">
        <v>0</v>
      </c>
      <c r="AK112" s="875">
        <f>IF(ISNA(VLOOKUP(LEFT($A112,8),Estimates,72,FALSE)),0,VLOOKUP(LEFT($A112,8),Estimates,72,FALSE))</f>
        <v>33479.999999999985</v>
      </c>
      <c r="AL112" s="28">
        <f t="shared" si="195"/>
        <v>1</v>
      </c>
      <c r="AM112" s="28">
        <f t="shared" si="195"/>
        <v>0</v>
      </c>
      <c r="AN112" s="28">
        <f t="shared" si="195"/>
        <v>0</v>
      </c>
      <c r="AO112" s="28">
        <f t="shared" si="195"/>
        <v>0</v>
      </c>
      <c r="AP112" s="28">
        <f t="shared" si="195"/>
        <v>0</v>
      </c>
      <c r="AQ112" s="28">
        <f t="shared" si="195"/>
        <v>0</v>
      </c>
      <c r="AR112" s="28">
        <f t="shared" si="195"/>
        <v>0</v>
      </c>
      <c r="AS112" s="28">
        <f t="shared" si="195"/>
        <v>0</v>
      </c>
      <c r="AT112" s="28">
        <f t="shared" si="195"/>
        <v>0</v>
      </c>
      <c r="AU112" s="28">
        <f t="shared" si="195"/>
        <v>0</v>
      </c>
      <c r="AV112" s="28">
        <f t="shared" si="196"/>
        <v>0</v>
      </c>
      <c r="AW112" s="28">
        <f t="shared" si="196"/>
        <v>0</v>
      </c>
      <c r="AX112" s="28">
        <f t="shared" si="196"/>
        <v>0</v>
      </c>
      <c r="AY112" s="28">
        <f t="shared" si="196"/>
        <v>0</v>
      </c>
      <c r="AZ112" s="28">
        <f t="shared" si="196"/>
        <v>0</v>
      </c>
      <c r="BA112" s="28">
        <f t="shared" si="196"/>
        <v>0</v>
      </c>
      <c r="BB112" s="28">
        <f t="shared" si="196"/>
        <v>0</v>
      </c>
      <c r="BC112" s="28">
        <f t="shared" si="196"/>
        <v>0</v>
      </c>
      <c r="BD112" s="28">
        <f t="shared" si="196"/>
        <v>0</v>
      </c>
      <c r="BE112" s="28">
        <f t="shared" si="196"/>
        <v>0</v>
      </c>
      <c r="BF112" s="27">
        <f t="shared" si="197"/>
        <v>1</v>
      </c>
      <c r="BG112" s="520">
        <f t="shared" si="157"/>
        <v>1.0018756098697492</v>
      </c>
      <c r="BH112" s="520">
        <f t="shared" si="181"/>
        <v>1.0035842262088148</v>
      </c>
      <c r="BI112" s="520">
        <f t="shared" si="182"/>
        <v>1.0054334103650095</v>
      </c>
      <c r="BJ112" s="520">
        <f t="shared" si="183"/>
        <v>1.007569434664183</v>
      </c>
      <c r="BK112" s="520">
        <f t="shared" si="184"/>
        <v>1.0106813639277612</v>
      </c>
      <c r="BL112" s="520">
        <f t="shared" si="185"/>
        <v>1.0141817318919957</v>
      </c>
      <c r="BM112" s="520">
        <f t="shared" si="186"/>
        <v>1.0165251332119476</v>
      </c>
      <c r="BN112" s="521" t="str">
        <f t="shared" si="187"/>
        <v>Category</v>
      </c>
      <c r="BP112" s="3"/>
    </row>
    <row r="113" spans="1:69" hidden="1" x14ac:dyDescent="0.15">
      <c r="A113" s="78" t="s">
        <v>241</v>
      </c>
      <c r="B113" s="78" t="s">
        <v>242</v>
      </c>
      <c r="C113" s="13" t="s">
        <v>27</v>
      </c>
      <c r="D113" s="13" t="s">
        <v>40</v>
      </c>
      <c r="E113" s="13" t="s">
        <v>29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5">
        <v>0</v>
      </c>
      <c r="N113" s="670"/>
      <c r="O113" s="14">
        <v>185599.88</v>
      </c>
      <c r="P113" s="15">
        <v>57958.92</v>
      </c>
      <c r="Q113" s="15">
        <f>IF(ISTEXT('Incurred 2.5% cpi'!Q113),"",'Incurred 2.5% cpi'!Q113/'Incurred 2.5% cpi'!Q$17*Incurred!Q$17)</f>
        <v>272461.01</v>
      </c>
      <c r="R113" s="110">
        <f>IF(ISTEXT('Incurred 2.5% cpi'!R113),"",'Incurred 2.5% cpi'!R113/'Incurred 2.5% cpi'!R$17*Incurred!R$17*BG113)</f>
        <v>1865438.0801815188</v>
      </c>
      <c r="S113" s="102">
        <f>IF(ISTEXT('Incurred 2.5% cpi'!S113),"",'Incurred 2.5% cpi'!S113/'Incurred 2.5% cpi'!S$17*Incurred!S$17*BH113)</f>
        <v>5884056.5140071791</v>
      </c>
      <c r="T113" s="16">
        <f>IF(ISTEXT('Incurred 2.5% cpi'!T113),"",'Incurred 2.5% cpi'!T113/'Incurred 2.5% cpi'!T$17*Incurred!T$17*BI113)</f>
        <v>20825.074751219949</v>
      </c>
      <c r="U113" s="16" t="str">
        <f>IF(ISTEXT('Incurred 2.5% cpi'!U113),"",'Incurred 2.5% cpi'!U113/'Incurred 2.5% cpi'!U$17*Incurred!U$17*BJ113)</f>
        <v/>
      </c>
      <c r="V113" s="16" t="str">
        <f>IF(ISTEXT('Incurred 2.5% cpi'!V113),"",'Incurred 2.5% cpi'!V113/'Incurred 2.5% cpi'!V$17*Incurred!V$17*BK113)</f>
        <v/>
      </c>
      <c r="W113" s="110" t="str">
        <f>IF(ISTEXT('Incurred 2.5% cpi'!W113),"",'Incurred 2.5% cpi'!W113/'Incurred 2.5% cpi'!W$17*Incurred!W$17*BL113)</f>
        <v/>
      </c>
      <c r="X113" s="102" t="str">
        <f>IF(ISTEXT('Incurred 2.5% cpi'!X113),"",'Incurred 2.5% cpi'!X113/'Incurred 2.5% cpi'!X$17*Incurred!X$17*BM113)</f>
        <v/>
      </c>
      <c r="Y113" s="80">
        <f t="shared" si="156"/>
        <v>8286339.4789399179</v>
      </c>
      <c r="Z113" s="80">
        <f t="shared" si="172"/>
        <v>8286339.4789399179</v>
      </c>
      <c r="AA113" s="566">
        <f t="shared" si="173"/>
        <v>9235206.0550847873</v>
      </c>
      <c r="AB113" s="566">
        <f t="shared" si="174"/>
        <v>8366640.8804626651</v>
      </c>
      <c r="AC113" s="567">
        <f t="shared" si="194"/>
        <v>1.1038128906249998</v>
      </c>
      <c r="AD113" s="568" t="str">
        <f t="shared" si="175"/>
        <v>2020</v>
      </c>
      <c r="AE113" s="569">
        <v>43451</v>
      </c>
      <c r="AF113" s="568">
        <v>2019</v>
      </c>
      <c r="AG113" s="569"/>
      <c r="AH113" s="566">
        <f t="shared" ref="AH113:AH117" si="198">IF(ROUND(Y113,0)=0,0,SUMPRODUCT($F$19:$W$19,F113:W113))</f>
        <v>8162576.4687440628</v>
      </c>
      <c r="AI113" s="80">
        <f t="shared" si="176"/>
        <v>20825.074751219949</v>
      </c>
      <c r="AJ113" s="571" t="s">
        <v>3036</v>
      </c>
      <c r="AK113" s="875">
        <f t="shared" si="177"/>
        <v>0</v>
      </c>
      <c r="AL113" s="28">
        <f t="shared" ref="AL113:AU114" si="199">IF($AK113=0,VLOOKUP(MID($A113,4,5),ProjectSplits,AL$23,FALSE),IF(ISNA(VLOOKUP($A113,Estimates,AL$22,FALSE)),VLOOKUP(MID($A113,4,5),ProjectSplits,AL$23,FALSE),VLOOKUP($A113,Estimates,AL$22,FALSE)))</f>
        <v>0</v>
      </c>
      <c r="AM113" s="28">
        <f t="shared" si="199"/>
        <v>8.9915906972427545E-2</v>
      </c>
      <c r="AN113" s="28">
        <f t="shared" si="199"/>
        <v>0.91008409302757254</v>
      </c>
      <c r="AO113" s="28">
        <f t="shared" si="199"/>
        <v>0</v>
      </c>
      <c r="AP113" s="28">
        <f t="shared" si="199"/>
        <v>0</v>
      </c>
      <c r="AQ113" s="28">
        <f t="shared" si="199"/>
        <v>0</v>
      </c>
      <c r="AR113" s="28">
        <f t="shared" si="199"/>
        <v>0</v>
      </c>
      <c r="AS113" s="28">
        <f t="shared" si="199"/>
        <v>0</v>
      </c>
      <c r="AT113" s="28">
        <f t="shared" si="199"/>
        <v>0</v>
      </c>
      <c r="AU113" s="28">
        <f t="shared" si="199"/>
        <v>0</v>
      </c>
      <c r="AV113" s="28">
        <f t="shared" ref="AV113:BE114" si="200">IF($AK113=0,VLOOKUP(MID($A113,4,5),ProjectSplits,AV$23,FALSE),IF(ISNA(VLOOKUP($A113,Estimates,AV$22,FALSE)),VLOOKUP(MID($A113,4,5),ProjectSplits,AV$23,FALSE),VLOOKUP($A113,Estimates,AV$22,FALSE)))</f>
        <v>0</v>
      </c>
      <c r="AW113" s="28">
        <f t="shared" si="200"/>
        <v>0</v>
      </c>
      <c r="AX113" s="28">
        <f t="shared" si="200"/>
        <v>0</v>
      </c>
      <c r="AY113" s="28">
        <f t="shared" si="200"/>
        <v>0</v>
      </c>
      <c r="AZ113" s="28">
        <f t="shared" si="200"/>
        <v>0</v>
      </c>
      <c r="BA113" s="28">
        <f t="shared" si="200"/>
        <v>0</v>
      </c>
      <c r="BB113" s="28">
        <f t="shared" si="200"/>
        <v>0</v>
      </c>
      <c r="BC113" s="28">
        <f t="shared" si="200"/>
        <v>0</v>
      </c>
      <c r="BD113" s="28">
        <f t="shared" si="200"/>
        <v>0</v>
      </c>
      <c r="BE113" s="28">
        <f t="shared" si="200"/>
        <v>0</v>
      </c>
      <c r="BF113" s="27">
        <f t="shared" ref="BF113:BF114" si="201">SUM(AL113:BD113)</f>
        <v>1</v>
      </c>
      <c r="BG113" s="520">
        <f t="shared" si="157"/>
        <v>1.0034498951996242</v>
      </c>
      <c r="BH113" s="520">
        <f t="shared" si="181"/>
        <v>1.0065926315443261</v>
      </c>
      <c r="BI113" s="520">
        <f t="shared" si="182"/>
        <v>1.0099939207178206</v>
      </c>
      <c r="BJ113" s="520">
        <f t="shared" si="183"/>
        <v>1.0139228081132494</v>
      </c>
      <c r="BK113" s="520">
        <f t="shared" si="184"/>
        <v>1.0196467222390713</v>
      </c>
      <c r="BL113" s="520">
        <f t="shared" si="185"/>
        <v>1.0260851094706045</v>
      </c>
      <c r="BM113" s="520">
        <f t="shared" si="186"/>
        <v>1.0303954349252136</v>
      </c>
      <c r="BN113" s="521" t="str">
        <f t="shared" si="187"/>
        <v>Category</v>
      </c>
      <c r="BP113" s="3"/>
    </row>
    <row r="114" spans="1:69" hidden="1" x14ac:dyDescent="0.15">
      <c r="A114" s="12" t="s">
        <v>243</v>
      </c>
      <c r="B114" s="13" t="s">
        <v>244</v>
      </c>
      <c r="C114" s="13" t="s">
        <v>27</v>
      </c>
      <c r="D114" s="13" t="s">
        <v>28</v>
      </c>
      <c r="E114" s="13" t="s">
        <v>29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  <c r="N114" s="670"/>
      <c r="O114" s="14">
        <v>213853.45</v>
      </c>
      <c r="P114" s="15">
        <v>6982366.7400000002</v>
      </c>
      <c r="Q114" s="15">
        <f>IF(ISTEXT('Incurred 2.5% cpi'!Q114),"",'Incurred 2.5% cpi'!Q114/'Incurred 2.5% cpi'!Q$17*Incurred!Q$17)</f>
        <v>352979.84</v>
      </c>
      <c r="R114" s="110">
        <f>IF(ISTEXT('Incurred 2.5% cpi'!R114),"",'Incurred 2.5% cpi'!R114/'Incurred 2.5% cpi'!R$17*Incurred!R$17*BG114)</f>
        <v>567791.8865118773</v>
      </c>
      <c r="S114" s="102">
        <f>IF(ISTEXT('Incurred 2.5% cpi'!S114),"",'Incurred 2.5% cpi'!S114/'Incurred 2.5% cpi'!S$17*Incurred!S$17*BH114)</f>
        <v>5529073.5573824076</v>
      </c>
      <c r="T114" s="16">
        <f>IF(ISTEXT('Incurred 2.5% cpi'!T114),"",'Incurred 2.5% cpi'!T114/'Incurred 2.5% cpi'!T$17*Incurred!T$17*BI114)</f>
        <v>142386.18572714156</v>
      </c>
      <c r="U114" s="16" t="str">
        <f>IF(ISTEXT('Incurred 2.5% cpi'!U114),"",'Incurred 2.5% cpi'!U114/'Incurred 2.5% cpi'!U$17*Incurred!U$17*BJ114)</f>
        <v/>
      </c>
      <c r="V114" s="16" t="str">
        <f>IF(ISTEXT('Incurred 2.5% cpi'!V114),"",'Incurred 2.5% cpi'!V114/'Incurred 2.5% cpi'!V$17*Incurred!V$17*BK114)</f>
        <v/>
      </c>
      <c r="W114" s="110" t="str">
        <f>IF(ISTEXT('Incurred 2.5% cpi'!W114),"",'Incurred 2.5% cpi'!W114/'Incurred 2.5% cpi'!W$17*Incurred!W$17*BL114)</f>
        <v/>
      </c>
      <c r="X114" s="102" t="str">
        <f>IF(ISTEXT('Incurred 2.5% cpi'!X114),"",'Incurred 2.5% cpi'!X114/'Incurred 2.5% cpi'!X$17*Incurred!X$17*BM114)</f>
        <v/>
      </c>
      <c r="Y114" s="80">
        <f t="shared" si="156"/>
        <v>13788451.659621427</v>
      </c>
      <c r="Z114" s="80">
        <f t="shared" si="172"/>
        <v>13788451.659621427</v>
      </c>
      <c r="AA114" s="566">
        <f t="shared" si="173"/>
        <v>15834276.898647757</v>
      </c>
      <c r="AB114" s="566">
        <f t="shared" si="174"/>
        <v>14703700.200424494</v>
      </c>
      <c r="AC114" s="567">
        <f t="shared" si="194"/>
        <v>1.0768906249999999</v>
      </c>
      <c r="AD114" s="568" t="str">
        <f t="shared" si="175"/>
        <v>2020</v>
      </c>
      <c r="AE114" s="569">
        <v>43682</v>
      </c>
      <c r="AF114" s="568">
        <v>2020</v>
      </c>
      <c r="AG114" s="569"/>
      <c r="AH114" s="566">
        <f t="shared" si="198"/>
        <v>13995193.528066149</v>
      </c>
      <c r="AI114" s="80">
        <f t="shared" si="176"/>
        <v>142386.18572714156</v>
      </c>
      <c r="AJ114" s="571" t="s">
        <v>3036</v>
      </c>
      <c r="AK114" s="875">
        <f t="shared" si="177"/>
        <v>0</v>
      </c>
      <c r="AL114" s="28">
        <f t="shared" si="199"/>
        <v>0</v>
      </c>
      <c r="AM114" s="28">
        <f t="shared" si="199"/>
        <v>8.9915906972427545E-2</v>
      </c>
      <c r="AN114" s="28">
        <f t="shared" si="199"/>
        <v>0.91008409302757254</v>
      </c>
      <c r="AO114" s="28">
        <f t="shared" si="199"/>
        <v>0</v>
      </c>
      <c r="AP114" s="28">
        <f t="shared" si="199"/>
        <v>0</v>
      </c>
      <c r="AQ114" s="28">
        <f t="shared" si="199"/>
        <v>0</v>
      </c>
      <c r="AR114" s="28">
        <f t="shared" si="199"/>
        <v>0</v>
      </c>
      <c r="AS114" s="28">
        <f t="shared" si="199"/>
        <v>0</v>
      </c>
      <c r="AT114" s="28">
        <f t="shared" si="199"/>
        <v>0</v>
      </c>
      <c r="AU114" s="28">
        <f t="shared" si="199"/>
        <v>0</v>
      </c>
      <c r="AV114" s="28">
        <f t="shared" si="200"/>
        <v>0</v>
      </c>
      <c r="AW114" s="28">
        <f t="shared" si="200"/>
        <v>0</v>
      </c>
      <c r="AX114" s="28">
        <f t="shared" si="200"/>
        <v>0</v>
      </c>
      <c r="AY114" s="28">
        <f t="shared" si="200"/>
        <v>0</v>
      </c>
      <c r="AZ114" s="28">
        <f t="shared" si="200"/>
        <v>0</v>
      </c>
      <c r="BA114" s="28">
        <f t="shared" si="200"/>
        <v>0</v>
      </c>
      <c r="BB114" s="28">
        <f t="shared" si="200"/>
        <v>0</v>
      </c>
      <c r="BC114" s="28">
        <f t="shared" si="200"/>
        <v>0</v>
      </c>
      <c r="BD114" s="28">
        <f t="shared" si="200"/>
        <v>0</v>
      </c>
      <c r="BE114" s="28">
        <f t="shared" si="200"/>
        <v>0</v>
      </c>
      <c r="BF114" s="27">
        <f t="shared" si="201"/>
        <v>1</v>
      </c>
      <c r="BG114" s="520">
        <f t="shared" si="157"/>
        <v>1.0030444840366091</v>
      </c>
      <c r="BH114" s="520">
        <f t="shared" si="181"/>
        <v>1.0058179046998681</v>
      </c>
      <c r="BI114" s="520">
        <f t="shared" si="182"/>
        <v>1.0088194946014175</v>
      </c>
      <c r="BJ114" s="520">
        <f t="shared" si="183"/>
        <v>1.0122866825201464</v>
      </c>
      <c r="BK114" s="520">
        <f t="shared" si="184"/>
        <v>1.0173379563051834</v>
      </c>
      <c r="BL114" s="520">
        <f t="shared" si="185"/>
        <v>1.023019742566414</v>
      </c>
      <c r="BM114" s="520">
        <f t="shared" si="186"/>
        <v>1.026823544212498</v>
      </c>
      <c r="BN114" s="521" t="str">
        <f t="shared" si="187"/>
        <v>Category</v>
      </c>
      <c r="BP114" s="3"/>
    </row>
    <row r="115" spans="1:69" hidden="1" x14ac:dyDescent="0.15">
      <c r="A115" s="12" t="s">
        <v>245</v>
      </c>
      <c r="B115" s="13" t="s">
        <v>246</v>
      </c>
      <c r="C115" s="13" t="s">
        <v>27</v>
      </c>
      <c r="D115" s="13" t="s">
        <v>44</v>
      </c>
      <c r="E115" s="13" t="s">
        <v>29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25275.63</v>
      </c>
      <c r="M115" s="15">
        <v>1818104.54</v>
      </c>
      <c r="N115" s="670">
        <v>1336997.8400000001</v>
      </c>
      <c r="O115" s="14">
        <v>1345162.35</v>
      </c>
      <c r="P115" s="15">
        <v>467414.19</v>
      </c>
      <c r="Q115" s="15">
        <f>IF(ISTEXT('Incurred 2.5% cpi'!Q115),"",'Incurred 2.5% cpi'!Q115/'Incurred 2.5% cpi'!Q$17*Incurred!Q$17)</f>
        <v>5959798.7699999996</v>
      </c>
      <c r="R115" s="110">
        <f>IF(ISTEXT('Incurred 2.5% cpi'!R115),"",'Incurred 2.5% cpi'!R115/'Incurred 2.5% cpi'!R$17*Incurred!R$17*BG115)</f>
        <v>1085718.2520014432</v>
      </c>
      <c r="S115" s="102" t="str">
        <f>IF(ISTEXT('Incurred 2.5% cpi'!S115),"",'Incurred 2.5% cpi'!S115/'Incurred 2.5% cpi'!S$17*Incurred!S$17*BH115)</f>
        <v/>
      </c>
      <c r="T115" s="16" t="str">
        <f>IF(ISTEXT('Incurred 2.5% cpi'!T115),"",'Incurred 2.5% cpi'!T115/'Incurred 2.5% cpi'!T$17*Incurred!T$17*BI115)</f>
        <v/>
      </c>
      <c r="U115" s="16" t="str">
        <f>IF(ISTEXT('Incurred 2.5% cpi'!U115),"",'Incurred 2.5% cpi'!U115/'Incurred 2.5% cpi'!U$17*Incurred!U$17*BJ115)</f>
        <v/>
      </c>
      <c r="V115" s="16" t="str">
        <f>IF(ISTEXT('Incurred 2.5% cpi'!V115),"",'Incurred 2.5% cpi'!V115/'Incurred 2.5% cpi'!V$17*Incurred!V$17*BK115)</f>
        <v/>
      </c>
      <c r="W115" s="110" t="str">
        <f>IF(ISTEXT('Incurred 2.5% cpi'!W115),"",'Incurred 2.5% cpi'!W115/'Incurred 2.5% cpi'!W$17*Incurred!W$17*BL115)</f>
        <v/>
      </c>
      <c r="X115" s="102" t="str">
        <f>IF(ISTEXT('Incurred 2.5% cpi'!X115),"",'Incurred 2.5% cpi'!X115/'Incurred 2.5% cpi'!X$17*Incurred!X$17*BM115)</f>
        <v/>
      </c>
      <c r="Y115" s="80">
        <f t="shared" si="156"/>
        <v>12038471.572001444</v>
      </c>
      <c r="Z115" s="80">
        <f t="shared" si="172"/>
        <v>12038471.572001444</v>
      </c>
      <c r="AA115" s="566">
        <f t="shared" si="173"/>
        <v>14240709.011161245</v>
      </c>
      <c r="AB115" s="566">
        <f t="shared" si="174"/>
        <v>12586711.718114354</v>
      </c>
      <c r="AC115" s="567">
        <f t="shared" si="194"/>
        <v>1.1314082128906247</v>
      </c>
      <c r="AD115" s="568" t="str">
        <f t="shared" si="175"/>
        <v>2018</v>
      </c>
      <c r="AE115" s="569">
        <v>41943</v>
      </c>
      <c r="AF115" s="568">
        <v>2018</v>
      </c>
      <c r="AG115" s="569"/>
      <c r="AH115" s="566">
        <f t="shared" si="198"/>
        <v>12586711.718114354</v>
      </c>
      <c r="AI115" s="80">
        <f t="shared" si="176"/>
        <v>1085718.2520014432</v>
      </c>
      <c r="AJ115" s="571" t="s">
        <v>0</v>
      </c>
      <c r="AK115" s="875">
        <f t="shared" si="177"/>
        <v>0</v>
      </c>
      <c r="AL115" s="28">
        <f t="shared" ref="AL115:BE115" si="202">IF($AK115=0,VLOOKUP(MID($A115,4,5),ProjectSplits,AL$23,FALSE),IF(ISNA(VLOOKUP($A115,Estimates,AL$22,FALSE)),VLOOKUP(MID($A115,4,5),ProjectSplits,AL$23,FALSE),VLOOKUP($A115,Estimates,AL$22,FALSE)))</f>
        <v>0</v>
      </c>
      <c r="AM115" s="28">
        <f t="shared" si="202"/>
        <v>0</v>
      </c>
      <c r="AN115" s="28">
        <f t="shared" si="202"/>
        <v>0</v>
      </c>
      <c r="AO115" s="28">
        <f t="shared" si="202"/>
        <v>0</v>
      </c>
      <c r="AP115" s="28">
        <f t="shared" si="202"/>
        <v>0</v>
      </c>
      <c r="AQ115" s="28">
        <f t="shared" si="202"/>
        <v>1</v>
      </c>
      <c r="AR115" s="28">
        <f t="shared" si="202"/>
        <v>0</v>
      </c>
      <c r="AS115" s="28">
        <f t="shared" si="202"/>
        <v>0</v>
      </c>
      <c r="AT115" s="28">
        <f t="shared" si="202"/>
        <v>0</v>
      </c>
      <c r="AU115" s="28">
        <f t="shared" si="202"/>
        <v>0</v>
      </c>
      <c r="AV115" s="28">
        <f t="shared" si="202"/>
        <v>0</v>
      </c>
      <c r="AW115" s="28">
        <f t="shared" si="202"/>
        <v>0</v>
      </c>
      <c r="AX115" s="28">
        <f t="shared" si="202"/>
        <v>0</v>
      </c>
      <c r="AY115" s="28">
        <f t="shared" si="202"/>
        <v>0</v>
      </c>
      <c r="AZ115" s="28">
        <f t="shared" si="202"/>
        <v>0</v>
      </c>
      <c r="BA115" s="28">
        <f t="shared" si="202"/>
        <v>0</v>
      </c>
      <c r="BB115" s="28">
        <f t="shared" si="202"/>
        <v>0</v>
      </c>
      <c r="BC115" s="28">
        <f t="shared" si="202"/>
        <v>0</v>
      </c>
      <c r="BD115" s="28">
        <f t="shared" si="202"/>
        <v>0</v>
      </c>
      <c r="BE115" s="28">
        <f t="shared" si="202"/>
        <v>0</v>
      </c>
      <c r="BF115" s="27">
        <f>SUM(AL115:BD115)</f>
        <v>1</v>
      </c>
      <c r="BG115" s="520">
        <f t="shared" si="157"/>
        <v>1.0013788876313259</v>
      </c>
      <c r="BH115" s="520">
        <f t="shared" si="181"/>
        <v>1.0026350070272714</v>
      </c>
      <c r="BI115" s="520">
        <f t="shared" si="182"/>
        <v>1.0039944673298349</v>
      </c>
      <c r="BJ115" s="520">
        <f t="shared" si="183"/>
        <v>1.0055648032156956</v>
      </c>
      <c r="BK115" s="520">
        <f t="shared" si="184"/>
        <v>1.0078525928249935</v>
      </c>
      <c r="BL115" s="520">
        <f t="shared" si="185"/>
        <v>1.0104259499867456</v>
      </c>
      <c r="BM115" s="520">
        <f t="shared" si="186"/>
        <v>1.0121487427420144</v>
      </c>
      <c r="BN115" s="521" t="str">
        <f t="shared" si="187"/>
        <v>Category</v>
      </c>
      <c r="BP115" s="3"/>
      <c r="BQ115" s="3"/>
    </row>
    <row r="116" spans="1:69" hidden="1" x14ac:dyDescent="0.15">
      <c r="A116" s="12" t="s">
        <v>248</v>
      </c>
      <c r="B116" s="13" t="s">
        <v>249</v>
      </c>
      <c r="C116" s="13" t="s">
        <v>27</v>
      </c>
      <c r="D116" s="13" t="s">
        <v>28</v>
      </c>
      <c r="E116" s="13" t="s">
        <v>29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5">
        <v>0</v>
      </c>
      <c r="N116" s="670">
        <v>5538.17</v>
      </c>
      <c r="O116" s="14">
        <v>366.94</v>
      </c>
      <c r="P116" s="15">
        <v>59297.46</v>
      </c>
      <c r="Q116" s="15">
        <f>IF(ISTEXT('Incurred 2.5% cpi'!Q116),"",'Incurred 2.5% cpi'!Q116/'Incurred 2.5% cpi'!Q$17*Incurred!Q$17)</f>
        <v>254711.33</v>
      </c>
      <c r="R116" s="110">
        <f>IF(ISTEXT('Incurred 2.5% cpi'!R116),"",'Incurred 2.5% cpi'!R116/'Incurred 2.5% cpi'!R$17*Incurred!R$17*BG116)</f>
        <v>624659.66405189515</v>
      </c>
      <c r="S116" s="102">
        <f>IF(ISTEXT('Incurred 2.5% cpi'!S116),"",'Incurred 2.5% cpi'!S116/'Incurred 2.5% cpi'!S$17*Incurred!S$17*BH116)</f>
        <v>49350.885424282314</v>
      </c>
      <c r="T116" s="16">
        <f>IF(ISTEXT('Incurred 2.5% cpi'!T116),"",'Incurred 2.5% cpi'!T116/'Incurred 2.5% cpi'!T$17*Incurred!T$17*BI116)</f>
        <v>490174.72165628662</v>
      </c>
      <c r="U116" s="16">
        <f>IF(ISTEXT('Incurred 2.5% cpi'!U116),"",'Incurred 2.5% cpi'!U116/'Incurred 2.5% cpi'!U$17*Incurred!U$17*BJ116)</f>
        <v>11742.40199334331</v>
      </c>
      <c r="V116" s="16" t="str">
        <f>IF(ISTEXT('Incurred 2.5% cpi'!V116),"",'Incurred 2.5% cpi'!V116/'Incurred 2.5% cpi'!V$17*Incurred!V$17*BK116)</f>
        <v/>
      </c>
      <c r="W116" s="110" t="str">
        <f>IF(ISTEXT('Incurred 2.5% cpi'!W116),"",'Incurred 2.5% cpi'!W116/'Incurred 2.5% cpi'!W$17*Incurred!W$17*BL116)</f>
        <v/>
      </c>
      <c r="X116" s="102" t="str">
        <f>IF(ISTEXT('Incurred 2.5% cpi'!X116),"",'Incurred 2.5% cpi'!X116/'Incurred 2.5% cpi'!X$17*Incurred!X$17*BM116)</f>
        <v/>
      </c>
      <c r="Y116" s="80">
        <f t="shared" si="156"/>
        <v>1495841.5731258073</v>
      </c>
      <c r="Z116" s="80">
        <f t="shared" si="172"/>
        <v>1495841.5731258073</v>
      </c>
      <c r="AA116" s="566">
        <f t="shared" si="173"/>
        <v>1674209.9704708154</v>
      </c>
      <c r="AB116" s="566">
        <f t="shared" si="174"/>
        <v>1554670.3923351693</v>
      </c>
      <c r="AC116" s="567">
        <f t="shared" si="194"/>
        <v>1.0768906249999999</v>
      </c>
      <c r="AD116" s="568" t="str">
        <f t="shared" si="175"/>
        <v>2021</v>
      </c>
      <c r="AE116" s="569">
        <v>43726</v>
      </c>
      <c r="AF116" s="568">
        <v>2020</v>
      </c>
      <c r="AG116" s="569"/>
      <c r="AH116" s="566">
        <f t="shared" si="198"/>
        <v>1479757.6607592332</v>
      </c>
      <c r="AI116" s="80">
        <f t="shared" si="176"/>
        <v>11742.40199334331</v>
      </c>
      <c r="AJ116" s="571" t="s">
        <v>0</v>
      </c>
      <c r="AK116" s="875">
        <f t="shared" ref="AK116:AK122" si="203">IF(ISNA(VLOOKUP(LEFT($A116,8),Estimates,72,FALSE)),0,VLOOKUP(LEFT($A116,8),Estimates,72,FALSE))</f>
        <v>2310800.0300158872</v>
      </c>
      <c r="AL116" s="28">
        <f t="shared" ref="AL116:AU117" si="204">IF($AK116=0,VLOOKUP(MID($A116,4,5),ProjectSplits,AL$23,FALSE),IF(ISNA(VLOOKUP($A116,Estimates,AL$22,FALSE)),VLOOKUP(MID($A116,4,5),ProjectSplits,AL$23,FALSE),VLOOKUP($A116,Estimates,AL$22,FALSE)))</f>
        <v>0</v>
      </c>
      <c r="AM116" s="28">
        <f t="shared" si="204"/>
        <v>0</v>
      </c>
      <c r="AN116" s="28">
        <f t="shared" si="204"/>
        <v>0</v>
      </c>
      <c r="AO116" s="28">
        <f t="shared" si="204"/>
        <v>0.36783797341138008</v>
      </c>
      <c r="AP116" s="28">
        <f t="shared" si="204"/>
        <v>0</v>
      </c>
      <c r="AQ116" s="28">
        <f t="shared" si="204"/>
        <v>0</v>
      </c>
      <c r="AR116" s="28">
        <f t="shared" si="204"/>
        <v>0</v>
      </c>
      <c r="AS116" s="28">
        <f t="shared" si="204"/>
        <v>0</v>
      </c>
      <c r="AT116" s="28">
        <f t="shared" si="204"/>
        <v>0</v>
      </c>
      <c r="AU116" s="28">
        <f t="shared" si="204"/>
        <v>0</v>
      </c>
      <c r="AV116" s="28">
        <f t="shared" ref="AV116:BE117" si="205">IF($AK116=0,VLOOKUP(MID($A116,4,5),ProjectSplits,AV$23,FALSE),IF(ISNA(VLOOKUP($A116,Estimates,AV$22,FALSE)),VLOOKUP(MID($A116,4,5),ProjectSplits,AV$23,FALSE),VLOOKUP($A116,Estimates,AV$22,FALSE)))</f>
        <v>0</v>
      </c>
      <c r="AW116" s="28">
        <f t="shared" si="205"/>
        <v>0</v>
      </c>
      <c r="AX116" s="28">
        <f t="shared" si="205"/>
        <v>0</v>
      </c>
      <c r="AY116" s="28">
        <f t="shared" si="205"/>
        <v>0</v>
      </c>
      <c r="AZ116" s="28">
        <f t="shared" si="205"/>
        <v>0.63216202658861986</v>
      </c>
      <c r="BA116" s="28">
        <f t="shared" si="205"/>
        <v>0</v>
      </c>
      <c r="BB116" s="28">
        <f t="shared" si="205"/>
        <v>0</v>
      </c>
      <c r="BC116" s="28">
        <f t="shared" si="205"/>
        <v>0</v>
      </c>
      <c r="BD116" s="28">
        <f t="shared" si="205"/>
        <v>0</v>
      </c>
      <c r="BE116" s="28">
        <f t="shared" si="205"/>
        <v>0</v>
      </c>
      <c r="BF116" s="27">
        <f t="shared" ref="BF116:BF117" si="206">SUM(AL116:BD116)</f>
        <v>1</v>
      </c>
      <c r="BG116" s="809">
        <f t="shared" ref="BG116:BL116" si="207">IF(LabIn=0,1,BN387)</f>
        <v>1.0030444840366091</v>
      </c>
      <c r="BH116" s="809">
        <f t="shared" si="207"/>
        <v>1.0064387558699168</v>
      </c>
      <c r="BI116" s="809">
        <f t="shared" si="207"/>
        <v>1.0161083275766507</v>
      </c>
      <c r="BJ116" s="809">
        <f t="shared" si="207"/>
        <v>1.0233030059558439</v>
      </c>
      <c r="BK116" s="809">
        <f t="shared" si="207"/>
        <v>1.0212125447227214</v>
      </c>
      <c r="BL116" s="809">
        <f t="shared" si="207"/>
        <v>1.0275283164069149</v>
      </c>
      <c r="BM116" s="520">
        <f t="shared" si="186"/>
        <v>1.026823544212498</v>
      </c>
      <c r="BN116" s="521" t="s">
        <v>3148</v>
      </c>
      <c r="BP116" s="3"/>
    </row>
    <row r="117" spans="1:69" hidden="1" x14ac:dyDescent="0.15">
      <c r="A117" s="12" t="s">
        <v>250</v>
      </c>
      <c r="B117" s="13" t="s">
        <v>251</v>
      </c>
      <c r="C117" s="13" t="s">
        <v>27</v>
      </c>
      <c r="D117" s="13" t="s">
        <v>54</v>
      </c>
      <c r="E117" s="13" t="s">
        <v>29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5">
        <v>0</v>
      </c>
      <c r="N117" s="670">
        <v>68794.92</v>
      </c>
      <c r="O117" s="14">
        <v>-68794.92</v>
      </c>
      <c r="P117" s="15">
        <v>41663.269999999997</v>
      </c>
      <c r="Q117" s="15">
        <f>IF(ISTEXT('Incurred 2.5% cpi'!Q117),"",'Incurred 2.5% cpi'!Q117/'Incurred 2.5% cpi'!Q$17*Incurred!Q$17)</f>
        <v>90058.53</v>
      </c>
      <c r="R117" s="110">
        <f>IF(ISTEXT('Incurred 2.5% cpi'!R117),"",'Incurred 2.5% cpi'!R117/'Incurred 2.5% cpi'!R$17*Incurred!R$17*BG117)</f>
        <v>908751.04911305627</v>
      </c>
      <c r="S117" s="102">
        <f>IF(ISTEXT('Incurred 2.5% cpi'!S117),"",'Incurred 2.5% cpi'!S117/'Incurred 2.5% cpi'!S$17*Incurred!S$17*BH117)</f>
        <v>152394.52407959808</v>
      </c>
      <c r="T117" s="16" t="str">
        <f>IF(ISTEXT('Incurred 2.5% cpi'!T117),"",'Incurred 2.5% cpi'!T117/'Incurred 2.5% cpi'!T$17*Incurred!T$17*BI117)</f>
        <v/>
      </c>
      <c r="U117" s="16" t="str">
        <f>IF(ISTEXT('Incurred 2.5% cpi'!U117),"",'Incurred 2.5% cpi'!U117/'Incurred 2.5% cpi'!U$17*Incurred!U$17*BJ117)</f>
        <v/>
      </c>
      <c r="V117" s="16" t="str">
        <f>IF(ISTEXT('Incurred 2.5% cpi'!V117),"",'Incurred 2.5% cpi'!V117/'Incurred 2.5% cpi'!V$17*Incurred!V$17*BK117)</f>
        <v/>
      </c>
      <c r="W117" s="110" t="str">
        <f>IF(ISTEXT('Incurred 2.5% cpi'!W117),"",'Incurred 2.5% cpi'!W117/'Incurred 2.5% cpi'!W$17*Incurred!W$17*BL117)</f>
        <v/>
      </c>
      <c r="X117" s="102" t="str">
        <f>IF(ISTEXT('Incurred 2.5% cpi'!X117),"",'Incurred 2.5% cpi'!X117/'Incurred 2.5% cpi'!X$17*Incurred!X$17*BM117)</f>
        <v/>
      </c>
      <c r="Y117" s="80">
        <f t="shared" si="156"/>
        <v>1192867.3731926542</v>
      </c>
      <c r="Z117" s="80">
        <f t="shared" si="172"/>
        <v>1330457.2131926543</v>
      </c>
      <c r="AA117" s="566">
        <f t="shared" si="173"/>
        <v>1351263.8308460414</v>
      </c>
      <c r="AB117" s="566">
        <f t="shared" si="174"/>
        <v>1224178.3388495583</v>
      </c>
      <c r="AC117" s="567">
        <f t="shared" si="194"/>
        <v>1.1038128906249998</v>
      </c>
      <c r="AD117" s="568" t="str">
        <f t="shared" si="175"/>
        <v>2019</v>
      </c>
      <c r="AE117" s="569">
        <v>43398</v>
      </c>
      <c r="AF117" s="568">
        <v>2019</v>
      </c>
      <c r="AG117" s="569"/>
      <c r="AH117" s="566">
        <f t="shared" si="198"/>
        <v>1194320.3305849349</v>
      </c>
      <c r="AI117" s="80">
        <f t="shared" si="176"/>
        <v>152394.52407959808</v>
      </c>
      <c r="AJ117" s="571" t="s">
        <v>3035</v>
      </c>
      <c r="AK117" s="875">
        <f t="shared" si="203"/>
        <v>2282535.557429288</v>
      </c>
      <c r="AL117" s="28">
        <f t="shared" si="204"/>
        <v>0</v>
      </c>
      <c r="AM117" s="28">
        <f t="shared" si="204"/>
        <v>0</v>
      </c>
      <c r="AN117" s="28">
        <f t="shared" si="204"/>
        <v>0.26286556542595613</v>
      </c>
      <c r="AO117" s="28">
        <f t="shared" si="204"/>
        <v>0.21905463788836929</v>
      </c>
      <c r="AP117" s="28">
        <f t="shared" si="204"/>
        <v>0</v>
      </c>
      <c r="AQ117" s="28">
        <f t="shared" si="204"/>
        <v>1.0952731894418465E-2</v>
      </c>
      <c r="AR117" s="28">
        <f t="shared" si="204"/>
        <v>0</v>
      </c>
      <c r="AS117" s="28">
        <f t="shared" si="204"/>
        <v>0</v>
      </c>
      <c r="AT117" s="28">
        <f t="shared" si="204"/>
        <v>0</v>
      </c>
      <c r="AU117" s="28">
        <f t="shared" si="204"/>
        <v>0.1655332537889285</v>
      </c>
      <c r="AV117" s="28">
        <f t="shared" si="205"/>
        <v>0</v>
      </c>
      <c r="AW117" s="28">
        <f t="shared" si="205"/>
        <v>3.2858195683255391E-3</v>
      </c>
      <c r="AX117" s="28">
        <f t="shared" si="205"/>
        <v>0</v>
      </c>
      <c r="AY117" s="28">
        <f t="shared" si="205"/>
        <v>0</v>
      </c>
      <c r="AZ117" s="28">
        <f t="shared" si="205"/>
        <v>0.33830799143400192</v>
      </c>
      <c r="BA117" s="28">
        <f t="shared" si="205"/>
        <v>0</v>
      </c>
      <c r="BB117" s="28">
        <f t="shared" si="205"/>
        <v>0</v>
      </c>
      <c r="BC117" s="28">
        <f t="shared" si="205"/>
        <v>0</v>
      </c>
      <c r="BD117" s="28">
        <f t="shared" si="205"/>
        <v>0</v>
      </c>
      <c r="BE117" s="28">
        <f t="shared" si="205"/>
        <v>0</v>
      </c>
      <c r="BF117" s="27">
        <f t="shared" si="206"/>
        <v>0.99999999999999978</v>
      </c>
      <c r="BG117" s="520">
        <f t="shared" si="157"/>
        <v>1.0030818160192299</v>
      </c>
      <c r="BH117" s="520">
        <f t="shared" si="181"/>
        <v>1.0058892448397847</v>
      </c>
      <c r="BI117" s="520">
        <f t="shared" si="182"/>
        <v>1.0089276407487533</v>
      </c>
      <c r="BJ117" s="520">
        <f t="shared" si="183"/>
        <v>1.0124373439172154</v>
      </c>
      <c r="BK117" s="520">
        <f t="shared" si="184"/>
        <v>1.0175505572831101</v>
      </c>
      <c r="BL117" s="520">
        <f t="shared" si="185"/>
        <v>1.023302014576742</v>
      </c>
      <c r="BM117" s="520">
        <f t="shared" si="186"/>
        <v>1.0271524590875074</v>
      </c>
      <c r="BN117" s="521" t="str">
        <f t="shared" si="187"/>
        <v>Category</v>
      </c>
      <c r="BP117" s="3"/>
    </row>
    <row r="118" spans="1:69" hidden="1" x14ac:dyDescent="0.15">
      <c r="A118" s="12" t="s">
        <v>252</v>
      </c>
      <c r="B118" s="13" t="s">
        <v>253</v>
      </c>
      <c r="C118" s="13" t="s">
        <v>27</v>
      </c>
      <c r="D118" s="13" t="s">
        <v>36</v>
      </c>
      <c r="E118" s="13" t="s">
        <v>29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5">
        <v>0</v>
      </c>
      <c r="N118" s="670"/>
      <c r="O118" s="14"/>
      <c r="P118" s="15">
        <v>26995.38</v>
      </c>
      <c r="Q118" s="15">
        <f>IF(ISTEXT('Incurred 2.5% cpi'!Q118),"",'Incurred 2.5% cpi'!Q118/'Incurred 2.5% cpi'!Q$17*Incurred!Q$17)</f>
        <v>10361.02</v>
      </c>
      <c r="R118" s="110" t="str">
        <f>IF(ISTEXT('Incurred 2.5% cpi'!R118),"",'Incurred 2.5% cpi'!R118/'Incurred 2.5% cpi'!R$17*Incurred!R$17*BG118)</f>
        <v/>
      </c>
      <c r="S118" s="102" t="str">
        <f>IF(ISTEXT('Incurred 2.5% cpi'!S118),"",'Incurred 2.5% cpi'!S118/'Incurred 2.5% cpi'!S$17*Incurred!S$17*BH118)</f>
        <v/>
      </c>
      <c r="T118" s="16" t="str">
        <f>IF(ISTEXT('Incurred 2.5% cpi'!T118),"",'Incurred 2.5% cpi'!T118/'Incurred 2.5% cpi'!T$17*Incurred!T$17*BI118)</f>
        <v/>
      </c>
      <c r="U118" s="16" t="str">
        <f>IF(ISTEXT('Incurred 2.5% cpi'!U118),"",'Incurred 2.5% cpi'!U118/'Incurred 2.5% cpi'!U$17*Incurred!U$17*BJ118)</f>
        <v/>
      </c>
      <c r="V118" s="16" t="str">
        <f>IF(ISTEXT('Incurred 2.5% cpi'!V118),"",'Incurred 2.5% cpi'!V118/'Incurred 2.5% cpi'!V$17*Incurred!V$17*BK118)</f>
        <v/>
      </c>
      <c r="W118" s="110" t="str">
        <f>IF(ISTEXT('Incurred 2.5% cpi'!W118),"",'Incurred 2.5% cpi'!W118/'Incurred 2.5% cpi'!W$17*Incurred!W$17*BL118)</f>
        <v/>
      </c>
      <c r="X118" s="102" t="str">
        <f>IF(ISTEXT('Incurred 2.5% cpi'!X118),"",'Incurred 2.5% cpi'!X118/'Incurred 2.5% cpi'!X$17*Incurred!X$17*BM118)</f>
        <v/>
      </c>
      <c r="Y118" s="80">
        <f t="shared" si="156"/>
        <v>37356.400000000001</v>
      </c>
      <c r="Z118" s="80">
        <f t="shared" si="172"/>
        <v>37356.400000000001</v>
      </c>
      <c r="AA118" s="566">
        <f t="shared" si="173"/>
        <v>43987.448457377068</v>
      </c>
      <c r="AB118" s="566">
        <f t="shared" si="174"/>
        <v>37930.238946395482</v>
      </c>
      <c r="AC118" s="567">
        <f t="shared" si="194"/>
        <v>1.1596934182128902</v>
      </c>
      <c r="AD118" s="568" t="str">
        <f t="shared" si="175"/>
        <v>2017</v>
      </c>
      <c r="AE118" s="569">
        <v>42495</v>
      </c>
      <c r="AF118" s="568" t="s">
        <v>3152</v>
      </c>
      <c r="AG118" s="569"/>
      <c r="AH118" s="566">
        <f t="shared" ref="AH118:AH132" si="208">IF(ROUND(Y118,0)=0,0,SUMPRODUCT($F$19:$W$19,F118:W118))</f>
        <v>38878.494920055367</v>
      </c>
      <c r="AI118" s="80">
        <f t="shared" si="176"/>
        <v>10361.02</v>
      </c>
      <c r="AJ118" s="571" t="s">
        <v>0</v>
      </c>
      <c r="AK118" s="875">
        <f t="shared" si="203"/>
        <v>43999.999999999985</v>
      </c>
      <c r="AL118" s="28">
        <f t="shared" ref="AL118:AU126" si="209">IF($AK118=0,VLOOKUP(MID($A118,4,5),ProjectSplits,AL$23,FALSE),IF(ISNA(VLOOKUP($A118,Estimates,AL$22,FALSE)),VLOOKUP(MID($A118,4,5),ProjectSplits,AL$23,FALSE),VLOOKUP($A118,Estimates,AL$22,FALSE)))</f>
        <v>0.90909090909090906</v>
      </c>
      <c r="AM118" s="28">
        <f t="shared" si="209"/>
        <v>0</v>
      </c>
      <c r="AN118" s="28">
        <f t="shared" si="209"/>
        <v>0</v>
      </c>
      <c r="AO118" s="28">
        <f t="shared" si="209"/>
        <v>0</v>
      </c>
      <c r="AP118" s="28">
        <f t="shared" si="209"/>
        <v>0</v>
      </c>
      <c r="AQ118" s="28">
        <f t="shared" si="209"/>
        <v>0</v>
      </c>
      <c r="AR118" s="28">
        <f t="shared" si="209"/>
        <v>0</v>
      </c>
      <c r="AS118" s="28">
        <f t="shared" si="209"/>
        <v>9.0909090909090912E-2</v>
      </c>
      <c r="AT118" s="28">
        <f t="shared" si="209"/>
        <v>0</v>
      </c>
      <c r="AU118" s="28">
        <f t="shared" si="209"/>
        <v>0</v>
      </c>
      <c r="AV118" s="28">
        <f t="shared" ref="AV118:BE126" si="210">IF($AK118=0,VLOOKUP(MID($A118,4,5),ProjectSplits,AV$23,FALSE),IF(ISNA(VLOOKUP($A118,Estimates,AV$22,FALSE)),VLOOKUP(MID($A118,4,5),ProjectSplits,AV$23,FALSE),VLOOKUP($A118,Estimates,AV$22,FALSE)))</f>
        <v>0</v>
      </c>
      <c r="AW118" s="28">
        <f t="shared" si="210"/>
        <v>0</v>
      </c>
      <c r="AX118" s="28">
        <f t="shared" si="210"/>
        <v>0</v>
      </c>
      <c r="AY118" s="28">
        <f t="shared" si="210"/>
        <v>0</v>
      </c>
      <c r="AZ118" s="28">
        <f t="shared" si="210"/>
        <v>0</v>
      </c>
      <c r="BA118" s="28">
        <f t="shared" si="210"/>
        <v>0</v>
      </c>
      <c r="BB118" s="28">
        <f t="shared" si="210"/>
        <v>0</v>
      </c>
      <c r="BC118" s="28">
        <f t="shared" si="210"/>
        <v>0</v>
      </c>
      <c r="BD118" s="28">
        <f t="shared" si="210"/>
        <v>0</v>
      </c>
      <c r="BE118" s="28">
        <f t="shared" si="210"/>
        <v>0</v>
      </c>
      <c r="BF118" s="27">
        <f t="shared" ref="BF118:BF132" si="211">SUM(AL118:BD118)</f>
        <v>1</v>
      </c>
      <c r="BG118" s="520">
        <f t="shared" si="157"/>
        <v>1.0018756098697492</v>
      </c>
      <c r="BH118" s="520">
        <f t="shared" si="181"/>
        <v>1.0035842262088148</v>
      </c>
      <c r="BI118" s="520">
        <f t="shared" si="182"/>
        <v>1.0054334103650095</v>
      </c>
      <c r="BJ118" s="520">
        <f t="shared" si="183"/>
        <v>1.007569434664183</v>
      </c>
      <c r="BK118" s="520">
        <f t="shared" si="184"/>
        <v>1.0106813639277612</v>
      </c>
      <c r="BL118" s="520">
        <f t="shared" si="185"/>
        <v>1.0141817318919957</v>
      </c>
      <c r="BM118" s="520">
        <f t="shared" si="186"/>
        <v>1.0165251332119476</v>
      </c>
      <c r="BN118" s="521" t="str">
        <f t="shared" si="187"/>
        <v>Category</v>
      </c>
      <c r="BP118" s="3"/>
    </row>
    <row r="119" spans="1:69" hidden="1" x14ac:dyDescent="0.15">
      <c r="A119" s="12" t="s">
        <v>254</v>
      </c>
      <c r="B119" s="13" t="s">
        <v>2375</v>
      </c>
      <c r="C119" s="13" t="s">
        <v>27</v>
      </c>
      <c r="D119" s="13" t="s">
        <v>36</v>
      </c>
      <c r="E119" s="13" t="s">
        <v>32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5">
        <v>0</v>
      </c>
      <c r="N119" s="670"/>
      <c r="O119" s="14"/>
      <c r="P119" s="15">
        <v>76855.67</v>
      </c>
      <c r="Q119" s="15">
        <f>IF(ISTEXT('Incurred 2.5% cpi'!Q119),"",'Incurred 2.5% cpi'!Q119/'Incurred 2.5% cpi'!Q$17*Incurred!Q$17)</f>
        <v>160.63999999999999</v>
      </c>
      <c r="R119" s="110" t="str">
        <f>IF(ISTEXT('Incurred 2.5% cpi'!R119),"",'Incurred 2.5% cpi'!R119/'Incurred 2.5% cpi'!R$17*Incurred!R$17*BG119)</f>
        <v/>
      </c>
      <c r="S119" s="102" t="str">
        <f>IF(ISTEXT('Incurred 2.5% cpi'!S119),"",'Incurred 2.5% cpi'!S119/'Incurred 2.5% cpi'!S$17*Incurred!S$17*BH119)</f>
        <v/>
      </c>
      <c r="T119" s="16" t="str">
        <f>IF(ISTEXT('Incurred 2.5% cpi'!T119),"",'Incurred 2.5% cpi'!T119/'Incurred 2.5% cpi'!T$17*Incurred!T$17*BI119)</f>
        <v/>
      </c>
      <c r="U119" s="16" t="str">
        <f>IF(ISTEXT('Incurred 2.5% cpi'!U119),"",'Incurred 2.5% cpi'!U119/'Incurred 2.5% cpi'!U$17*Incurred!U$17*BJ119)</f>
        <v/>
      </c>
      <c r="V119" s="16" t="str">
        <f>IF(ISTEXT('Incurred 2.5% cpi'!V119),"",'Incurred 2.5% cpi'!V119/'Incurred 2.5% cpi'!V$17*Incurred!V$17*BK119)</f>
        <v/>
      </c>
      <c r="W119" s="110" t="str">
        <f>IF(ISTEXT('Incurred 2.5% cpi'!W119),"",'Incurred 2.5% cpi'!W119/'Incurred 2.5% cpi'!W$17*Incurred!W$17*BL119)</f>
        <v/>
      </c>
      <c r="X119" s="102" t="str">
        <f>IF(ISTEXT('Incurred 2.5% cpi'!X119),"",'Incurred 2.5% cpi'!X119/'Incurred 2.5% cpi'!X$17*Incurred!X$17*BM119)</f>
        <v/>
      </c>
      <c r="Y119" s="80">
        <f t="shared" si="156"/>
        <v>77016.31</v>
      </c>
      <c r="Z119" s="80">
        <f t="shared" si="172"/>
        <v>77016.31</v>
      </c>
      <c r="AA119" s="566">
        <f t="shared" si="173"/>
        <v>91209.917170787186</v>
      </c>
      <c r="AB119" s="566">
        <f t="shared" si="174"/>
        <v>78650.025720887003</v>
      </c>
      <c r="AC119" s="567">
        <f t="shared" si="194"/>
        <v>1.1596934182128902</v>
      </c>
      <c r="AD119" s="568" t="str">
        <f t="shared" si="175"/>
        <v>2017</v>
      </c>
      <c r="AE119" s="569">
        <v>42451</v>
      </c>
      <c r="AF119" s="568" t="s">
        <v>3152</v>
      </c>
      <c r="AG119" s="569"/>
      <c r="AH119" s="566">
        <f t="shared" si="208"/>
        <v>80616.276363909186</v>
      </c>
      <c r="AI119" s="80">
        <f t="shared" si="176"/>
        <v>160.63999999999999</v>
      </c>
      <c r="AJ119" s="571" t="s">
        <v>0</v>
      </c>
      <c r="AK119" s="875">
        <f t="shared" si="203"/>
        <v>58499.999999999978</v>
      </c>
      <c r="AL119" s="28">
        <f t="shared" si="209"/>
        <v>0.24444444444444444</v>
      </c>
      <c r="AM119" s="28">
        <f t="shared" si="209"/>
        <v>0</v>
      </c>
      <c r="AN119" s="28">
        <f t="shared" si="209"/>
        <v>0</v>
      </c>
      <c r="AO119" s="28">
        <f t="shared" si="209"/>
        <v>0</v>
      </c>
      <c r="AP119" s="28">
        <f t="shared" si="209"/>
        <v>0</v>
      </c>
      <c r="AQ119" s="28">
        <f t="shared" si="209"/>
        <v>0</v>
      </c>
      <c r="AR119" s="28">
        <f t="shared" si="209"/>
        <v>0</v>
      </c>
      <c r="AS119" s="28">
        <f t="shared" si="209"/>
        <v>0.75555555555555554</v>
      </c>
      <c r="AT119" s="28">
        <f t="shared" si="209"/>
        <v>0</v>
      </c>
      <c r="AU119" s="28">
        <f t="shared" si="209"/>
        <v>0</v>
      </c>
      <c r="AV119" s="28">
        <f t="shared" si="210"/>
        <v>0</v>
      </c>
      <c r="AW119" s="28">
        <f t="shared" si="210"/>
        <v>0</v>
      </c>
      <c r="AX119" s="28">
        <f t="shared" si="210"/>
        <v>0</v>
      </c>
      <c r="AY119" s="28">
        <f t="shared" si="210"/>
        <v>0</v>
      </c>
      <c r="AZ119" s="28">
        <f t="shared" si="210"/>
        <v>0</v>
      </c>
      <c r="BA119" s="28">
        <f t="shared" si="210"/>
        <v>0</v>
      </c>
      <c r="BB119" s="28">
        <f t="shared" si="210"/>
        <v>0</v>
      </c>
      <c r="BC119" s="28">
        <f t="shared" si="210"/>
        <v>0</v>
      </c>
      <c r="BD119" s="28">
        <f t="shared" si="210"/>
        <v>0</v>
      </c>
      <c r="BE119" s="28">
        <f t="shared" si="210"/>
        <v>0</v>
      </c>
      <c r="BF119" s="27">
        <f t="shared" si="211"/>
        <v>1</v>
      </c>
      <c r="BG119" s="520">
        <f t="shared" si="157"/>
        <v>1.0018756098697492</v>
      </c>
      <c r="BH119" s="520">
        <f t="shared" si="181"/>
        <v>1.0035842262088148</v>
      </c>
      <c r="BI119" s="520">
        <f t="shared" si="182"/>
        <v>1.0054334103650095</v>
      </c>
      <c r="BJ119" s="520">
        <f t="shared" si="183"/>
        <v>1.007569434664183</v>
      </c>
      <c r="BK119" s="520">
        <f t="shared" si="184"/>
        <v>1.0106813639277612</v>
      </c>
      <c r="BL119" s="520">
        <f t="shared" si="185"/>
        <v>1.0141817318919957</v>
      </c>
      <c r="BM119" s="520">
        <f t="shared" si="186"/>
        <v>1.0165251332119476</v>
      </c>
      <c r="BN119" s="521" t="str">
        <f t="shared" si="187"/>
        <v>Category</v>
      </c>
      <c r="BP119" s="3"/>
    </row>
    <row r="120" spans="1:69" hidden="1" x14ac:dyDescent="0.15">
      <c r="A120" s="12" t="s">
        <v>255</v>
      </c>
      <c r="B120" s="13" t="s">
        <v>256</v>
      </c>
      <c r="C120" s="13" t="s">
        <v>27</v>
      </c>
      <c r="D120" s="13" t="s">
        <v>36</v>
      </c>
      <c r="E120" s="13" t="s">
        <v>29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5">
        <v>0</v>
      </c>
      <c r="N120" s="670"/>
      <c r="O120" s="14"/>
      <c r="P120" s="15">
        <v>52854.23</v>
      </c>
      <c r="Q120" s="15">
        <f>IF(ISTEXT('Incurred 2.5% cpi'!Q120),"",'Incurred 2.5% cpi'!Q120/'Incurred 2.5% cpi'!Q$17*Incurred!Q$17)</f>
        <v>119018.32</v>
      </c>
      <c r="R120" s="110" t="str">
        <f>IF(ISTEXT('Incurred 2.5% cpi'!R120),"",'Incurred 2.5% cpi'!R120/'Incurred 2.5% cpi'!R$17*Incurred!R$17*BG120)</f>
        <v/>
      </c>
      <c r="S120" s="102" t="str">
        <f>IF(ISTEXT('Incurred 2.5% cpi'!S120),"",'Incurred 2.5% cpi'!S120/'Incurred 2.5% cpi'!S$17*Incurred!S$17*BH120)</f>
        <v/>
      </c>
      <c r="T120" s="16" t="str">
        <f>IF(ISTEXT('Incurred 2.5% cpi'!T120),"",'Incurred 2.5% cpi'!T120/'Incurred 2.5% cpi'!T$17*Incurred!T$17*BI120)</f>
        <v/>
      </c>
      <c r="U120" s="16" t="str">
        <f>IF(ISTEXT('Incurred 2.5% cpi'!U120),"",'Incurred 2.5% cpi'!U120/'Incurred 2.5% cpi'!U$17*Incurred!U$17*BJ120)</f>
        <v/>
      </c>
      <c r="V120" s="16" t="str">
        <f>IF(ISTEXT('Incurred 2.5% cpi'!V120),"",'Incurred 2.5% cpi'!V120/'Incurred 2.5% cpi'!V$17*Incurred!V$17*BK120)</f>
        <v/>
      </c>
      <c r="W120" s="110" t="str">
        <f>IF(ISTEXT('Incurred 2.5% cpi'!W120),"",'Incurred 2.5% cpi'!W120/'Incurred 2.5% cpi'!W$17*Incurred!W$17*BL120)</f>
        <v/>
      </c>
      <c r="X120" s="102" t="str">
        <f>IF(ISTEXT('Incurred 2.5% cpi'!X120),"",'Incurred 2.5% cpi'!X120/'Incurred 2.5% cpi'!X$17*Incurred!X$17*BM120)</f>
        <v/>
      </c>
      <c r="Y120" s="80">
        <f t="shared" si="156"/>
        <v>171872.55000000002</v>
      </c>
      <c r="Z120" s="80">
        <f t="shared" si="172"/>
        <v>171872.55000000002</v>
      </c>
      <c r="AA120" s="566">
        <f t="shared" si="173"/>
        <v>200622.40230875899</v>
      </c>
      <c r="AB120" s="566">
        <f t="shared" si="174"/>
        <v>172996.06875231038</v>
      </c>
      <c r="AC120" s="567">
        <f t="shared" si="194"/>
        <v>1.1596934182128902</v>
      </c>
      <c r="AD120" s="568" t="str">
        <f t="shared" si="175"/>
        <v>2017</v>
      </c>
      <c r="AE120" s="569">
        <v>42590</v>
      </c>
      <c r="AF120" s="568">
        <v>2017</v>
      </c>
      <c r="AG120" s="569"/>
      <c r="AH120" s="566">
        <f t="shared" si="208"/>
        <v>177320.97047111811</v>
      </c>
      <c r="AI120" s="80">
        <f t="shared" si="176"/>
        <v>119018.32</v>
      </c>
      <c r="AJ120" s="571" t="s">
        <v>0</v>
      </c>
      <c r="AK120" s="875">
        <f t="shared" si="203"/>
        <v>67999.999999999971</v>
      </c>
      <c r="AL120" s="28">
        <f t="shared" si="209"/>
        <v>0.25</v>
      </c>
      <c r="AM120" s="28">
        <f t="shared" si="209"/>
        <v>0</v>
      </c>
      <c r="AN120" s="28">
        <f t="shared" si="209"/>
        <v>0</v>
      </c>
      <c r="AO120" s="28">
        <f t="shared" si="209"/>
        <v>0</v>
      </c>
      <c r="AP120" s="28">
        <f t="shared" si="209"/>
        <v>0</v>
      </c>
      <c r="AQ120" s="28">
        <f t="shared" si="209"/>
        <v>0</v>
      </c>
      <c r="AR120" s="28">
        <f t="shared" si="209"/>
        <v>0</v>
      </c>
      <c r="AS120" s="28">
        <f t="shared" si="209"/>
        <v>0.75</v>
      </c>
      <c r="AT120" s="28">
        <f t="shared" si="209"/>
        <v>0</v>
      </c>
      <c r="AU120" s="28">
        <f t="shared" si="209"/>
        <v>0</v>
      </c>
      <c r="AV120" s="28">
        <f t="shared" si="210"/>
        <v>0</v>
      </c>
      <c r="AW120" s="28">
        <f t="shared" si="210"/>
        <v>0</v>
      </c>
      <c r="AX120" s="28">
        <f t="shared" si="210"/>
        <v>0</v>
      </c>
      <c r="AY120" s="28">
        <f t="shared" si="210"/>
        <v>0</v>
      </c>
      <c r="AZ120" s="28">
        <f t="shared" si="210"/>
        <v>0</v>
      </c>
      <c r="BA120" s="28">
        <f t="shared" si="210"/>
        <v>0</v>
      </c>
      <c r="BB120" s="28">
        <f t="shared" si="210"/>
        <v>0</v>
      </c>
      <c r="BC120" s="28">
        <f t="shared" si="210"/>
        <v>0</v>
      </c>
      <c r="BD120" s="28">
        <f t="shared" si="210"/>
        <v>0</v>
      </c>
      <c r="BE120" s="28">
        <f t="shared" si="210"/>
        <v>0</v>
      </c>
      <c r="BF120" s="27">
        <f t="shared" si="211"/>
        <v>1</v>
      </c>
      <c r="BG120" s="520">
        <f t="shared" si="157"/>
        <v>1.0018756098697492</v>
      </c>
      <c r="BH120" s="520">
        <f t="shared" si="181"/>
        <v>1.0035842262088148</v>
      </c>
      <c r="BI120" s="520">
        <f t="shared" si="182"/>
        <v>1.0054334103650095</v>
      </c>
      <c r="BJ120" s="520">
        <f t="shared" si="183"/>
        <v>1.007569434664183</v>
      </c>
      <c r="BK120" s="520">
        <f t="shared" si="184"/>
        <v>1.0106813639277612</v>
      </c>
      <c r="BL120" s="520">
        <f t="shared" si="185"/>
        <v>1.0141817318919957</v>
      </c>
      <c r="BM120" s="520">
        <f t="shared" si="186"/>
        <v>1.0165251332119476</v>
      </c>
      <c r="BN120" s="521" t="str">
        <f t="shared" si="187"/>
        <v>Category</v>
      </c>
      <c r="BP120" s="3"/>
    </row>
    <row r="121" spans="1:69" hidden="1" x14ac:dyDescent="0.15">
      <c r="A121" s="12" t="s">
        <v>257</v>
      </c>
      <c r="B121" s="13" t="s">
        <v>2376</v>
      </c>
      <c r="C121" s="13" t="s">
        <v>27</v>
      </c>
      <c r="D121" s="13" t="s">
        <v>36</v>
      </c>
      <c r="E121" s="13" t="s">
        <v>32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5">
        <v>0</v>
      </c>
      <c r="N121" s="670"/>
      <c r="O121" s="14"/>
      <c r="P121" s="15">
        <v>152850.15</v>
      </c>
      <c r="Q121" s="15">
        <f>IF(ISTEXT('Incurred 2.5% cpi'!Q121),"",'Incurred 2.5% cpi'!Q121/'Incurred 2.5% cpi'!Q$17*Incurred!Q$17)</f>
        <v>1448.55</v>
      </c>
      <c r="R121" s="110" t="str">
        <f>IF(ISTEXT('Incurred 2.5% cpi'!R121),"",'Incurred 2.5% cpi'!R121/'Incurred 2.5% cpi'!R$17*Incurred!R$17*BG121)</f>
        <v/>
      </c>
      <c r="S121" s="102" t="str">
        <f>IF(ISTEXT('Incurred 2.5% cpi'!S121),"",'Incurred 2.5% cpi'!S121/'Incurred 2.5% cpi'!S$17*Incurred!S$17*BH121)</f>
        <v/>
      </c>
      <c r="T121" s="16" t="str">
        <f>IF(ISTEXT('Incurred 2.5% cpi'!T121),"",'Incurred 2.5% cpi'!T121/'Incurred 2.5% cpi'!T$17*Incurred!T$17*BI121)</f>
        <v/>
      </c>
      <c r="U121" s="16" t="str">
        <f>IF(ISTEXT('Incurred 2.5% cpi'!U121),"",'Incurred 2.5% cpi'!U121/'Incurred 2.5% cpi'!U$17*Incurred!U$17*BJ121)</f>
        <v/>
      </c>
      <c r="V121" s="16" t="str">
        <f>IF(ISTEXT('Incurred 2.5% cpi'!V121),"",'Incurred 2.5% cpi'!V121/'Incurred 2.5% cpi'!V$17*Incurred!V$17*BK121)</f>
        <v/>
      </c>
      <c r="W121" s="110" t="str">
        <f>IF(ISTEXT('Incurred 2.5% cpi'!W121),"",'Incurred 2.5% cpi'!W121/'Incurred 2.5% cpi'!W$17*Incurred!W$17*BL121)</f>
        <v/>
      </c>
      <c r="X121" s="102" t="str">
        <f>IF(ISTEXT('Incurred 2.5% cpi'!X121),"",'Incurred 2.5% cpi'!X121/'Incurred 2.5% cpi'!X$17*Incurred!X$17*BM121)</f>
        <v/>
      </c>
      <c r="Y121" s="80">
        <f t="shared" si="156"/>
        <v>154298.69999999998</v>
      </c>
      <c r="Z121" s="80">
        <f t="shared" si="172"/>
        <v>154298.69999999998</v>
      </c>
      <c r="AA121" s="566">
        <f t="shared" si="173"/>
        <v>182707.17592061675</v>
      </c>
      <c r="AB121" s="566">
        <f t="shared" si="174"/>
        <v>157547.8251848424</v>
      </c>
      <c r="AC121" s="567">
        <f t="shared" si="194"/>
        <v>1.1596934182128902</v>
      </c>
      <c r="AD121" s="568" t="str">
        <f t="shared" si="175"/>
        <v>2017</v>
      </c>
      <c r="AE121" s="569">
        <v>42495</v>
      </c>
      <c r="AF121" s="568" t="s">
        <v>3152</v>
      </c>
      <c r="AG121" s="569"/>
      <c r="AH121" s="566">
        <f t="shared" si="208"/>
        <v>161486.52081446347</v>
      </c>
      <c r="AI121" s="80">
        <f t="shared" si="176"/>
        <v>1448.55</v>
      </c>
      <c r="AJ121" s="571" t="s">
        <v>0</v>
      </c>
      <c r="AK121" s="875">
        <f t="shared" si="203"/>
        <v>93999.999999999956</v>
      </c>
      <c r="AL121" s="28">
        <f t="shared" si="209"/>
        <v>0</v>
      </c>
      <c r="AM121" s="28">
        <f t="shared" si="209"/>
        <v>0</v>
      </c>
      <c r="AN121" s="28">
        <f t="shared" si="209"/>
        <v>0</v>
      </c>
      <c r="AO121" s="28">
        <f t="shared" si="209"/>
        <v>0</v>
      </c>
      <c r="AP121" s="28">
        <f t="shared" si="209"/>
        <v>0</v>
      </c>
      <c r="AQ121" s="28">
        <f t="shared" si="209"/>
        <v>0</v>
      </c>
      <c r="AR121" s="28">
        <f t="shared" si="209"/>
        <v>0</v>
      </c>
      <c r="AS121" s="28">
        <f t="shared" si="209"/>
        <v>1</v>
      </c>
      <c r="AT121" s="28">
        <f t="shared" si="209"/>
        <v>0</v>
      </c>
      <c r="AU121" s="28">
        <f t="shared" si="209"/>
        <v>0</v>
      </c>
      <c r="AV121" s="28">
        <f t="shared" si="210"/>
        <v>0</v>
      </c>
      <c r="AW121" s="28">
        <f t="shared" si="210"/>
        <v>0</v>
      </c>
      <c r="AX121" s="28">
        <f t="shared" si="210"/>
        <v>0</v>
      </c>
      <c r="AY121" s="28">
        <f t="shared" si="210"/>
        <v>0</v>
      </c>
      <c r="AZ121" s="28">
        <f t="shared" si="210"/>
        <v>0</v>
      </c>
      <c r="BA121" s="28">
        <f t="shared" si="210"/>
        <v>0</v>
      </c>
      <c r="BB121" s="28">
        <f t="shared" si="210"/>
        <v>0</v>
      </c>
      <c r="BC121" s="28">
        <f t="shared" si="210"/>
        <v>0</v>
      </c>
      <c r="BD121" s="28">
        <f t="shared" si="210"/>
        <v>0</v>
      </c>
      <c r="BE121" s="28">
        <f t="shared" si="210"/>
        <v>0</v>
      </c>
      <c r="BF121" s="27">
        <f t="shared" si="211"/>
        <v>1</v>
      </c>
      <c r="BG121" s="520">
        <f t="shared" si="157"/>
        <v>1.0018756098697492</v>
      </c>
      <c r="BH121" s="520">
        <f t="shared" si="181"/>
        <v>1.0035842262088148</v>
      </c>
      <c r="BI121" s="520">
        <f t="shared" si="182"/>
        <v>1.0054334103650095</v>
      </c>
      <c r="BJ121" s="520">
        <f t="shared" si="183"/>
        <v>1.007569434664183</v>
      </c>
      <c r="BK121" s="520">
        <f t="shared" si="184"/>
        <v>1.0106813639277612</v>
      </c>
      <c r="BL121" s="520">
        <f t="shared" si="185"/>
        <v>1.0141817318919957</v>
      </c>
      <c r="BM121" s="520">
        <f t="shared" si="186"/>
        <v>1.0165251332119476</v>
      </c>
      <c r="BN121" s="521" t="str">
        <f t="shared" si="187"/>
        <v>Category</v>
      </c>
      <c r="BP121" s="3"/>
    </row>
    <row r="122" spans="1:69" hidden="1" x14ac:dyDescent="0.15">
      <c r="A122" s="78" t="s">
        <v>258</v>
      </c>
      <c r="B122" s="13" t="s">
        <v>259</v>
      </c>
      <c r="C122" s="13" t="s">
        <v>27</v>
      </c>
      <c r="D122" s="13" t="s">
        <v>54</v>
      </c>
      <c r="E122" s="13" t="s">
        <v>29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5">
        <v>0</v>
      </c>
      <c r="N122" s="670"/>
      <c r="O122" s="14"/>
      <c r="P122" s="15">
        <v>15509.49</v>
      </c>
      <c r="Q122" s="15">
        <f>IF(ISTEXT('Incurred 2.5% cpi'!Q122),"",'Incurred 2.5% cpi'!Q122/'Incurred 2.5% cpi'!Q$17*Incurred!Q$17)</f>
        <v>200798.96</v>
      </c>
      <c r="R122" s="110">
        <f>IF(ISTEXT('Incurred 2.5% cpi'!R122),"",'Incurred 2.5% cpi'!R122/'Incurred 2.5% cpi'!R$17*Incurred!R$17*BG122)</f>
        <v>293995.91765470675</v>
      </c>
      <c r="S122" s="102" t="str">
        <f>IF(ISTEXT('Incurred 2.5% cpi'!S122),"",'Incurred 2.5% cpi'!S122/'Incurred 2.5% cpi'!S$17*Incurred!S$17*BH122)</f>
        <v/>
      </c>
      <c r="T122" s="16" t="str">
        <f>IF(ISTEXT('Incurred 2.5% cpi'!T122),"",'Incurred 2.5% cpi'!T122/'Incurred 2.5% cpi'!T$17*Incurred!T$17*BI122)</f>
        <v/>
      </c>
      <c r="U122" s="16" t="str">
        <f>IF(ISTEXT('Incurred 2.5% cpi'!U122),"",'Incurred 2.5% cpi'!U122/'Incurred 2.5% cpi'!U$17*Incurred!U$17*BJ122)</f>
        <v/>
      </c>
      <c r="V122" s="16" t="str">
        <f>IF(ISTEXT('Incurred 2.5% cpi'!V122),"",'Incurred 2.5% cpi'!V122/'Incurred 2.5% cpi'!V$17*Incurred!V$17*BK122)</f>
        <v/>
      </c>
      <c r="W122" s="110" t="str">
        <f>IF(ISTEXT('Incurred 2.5% cpi'!W122),"",'Incurred 2.5% cpi'!W122/'Incurred 2.5% cpi'!W$17*Incurred!W$17*BL122)</f>
        <v/>
      </c>
      <c r="X122" s="102" t="str">
        <f>IF(ISTEXT('Incurred 2.5% cpi'!X122),"",'Incurred 2.5% cpi'!X122/'Incurred 2.5% cpi'!X$17*Incurred!X$17*BM122)</f>
        <v/>
      </c>
      <c r="Y122" s="80">
        <f t="shared" si="156"/>
        <v>510304.3676547067</v>
      </c>
      <c r="Z122" s="80">
        <f t="shared" si="172"/>
        <v>510304.3676547067</v>
      </c>
      <c r="AA122" s="566">
        <f t="shared" si="173"/>
        <v>583863.21411964169</v>
      </c>
      <c r="AB122" s="566">
        <f t="shared" si="174"/>
        <v>516050.00517711887</v>
      </c>
      <c r="AC122" s="567">
        <f t="shared" si="194"/>
        <v>1.1314082128906247</v>
      </c>
      <c r="AD122" s="568" t="str">
        <f t="shared" si="175"/>
        <v>2018</v>
      </c>
      <c r="AE122" s="569">
        <v>42954</v>
      </c>
      <c r="AF122" s="568">
        <v>2018</v>
      </c>
      <c r="AG122" s="569"/>
      <c r="AH122" s="566">
        <f t="shared" si="208"/>
        <v>516050.00517711887</v>
      </c>
      <c r="AI122" s="80">
        <f t="shared" si="176"/>
        <v>293995.91765470675</v>
      </c>
      <c r="AJ122" s="571" t="s">
        <v>0</v>
      </c>
      <c r="AK122" s="875">
        <f t="shared" si="203"/>
        <v>178838.00000000006</v>
      </c>
      <c r="AL122" s="28">
        <f t="shared" si="209"/>
        <v>0</v>
      </c>
      <c r="AM122" s="28">
        <f t="shared" si="209"/>
        <v>0</v>
      </c>
      <c r="AN122" s="28">
        <f t="shared" si="209"/>
        <v>0</v>
      </c>
      <c r="AO122" s="28">
        <f t="shared" si="209"/>
        <v>1</v>
      </c>
      <c r="AP122" s="28">
        <f t="shared" si="209"/>
        <v>0</v>
      </c>
      <c r="AQ122" s="28">
        <f t="shared" si="209"/>
        <v>0</v>
      </c>
      <c r="AR122" s="28">
        <f t="shared" si="209"/>
        <v>0</v>
      </c>
      <c r="AS122" s="28">
        <f t="shared" si="209"/>
        <v>0</v>
      </c>
      <c r="AT122" s="28">
        <f t="shared" si="209"/>
        <v>0</v>
      </c>
      <c r="AU122" s="28">
        <f t="shared" si="209"/>
        <v>0</v>
      </c>
      <c r="AV122" s="28">
        <f t="shared" si="210"/>
        <v>0</v>
      </c>
      <c r="AW122" s="28">
        <f t="shared" si="210"/>
        <v>0</v>
      </c>
      <c r="AX122" s="28">
        <f t="shared" si="210"/>
        <v>0</v>
      </c>
      <c r="AY122" s="28">
        <f t="shared" si="210"/>
        <v>0</v>
      </c>
      <c r="AZ122" s="28">
        <f t="shared" si="210"/>
        <v>0</v>
      </c>
      <c r="BA122" s="28">
        <f t="shared" si="210"/>
        <v>0</v>
      </c>
      <c r="BB122" s="28">
        <f t="shared" si="210"/>
        <v>0</v>
      </c>
      <c r="BC122" s="28">
        <f t="shared" si="210"/>
        <v>0</v>
      </c>
      <c r="BD122" s="28">
        <f t="shared" si="210"/>
        <v>0</v>
      </c>
      <c r="BE122" s="28">
        <f t="shared" si="210"/>
        <v>0</v>
      </c>
      <c r="BF122" s="27">
        <f t="shared" si="211"/>
        <v>1</v>
      </c>
      <c r="BG122" s="520">
        <f t="shared" si="157"/>
        <v>1.0030818160192299</v>
      </c>
      <c r="BH122" s="520">
        <f t="shared" si="181"/>
        <v>1.0058892448397847</v>
      </c>
      <c r="BI122" s="520">
        <f t="shared" si="182"/>
        <v>1.0089276407487533</v>
      </c>
      <c r="BJ122" s="520">
        <f t="shared" si="183"/>
        <v>1.0124373439172154</v>
      </c>
      <c r="BK122" s="520">
        <f t="shared" si="184"/>
        <v>1.0175505572831101</v>
      </c>
      <c r="BL122" s="520">
        <f t="shared" si="185"/>
        <v>1.023302014576742</v>
      </c>
      <c r="BM122" s="520">
        <f t="shared" si="186"/>
        <v>1.0271524590875074</v>
      </c>
      <c r="BN122" s="521" t="str">
        <f t="shared" si="187"/>
        <v>Category</v>
      </c>
      <c r="BP122" s="3"/>
    </row>
    <row r="123" spans="1:69" hidden="1" x14ac:dyDescent="0.15">
      <c r="A123" s="78" t="s">
        <v>260</v>
      </c>
      <c r="B123" s="13" t="s">
        <v>261</v>
      </c>
      <c r="C123" s="13" t="s">
        <v>27</v>
      </c>
      <c r="D123" s="13" t="s">
        <v>54</v>
      </c>
      <c r="E123" s="13" t="s">
        <v>29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5">
        <v>0</v>
      </c>
      <c r="N123" s="670"/>
      <c r="O123" s="14">
        <v>34784.730000000003</v>
      </c>
      <c r="P123" s="15">
        <v>558714.82999999996</v>
      </c>
      <c r="Q123" s="15">
        <f>IF(ISTEXT('Incurred 2.5% cpi'!Q123),"",'Incurred 2.5% cpi'!Q123/'Incurred 2.5% cpi'!Q$17*Incurred!Q$17)</f>
        <v>1619551.99</v>
      </c>
      <c r="R123" s="110">
        <f>IF(ISTEXT('Incurred 2.5% cpi'!R123),"",'Incurred 2.5% cpi'!R123/'Incurred 2.5% cpi'!R$17*Incurred!R$17*BG123)</f>
        <v>218225.49457651802</v>
      </c>
      <c r="S123" s="102" t="str">
        <f>IF(ISTEXT('Incurred 2.5% cpi'!S123),"",'Incurred 2.5% cpi'!S123/'Incurred 2.5% cpi'!S$17*Incurred!S$17*BH123)</f>
        <v/>
      </c>
      <c r="T123" s="16" t="str">
        <f>IF(ISTEXT('Incurred 2.5% cpi'!T123),"",'Incurred 2.5% cpi'!T123/'Incurred 2.5% cpi'!T$17*Incurred!T$17*BI123)</f>
        <v/>
      </c>
      <c r="U123" s="16" t="str">
        <f>IF(ISTEXT('Incurred 2.5% cpi'!U123),"",'Incurred 2.5% cpi'!U123/'Incurred 2.5% cpi'!U$17*Incurred!U$17*BJ123)</f>
        <v/>
      </c>
      <c r="V123" s="16" t="str">
        <f>IF(ISTEXT('Incurred 2.5% cpi'!V123),"",'Incurred 2.5% cpi'!V123/'Incurred 2.5% cpi'!V$17*Incurred!V$17*BK123)</f>
        <v/>
      </c>
      <c r="W123" s="110" t="str">
        <f>IF(ISTEXT('Incurred 2.5% cpi'!W123),"",'Incurred 2.5% cpi'!W123/'Incurred 2.5% cpi'!W$17*Incurred!W$17*BL123)</f>
        <v/>
      </c>
      <c r="X123" s="102" t="str">
        <f>IF(ISTEXT('Incurred 2.5% cpi'!X123),"",'Incurred 2.5% cpi'!X123/'Incurred 2.5% cpi'!X$17*Incurred!X$17*BM123)</f>
        <v/>
      </c>
      <c r="Y123" s="80">
        <f t="shared" si="156"/>
        <v>2431277.0445765178</v>
      </c>
      <c r="Z123" s="80">
        <f t="shared" si="172"/>
        <v>2431277.0445765178</v>
      </c>
      <c r="AA123" s="566">
        <f t="shared" si="173"/>
        <v>2828534.139123512</v>
      </c>
      <c r="AB123" s="566">
        <f t="shared" si="174"/>
        <v>2500012.0265142107</v>
      </c>
      <c r="AC123" s="567">
        <f t="shared" si="194"/>
        <v>1.1314082128906247</v>
      </c>
      <c r="AD123" s="568" t="str">
        <f t="shared" si="175"/>
        <v>2018</v>
      </c>
      <c r="AE123" s="569">
        <v>42996</v>
      </c>
      <c r="AF123" s="568">
        <v>2018</v>
      </c>
      <c r="AG123" s="569"/>
      <c r="AH123" s="566">
        <f t="shared" si="208"/>
        <v>2500012.0265142103</v>
      </c>
      <c r="AI123" s="80">
        <f t="shared" si="176"/>
        <v>218225.49457651802</v>
      </c>
      <c r="AJ123" s="571" t="s">
        <v>0</v>
      </c>
      <c r="AK123" s="875">
        <f t="shared" si="177"/>
        <v>0</v>
      </c>
      <c r="AL123" s="28">
        <f t="shared" si="209"/>
        <v>0</v>
      </c>
      <c r="AM123" s="28">
        <f t="shared" si="209"/>
        <v>0</v>
      </c>
      <c r="AN123" s="28">
        <f t="shared" si="209"/>
        <v>0</v>
      </c>
      <c r="AO123" s="28">
        <f t="shared" si="209"/>
        <v>0</v>
      </c>
      <c r="AP123" s="28">
        <f t="shared" si="209"/>
        <v>0</v>
      </c>
      <c r="AQ123" s="28">
        <f t="shared" si="209"/>
        <v>0</v>
      </c>
      <c r="AR123" s="28">
        <f t="shared" si="209"/>
        <v>0</v>
      </c>
      <c r="AS123" s="28">
        <f t="shared" si="209"/>
        <v>0</v>
      </c>
      <c r="AT123" s="28">
        <f t="shared" si="209"/>
        <v>0</v>
      </c>
      <c r="AU123" s="28">
        <f t="shared" si="209"/>
        <v>0</v>
      </c>
      <c r="AV123" s="28">
        <f t="shared" si="210"/>
        <v>0</v>
      </c>
      <c r="AW123" s="28">
        <f t="shared" si="210"/>
        <v>1</v>
      </c>
      <c r="AX123" s="28">
        <f t="shared" si="210"/>
        <v>0</v>
      </c>
      <c r="AY123" s="28">
        <f t="shared" si="210"/>
        <v>0</v>
      </c>
      <c r="AZ123" s="28">
        <f t="shared" si="210"/>
        <v>0</v>
      </c>
      <c r="BA123" s="28">
        <f t="shared" si="210"/>
        <v>0</v>
      </c>
      <c r="BB123" s="28">
        <f t="shared" si="210"/>
        <v>0</v>
      </c>
      <c r="BC123" s="28">
        <f t="shared" si="210"/>
        <v>0</v>
      </c>
      <c r="BD123" s="28">
        <f t="shared" si="210"/>
        <v>0</v>
      </c>
      <c r="BE123" s="28">
        <f t="shared" si="210"/>
        <v>0</v>
      </c>
      <c r="BF123" s="27">
        <f t="shared" si="211"/>
        <v>1</v>
      </c>
      <c r="BG123" s="520">
        <f t="shared" si="157"/>
        <v>1.0030818160192299</v>
      </c>
      <c r="BH123" s="520">
        <f t="shared" si="181"/>
        <v>1.0058892448397847</v>
      </c>
      <c r="BI123" s="520">
        <f t="shared" si="182"/>
        <v>1.0089276407487533</v>
      </c>
      <c r="BJ123" s="520">
        <f t="shared" si="183"/>
        <v>1.0124373439172154</v>
      </c>
      <c r="BK123" s="520">
        <f t="shared" si="184"/>
        <v>1.0175505572831101</v>
      </c>
      <c r="BL123" s="520">
        <f t="shared" si="185"/>
        <v>1.023302014576742</v>
      </c>
      <c r="BM123" s="520">
        <f t="shared" si="186"/>
        <v>1.0271524590875074</v>
      </c>
      <c r="BN123" s="521" t="str">
        <f t="shared" si="187"/>
        <v>Category</v>
      </c>
      <c r="BP123" s="3"/>
    </row>
    <row r="124" spans="1:69" hidden="1" x14ac:dyDescent="0.15">
      <c r="A124" s="78" t="s">
        <v>262</v>
      </c>
      <c r="B124" s="13" t="s">
        <v>263</v>
      </c>
      <c r="C124" s="13" t="s">
        <v>27</v>
      </c>
      <c r="D124" s="13" t="s">
        <v>40</v>
      </c>
      <c r="E124" s="13" t="s">
        <v>29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5">
        <v>0</v>
      </c>
      <c r="N124" s="670"/>
      <c r="O124" s="14">
        <v>9136.58</v>
      </c>
      <c r="P124" s="15">
        <v>71459.929999999993</v>
      </c>
      <c r="Q124" s="15">
        <f>IF(ISTEXT('Incurred 2.5% cpi'!Q124),"",'Incurred 2.5% cpi'!Q124/'Incurred 2.5% cpi'!Q$17*Incurred!Q$17)</f>
        <v>546308.9</v>
      </c>
      <c r="R124" s="110">
        <f>IF(ISTEXT('Incurred 2.5% cpi'!R124),"",'Incurred 2.5% cpi'!R124/'Incurred 2.5% cpi'!R$17*Incurred!R$17*BG124)</f>
        <v>140315.94102389351</v>
      </c>
      <c r="S124" s="102" t="str">
        <f>IF(ISTEXT('Incurred 2.5% cpi'!S124),"",'Incurred 2.5% cpi'!S124/'Incurred 2.5% cpi'!S$17*Incurred!S$17*BH124)</f>
        <v/>
      </c>
      <c r="T124" s="16" t="str">
        <f>IF(ISTEXT('Incurred 2.5% cpi'!T124),"",'Incurred 2.5% cpi'!T124/'Incurred 2.5% cpi'!T$17*Incurred!T$17*BI124)</f>
        <v/>
      </c>
      <c r="U124" s="16" t="str">
        <f>IF(ISTEXT('Incurred 2.5% cpi'!U124),"",'Incurred 2.5% cpi'!U124/'Incurred 2.5% cpi'!U$17*Incurred!U$17*BJ124)</f>
        <v/>
      </c>
      <c r="V124" s="16" t="str">
        <f>IF(ISTEXT('Incurred 2.5% cpi'!V124),"",'Incurred 2.5% cpi'!V124/'Incurred 2.5% cpi'!V$17*Incurred!V$17*BK124)</f>
        <v/>
      </c>
      <c r="W124" s="110" t="str">
        <f>IF(ISTEXT('Incurred 2.5% cpi'!W124),"",'Incurred 2.5% cpi'!W124/'Incurred 2.5% cpi'!W$17*Incurred!W$17*BL124)</f>
        <v/>
      </c>
      <c r="X124" s="102" t="str">
        <f>IF(ISTEXT('Incurred 2.5% cpi'!X124),"",'Incurred 2.5% cpi'!X124/'Incurred 2.5% cpi'!X$17*Incurred!X$17*BM124)</f>
        <v/>
      </c>
      <c r="Y124" s="80">
        <f t="shared" si="156"/>
        <v>767221.35102389357</v>
      </c>
      <c r="Z124" s="80">
        <f t="shared" si="172"/>
        <v>767221.35102389357</v>
      </c>
      <c r="AA124" s="566">
        <f t="shared" si="173"/>
        <v>887901.35917721072</v>
      </c>
      <c r="AB124" s="566">
        <f t="shared" si="174"/>
        <v>784775.42328309559</v>
      </c>
      <c r="AC124" s="567">
        <f t="shared" si="194"/>
        <v>1.1314082128906247</v>
      </c>
      <c r="AD124" s="568" t="str">
        <f t="shared" si="175"/>
        <v>2018</v>
      </c>
      <c r="AE124" s="569">
        <v>43006</v>
      </c>
      <c r="AF124" s="568">
        <v>2018</v>
      </c>
      <c r="AG124" s="569"/>
      <c r="AH124" s="566">
        <f t="shared" si="208"/>
        <v>784775.42328309559</v>
      </c>
      <c r="AI124" s="80">
        <f t="shared" si="176"/>
        <v>140315.94102389351</v>
      </c>
      <c r="AJ124" s="571" t="s">
        <v>0</v>
      </c>
      <c r="AK124" s="875">
        <f>IF(ISNA(VLOOKUP(LEFT($A124,8),Estimates,72,FALSE)),0,VLOOKUP(LEFT($A124,8),Estimates,72,FALSE))</f>
        <v>840105.00000000047</v>
      </c>
      <c r="AL124" s="28">
        <f t="shared" si="209"/>
        <v>0</v>
      </c>
      <c r="AM124" s="28">
        <f t="shared" si="209"/>
        <v>0</v>
      </c>
      <c r="AN124" s="28">
        <f t="shared" si="209"/>
        <v>0</v>
      </c>
      <c r="AO124" s="28">
        <f t="shared" si="209"/>
        <v>0</v>
      </c>
      <c r="AP124" s="28">
        <f t="shared" si="209"/>
        <v>0</v>
      </c>
      <c r="AQ124" s="28">
        <f t="shared" si="209"/>
        <v>0</v>
      </c>
      <c r="AR124" s="28">
        <f t="shared" si="209"/>
        <v>0</v>
      </c>
      <c r="AS124" s="28">
        <f t="shared" si="209"/>
        <v>0</v>
      </c>
      <c r="AT124" s="28">
        <f t="shared" si="209"/>
        <v>0</v>
      </c>
      <c r="AU124" s="28">
        <f t="shared" si="209"/>
        <v>0</v>
      </c>
      <c r="AV124" s="28">
        <f t="shared" si="210"/>
        <v>0</v>
      </c>
      <c r="AW124" s="28">
        <f t="shared" si="210"/>
        <v>1</v>
      </c>
      <c r="AX124" s="28">
        <f t="shared" si="210"/>
        <v>0</v>
      </c>
      <c r="AY124" s="28">
        <f t="shared" si="210"/>
        <v>0</v>
      </c>
      <c r="AZ124" s="28">
        <f t="shared" si="210"/>
        <v>0</v>
      </c>
      <c r="BA124" s="28">
        <f t="shared" si="210"/>
        <v>0</v>
      </c>
      <c r="BB124" s="28">
        <f t="shared" si="210"/>
        <v>0</v>
      </c>
      <c r="BC124" s="28">
        <f t="shared" si="210"/>
        <v>0</v>
      </c>
      <c r="BD124" s="28">
        <f t="shared" si="210"/>
        <v>0</v>
      </c>
      <c r="BE124" s="28">
        <f t="shared" si="210"/>
        <v>0</v>
      </c>
      <c r="BF124" s="27">
        <f t="shared" si="211"/>
        <v>1</v>
      </c>
      <c r="BG124" s="520">
        <f t="shared" si="157"/>
        <v>1.0034498951996242</v>
      </c>
      <c r="BH124" s="520">
        <f t="shared" si="181"/>
        <v>1.0065926315443261</v>
      </c>
      <c r="BI124" s="520">
        <f t="shared" si="182"/>
        <v>1.0099939207178206</v>
      </c>
      <c r="BJ124" s="520">
        <f t="shared" si="183"/>
        <v>1.0139228081132494</v>
      </c>
      <c r="BK124" s="520">
        <f t="shared" si="184"/>
        <v>1.0196467222390713</v>
      </c>
      <c r="BL124" s="520">
        <f t="shared" si="185"/>
        <v>1.0260851094706045</v>
      </c>
      <c r="BM124" s="520">
        <f t="shared" si="186"/>
        <v>1.0303954349252136</v>
      </c>
      <c r="BN124" s="521" t="str">
        <f t="shared" si="187"/>
        <v>Category</v>
      </c>
      <c r="BP124" s="3"/>
    </row>
    <row r="125" spans="1:69" hidden="1" x14ac:dyDescent="0.15">
      <c r="A125" s="78" t="s">
        <v>264</v>
      </c>
      <c r="B125" s="13" t="s">
        <v>265</v>
      </c>
      <c r="C125" s="13" t="s">
        <v>27</v>
      </c>
      <c r="D125" s="13" t="s">
        <v>40</v>
      </c>
      <c r="E125" s="13" t="s">
        <v>112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5">
        <v>0</v>
      </c>
      <c r="N125" s="670"/>
      <c r="O125" s="14"/>
      <c r="P125" s="15"/>
      <c r="Q125" s="15" t="str">
        <f>IF(ISTEXT('Incurred 2.5% cpi'!Q125),"",'Incurred 2.5% cpi'!Q125/'Incurred 2.5% cpi'!Q$17*Incurred!Q$17)</f>
        <v/>
      </c>
      <c r="R125" s="110" t="str">
        <f>IF(ISTEXT('Incurred 2.5% cpi'!R125),"",'Incurred 2.5% cpi'!R125/'Incurred 2.5% cpi'!R$17*Incurred!R$17*BG125)</f>
        <v/>
      </c>
      <c r="S125" s="102">
        <f>IF(ISTEXT('Incurred 2.5% cpi'!S125),"",'Incurred 2.5% cpi'!S125/'Incurred 2.5% cpi'!S$17*Incurred!S$17*BH125)</f>
        <v>1088563.3115560801</v>
      </c>
      <c r="T125" s="16">
        <f>IF(ISTEXT('Incurred 2.5% cpi'!T125),"",'Incurred 2.5% cpi'!T125/'Incurred 2.5% cpi'!T$17*Incurred!T$17*BI125)</f>
        <v>2062352.7692891557</v>
      </c>
      <c r="U125" s="16">
        <f>IF(ISTEXT('Incurred 2.5% cpi'!U125),"",'Incurred 2.5% cpi'!U125/'Incurred 2.5% cpi'!U$17*Incurred!U$17*BJ125)</f>
        <v>6669.713514951557</v>
      </c>
      <c r="V125" s="16" t="str">
        <f>IF(ISTEXT('Incurred 2.5% cpi'!V125),"",'Incurred 2.5% cpi'!V125/'Incurred 2.5% cpi'!V$17*Incurred!V$17*BK125)</f>
        <v/>
      </c>
      <c r="W125" s="110" t="str">
        <f>IF(ISTEXT('Incurred 2.5% cpi'!W125),"",'Incurred 2.5% cpi'!W125/'Incurred 2.5% cpi'!W$17*Incurred!W$17*BL125)</f>
        <v/>
      </c>
      <c r="X125" s="102" t="str">
        <f>IF(ISTEXT('Incurred 2.5% cpi'!X125),"",'Incurred 2.5% cpi'!X125/'Incurred 2.5% cpi'!X$17*Incurred!X$17*BM125)</f>
        <v/>
      </c>
      <c r="Y125" s="80">
        <f t="shared" si="156"/>
        <v>3157585.7943601874</v>
      </c>
      <c r="Z125" s="80">
        <f t="shared" si="172"/>
        <v>3157585.7943601874</v>
      </c>
      <c r="AA125" s="566">
        <f t="shared" si="173"/>
        <v>3429505.946008964</v>
      </c>
      <c r="AB125" s="566">
        <f t="shared" si="174"/>
        <v>3184637.2012096997</v>
      </c>
      <c r="AC125" s="567">
        <f t="shared" si="194"/>
        <v>1.0768906249999999</v>
      </c>
      <c r="AD125" s="568" t="str">
        <f t="shared" si="175"/>
        <v>2021</v>
      </c>
      <c r="AE125" s="569">
        <v>43934</v>
      </c>
      <c r="AF125" s="568">
        <v>2020</v>
      </c>
      <c r="AG125" s="569"/>
      <c r="AH125" s="566">
        <f t="shared" si="208"/>
        <v>3031183.534762356</v>
      </c>
      <c r="AI125" s="80">
        <f t="shared" si="176"/>
        <v>6669.713514951557</v>
      </c>
      <c r="AJ125" s="571" t="s">
        <v>3035</v>
      </c>
      <c r="AK125" s="875">
        <f>IF(ISNA(VLOOKUP(LEFT($A125,8),Estimates,72,FALSE)),0,VLOOKUP(LEFT($A125,8),Estimates,72,FALSE))</f>
        <v>1602200.020020003</v>
      </c>
      <c r="AL125" s="28">
        <f t="shared" si="209"/>
        <v>0</v>
      </c>
      <c r="AM125" s="28">
        <f t="shared" si="209"/>
        <v>0</v>
      </c>
      <c r="AN125" s="28">
        <f t="shared" si="209"/>
        <v>0</v>
      </c>
      <c r="AO125" s="28">
        <f t="shared" si="209"/>
        <v>0</v>
      </c>
      <c r="AP125" s="28">
        <f t="shared" si="209"/>
        <v>0</v>
      </c>
      <c r="AQ125" s="28">
        <f t="shared" si="209"/>
        <v>0</v>
      </c>
      <c r="AR125" s="28">
        <f t="shared" si="209"/>
        <v>0</v>
      </c>
      <c r="AS125" s="28">
        <f t="shared" si="209"/>
        <v>0</v>
      </c>
      <c r="AT125" s="28">
        <f t="shared" si="209"/>
        <v>0</v>
      </c>
      <c r="AU125" s="28">
        <f t="shared" si="209"/>
        <v>0</v>
      </c>
      <c r="AV125" s="28">
        <f t="shared" si="210"/>
        <v>0</v>
      </c>
      <c r="AW125" s="28">
        <f t="shared" si="210"/>
        <v>0</v>
      </c>
      <c r="AX125" s="28">
        <f t="shared" si="210"/>
        <v>0</v>
      </c>
      <c r="AY125" s="28">
        <f t="shared" si="210"/>
        <v>0</v>
      </c>
      <c r="AZ125" s="28">
        <f t="shared" si="210"/>
        <v>1</v>
      </c>
      <c r="BA125" s="28">
        <f t="shared" si="210"/>
        <v>0</v>
      </c>
      <c r="BB125" s="28">
        <f t="shared" si="210"/>
        <v>0</v>
      </c>
      <c r="BC125" s="28">
        <f t="shared" si="210"/>
        <v>0</v>
      </c>
      <c r="BD125" s="28">
        <f t="shared" si="210"/>
        <v>0</v>
      </c>
      <c r="BE125" s="28">
        <f t="shared" si="210"/>
        <v>0</v>
      </c>
      <c r="BF125" s="27">
        <f t="shared" si="211"/>
        <v>1</v>
      </c>
      <c r="BG125" s="520">
        <f t="shared" si="157"/>
        <v>1.003769115109048</v>
      </c>
      <c r="BH125" s="520">
        <f t="shared" si="181"/>
        <v>1.0072026498558022</v>
      </c>
      <c r="BI125" s="520">
        <f t="shared" si="182"/>
        <v>1.0109186614075318</v>
      </c>
      <c r="BJ125" s="520">
        <f t="shared" si="183"/>
        <v>1.0152110900139057</v>
      </c>
      <c r="BK125" s="520">
        <f t="shared" si="184"/>
        <v>1.0214646397498162</v>
      </c>
      <c r="BL125" s="520">
        <f t="shared" si="185"/>
        <v>1.0284987730170867</v>
      </c>
      <c r="BM125" s="520">
        <f t="shared" si="186"/>
        <v>1.0332079342686085</v>
      </c>
      <c r="BN125" s="521" t="str">
        <f t="shared" si="187"/>
        <v>Project</v>
      </c>
      <c r="BP125" s="3"/>
    </row>
    <row r="126" spans="1:69" hidden="1" x14ac:dyDescent="0.15">
      <c r="A126" s="12" t="s">
        <v>266</v>
      </c>
      <c r="B126" s="13" t="s">
        <v>267</v>
      </c>
      <c r="C126" s="13" t="s">
        <v>27</v>
      </c>
      <c r="D126" s="13" t="s">
        <v>40</v>
      </c>
      <c r="E126" s="13" t="s">
        <v>45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5">
        <v>0</v>
      </c>
      <c r="N126" s="670"/>
      <c r="O126" s="14">
        <v>74100.3</v>
      </c>
      <c r="P126" s="15">
        <v>93952.53</v>
      </c>
      <c r="Q126" s="15" t="str">
        <f>IF(ISTEXT('Incurred 2.5% cpi'!Q126),"",'Incurred 2.5% cpi'!Q126/'Incurred 2.5% cpi'!Q$17*Incurred!Q$17)</f>
        <v/>
      </c>
      <c r="R126" s="110">
        <f>IF(ISTEXT('Incurred 2.5% cpi'!R126),"",'Incurred 2.5% cpi'!R126/'Incurred 2.5% cpi'!R$17*Incurred!R$17*BG126)</f>
        <v>23651.253822861428</v>
      </c>
      <c r="S126" s="102">
        <f>IF(ISTEXT('Incurred 2.5% cpi'!S126),"",'Incurred 2.5% cpi'!S126/'Incurred 2.5% cpi'!S$17*Incurred!S$17*BH126)</f>
        <v>99790.503251925649</v>
      </c>
      <c r="T126" s="16" t="str">
        <f>IF(ISTEXT('Incurred 2.5% cpi'!T126),"",'Incurred 2.5% cpi'!T126/'Incurred 2.5% cpi'!T$17*Incurred!T$17*BI126)</f>
        <v/>
      </c>
      <c r="U126" s="16" t="str">
        <f>IF(ISTEXT('Incurred 2.5% cpi'!U126),"",'Incurred 2.5% cpi'!U126/'Incurred 2.5% cpi'!U$17*Incurred!U$17*BJ126)</f>
        <v/>
      </c>
      <c r="V126" s="16" t="str">
        <f>IF(ISTEXT('Incurred 2.5% cpi'!V126),"",'Incurred 2.5% cpi'!V126/'Incurred 2.5% cpi'!V$17*Incurred!V$17*BK126)</f>
        <v/>
      </c>
      <c r="W126" s="110" t="str">
        <f>IF(ISTEXT('Incurred 2.5% cpi'!W126),"",'Incurred 2.5% cpi'!W126/'Incurred 2.5% cpi'!W$17*Incurred!W$17*BL126)</f>
        <v/>
      </c>
      <c r="X126" s="102" t="str">
        <f>IF(ISTEXT('Incurred 2.5% cpi'!X126),"",'Incurred 2.5% cpi'!X126/'Incurred 2.5% cpi'!X$17*Incurred!X$17*BM126)</f>
        <v/>
      </c>
      <c r="Y126" s="80">
        <f t="shared" si="156"/>
        <v>291494.58707478706</v>
      </c>
      <c r="Z126" s="80">
        <f t="shared" si="172"/>
        <v>291494.58707478706</v>
      </c>
      <c r="AA126" s="566">
        <f t="shared" si="173"/>
        <v>337092.20197337249</v>
      </c>
      <c r="AB126" s="566">
        <f t="shared" si="174"/>
        <v>305388.89773474605</v>
      </c>
      <c r="AC126" s="567">
        <f t="shared" si="194"/>
        <v>1.1038128906249998</v>
      </c>
      <c r="AD126" s="568" t="str">
        <f t="shared" si="175"/>
        <v>2019</v>
      </c>
      <c r="AE126" s="569">
        <v>43377</v>
      </c>
      <c r="AF126" s="568">
        <v>2019</v>
      </c>
      <c r="AG126" s="569"/>
      <c r="AH126" s="566">
        <f t="shared" si="208"/>
        <v>297940.38803389861</v>
      </c>
      <c r="AI126" s="80">
        <f t="shared" si="176"/>
        <v>99790.503251925649</v>
      </c>
      <c r="AJ126" s="571" t="s">
        <v>0</v>
      </c>
      <c r="AK126" s="875">
        <f t="shared" si="177"/>
        <v>0</v>
      </c>
      <c r="AL126" s="28">
        <f t="shared" si="209"/>
        <v>0</v>
      </c>
      <c r="AM126" s="28">
        <f t="shared" si="209"/>
        <v>0</v>
      </c>
      <c r="AN126" s="28">
        <f t="shared" si="209"/>
        <v>0</v>
      </c>
      <c r="AO126" s="28">
        <f t="shared" si="209"/>
        <v>0</v>
      </c>
      <c r="AP126" s="28">
        <f t="shared" si="209"/>
        <v>0</v>
      </c>
      <c r="AQ126" s="28">
        <f t="shared" si="209"/>
        <v>0</v>
      </c>
      <c r="AR126" s="28">
        <f t="shared" si="209"/>
        <v>0</v>
      </c>
      <c r="AS126" s="28">
        <f t="shared" si="209"/>
        <v>1</v>
      </c>
      <c r="AT126" s="28">
        <f t="shared" si="209"/>
        <v>0</v>
      </c>
      <c r="AU126" s="28">
        <f t="shared" si="209"/>
        <v>0</v>
      </c>
      <c r="AV126" s="28">
        <f t="shared" si="210"/>
        <v>0</v>
      </c>
      <c r="AW126" s="28">
        <f t="shared" si="210"/>
        <v>0</v>
      </c>
      <c r="AX126" s="28">
        <f t="shared" si="210"/>
        <v>0</v>
      </c>
      <c r="AY126" s="28">
        <f t="shared" si="210"/>
        <v>0</v>
      </c>
      <c r="AZ126" s="28">
        <f t="shared" si="210"/>
        <v>0</v>
      </c>
      <c r="BA126" s="28">
        <f t="shared" si="210"/>
        <v>0</v>
      </c>
      <c r="BB126" s="28">
        <f t="shared" si="210"/>
        <v>0</v>
      </c>
      <c r="BC126" s="28">
        <f t="shared" si="210"/>
        <v>0</v>
      </c>
      <c r="BD126" s="28">
        <f t="shared" si="210"/>
        <v>0</v>
      </c>
      <c r="BE126" s="28">
        <f t="shared" si="210"/>
        <v>0</v>
      </c>
      <c r="BF126" s="27">
        <f t="shared" si="211"/>
        <v>1</v>
      </c>
      <c r="BG126" s="520">
        <f t="shared" si="157"/>
        <v>1.0034498951996242</v>
      </c>
      <c r="BH126" s="520">
        <f t="shared" si="181"/>
        <v>1.0065926315443261</v>
      </c>
      <c r="BI126" s="520">
        <f t="shared" si="182"/>
        <v>1.0099939207178206</v>
      </c>
      <c r="BJ126" s="520">
        <f t="shared" si="183"/>
        <v>1.0139228081132494</v>
      </c>
      <c r="BK126" s="520">
        <f t="shared" si="184"/>
        <v>1.0196467222390713</v>
      </c>
      <c r="BL126" s="520">
        <f t="shared" si="185"/>
        <v>1.0260851094706045</v>
      </c>
      <c r="BM126" s="520">
        <f t="shared" si="186"/>
        <v>1.0303954349252136</v>
      </c>
      <c r="BN126" s="521" t="str">
        <f t="shared" si="187"/>
        <v>Category</v>
      </c>
      <c r="BP126" s="3"/>
    </row>
    <row r="127" spans="1:69" hidden="1" x14ac:dyDescent="0.15">
      <c r="A127" s="12" t="s">
        <v>268</v>
      </c>
      <c r="B127" s="13" t="s">
        <v>269</v>
      </c>
      <c r="C127" s="13" t="s">
        <v>27</v>
      </c>
      <c r="D127" s="13" t="s">
        <v>55</v>
      </c>
      <c r="E127" s="13" t="s">
        <v>29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5">
        <v>0</v>
      </c>
      <c r="N127" s="670"/>
      <c r="O127" s="14">
        <v>1132106.48</v>
      </c>
      <c r="P127" s="15">
        <v>1936776</v>
      </c>
      <c r="Q127" s="15">
        <f>IF(ISTEXT('Incurred 2.5% cpi'!Q127),"",'Incurred 2.5% cpi'!Q127/'Incurred 2.5% cpi'!Q$17*Incurred!Q$17)</f>
        <v>692825.16</v>
      </c>
      <c r="R127" s="110" t="str">
        <f>IF(ISTEXT('Incurred 2.5% cpi'!R127),"",'Incurred 2.5% cpi'!R127/'Incurred 2.5% cpi'!R$17*Incurred!R$17*BG127)</f>
        <v/>
      </c>
      <c r="S127" s="102" t="str">
        <f>IF(ISTEXT('Incurred 2.5% cpi'!S127),"",'Incurred 2.5% cpi'!S127/'Incurred 2.5% cpi'!S$17*Incurred!S$17*BH127)</f>
        <v/>
      </c>
      <c r="T127" s="16" t="str">
        <f>IF(ISTEXT('Incurred 2.5% cpi'!T127),"",'Incurred 2.5% cpi'!T127/'Incurred 2.5% cpi'!T$17*Incurred!T$17*BI127)</f>
        <v/>
      </c>
      <c r="U127" s="16" t="str">
        <f>IF(ISTEXT('Incurred 2.5% cpi'!U127),"",'Incurred 2.5% cpi'!U127/'Incurred 2.5% cpi'!U$17*Incurred!U$17*BJ127)</f>
        <v/>
      </c>
      <c r="V127" s="16" t="str">
        <f>IF(ISTEXT('Incurred 2.5% cpi'!V127),"",'Incurred 2.5% cpi'!V127/'Incurred 2.5% cpi'!V$17*Incurred!V$17*BK127)</f>
        <v/>
      </c>
      <c r="W127" s="110" t="str">
        <f>IF(ISTEXT('Incurred 2.5% cpi'!W127),"",'Incurred 2.5% cpi'!W127/'Incurred 2.5% cpi'!W$17*Incurred!W$17*BL127)</f>
        <v/>
      </c>
      <c r="X127" s="102" t="str">
        <f>IF(ISTEXT('Incurred 2.5% cpi'!X127),"",'Incurred 2.5% cpi'!X127/'Incurred 2.5% cpi'!X$17*Incurred!X$17*BM127)</f>
        <v/>
      </c>
      <c r="Y127" s="80">
        <f t="shared" si="156"/>
        <v>3761707.64</v>
      </c>
      <c r="Z127" s="80">
        <f t="shared" si="172"/>
        <v>3761707.64</v>
      </c>
      <c r="AA127" s="566">
        <f t="shared" si="173"/>
        <v>4455656.3105107229</v>
      </c>
      <c r="AB127" s="566">
        <f t="shared" si="174"/>
        <v>3842098.4723505415</v>
      </c>
      <c r="AC127" s="567">
        <f t="shared" si="194"/>
        <v>1.1596934182128902</v>
      </c>
      <c r="AD127" s="568" t="str">
        <f t="shared" si="175"/>
        <v>2017</v>
      </c>
      <c r="AE127" s="569">
        <v>42716</v>
      </c>
      <c r="AF127" s="568" t="s">
        <v>3152</v>
      </c>
      <c r="AG127" s="569"/>
      <c r="AH127" s="566">
        <f t="shared" si="208"/>
        <v>3938150.9341593049</v>
      </c>
      <c r="AI127" s="80">
        <f t="shared" si="176"/>
        <v>692825.16</v>
      </c>
      <c r="AJ127" s="571" t="s">
        <v>0</v>
      </c>
      <c r="AK127" s="875">
        <f t="shared" ref="AK127:AK132" si="212">IF(ISNA(VLOOKUP(LEFT($A127,8),Estimates,72,FALSE)),0,VLOOKUP(LEFT($A127,8),Estimates,72,FALSE))</f>
        <v>1500000</v>
      </c>
      <c r="AL127" s="28">
        <f t="shared" ref="AL127:AU132" si="213">IF($AK127=0,VLOOKUP(MID($A127,4,5),ProjectSplits,AL$23,FALSE),IF(ISNA(VLOOKUP($A127,Estimates,AL$22,FALSE)),VLOOKUP(MID($A127,4,5),ProjectSplits,AL$23,FALSE),VLOOKUP($A127,Estimates,AL$22,FALSE)))</f>
        <v>0</v>
      </c>
      <c r="AM127" s="28">
        <f t="shared" si="213"/>
        <v>0</v>
      </c>
      <c r="AN127" s="28">
        <f t="shared" si="213"/>
        <v>0</v>
      </c>
      <c r="AO127" s="28">
        <f t="shared" si="213"/>
        <v>1</v>
      </c>
      <c r="AP127" s="28">
        <f t="shared" si="213"/>
        <v>0</v>
      </c>
      <c r="AQ127" s="28">
        <f t="shared" si="213"/>
        <v>0</v>
      </c>
      <c r="AR127" s="28">
        <f t="shared" si="213"/>
        <v>0</v>
      </c>
      <c r="AS127" s="28">
        <f t="shared" si="213"/>
        <v>0</v>
      </c>
      <c r="AT127" s="28">
        <f t="shared" si="213"/>
        <v>0</v>
      </c>
      <c r="AU127" s="28">
        <f t="shared" si="213"/>
        <v>0</v>
      </c>
      <c r="AV127" s="28">
        <f t="shared" ref="AV127:BE132" si="214">IF($AK127=0,VLOOKUP(MID($A127,4,5),ProjectSplits,AV$23,FALSE),IF(ISNA(VLOOKUP($A127,Estimates,AV$22,FALSE)),VLOOKUP(MID($A127,4,5),ProjectSplits,AV$23,FALSE),VLOOKUP($A127,Estimates,AV$22,FALSE)))</f>
        <v>0</v>
      </c>
      <c r="AW127" s="28">
        <f t="shared" si="214"/>
        <v>0</v>
      </c>
      <c r="AX127" s="28">
        <f t="shared" si="214"/>
        <v>0</v>
      </c>
      <c r="AY127" s="28">
        <f t="shared" si="214"/>
        <v>0</v>
      </c>
      <c r="AZ127" s="28">
        <f t="shared" si="214"/>
        <v>0</v>
      </c>
      <c r="BA127" s="28">
        <f t="shared" si="214"/>
        <v>0</v>
      </c>
      <c r="BB127" s="28">
        <f t="shared" si="214"/>
        <v>0</v>
      </c>
      <c r="BC127" s="28">
        <f t="shared" si="214"/>
        <v>0</v>
      </c>
      <c r="BD127" s="28">
        <f t="shared" si="214"/>
        <v>0</v>
      </c>
      <c r="BE127" s="28">
        <f t="shared" si="214"/>
        <v>0</v>
      </c>
      <c r="BF127" s="27">
        <f t="shared" si="211"/>
        <v>1</v>
      </c>
      <c r="BG127" s="520">
        <f t="shared" si="157"/>
        <v>1.0046190746045656</v>
      </c>
      <c r="BH127" s="520">
        <f t="shared" si="181"/>
        <v>1.0088268933348963</v>
      </c>
      <c r="BI127" s="520">
        <f t="shared" si="182"/>
        <v>1.0133808891912874</v>
      </c>
      <c r="BJ127" s="520">
        <f t="shared" si="183"/>
        <v>1.018641287824382</v>
      </c>
      <c r="BK127" s="520">
        <f t="shared" si="184"/>
        <v>1.0263050529092395</v>
      </c>
      <c r="BL127" s="520">
        <f t="shared" si="185"/>
        <v>1.0349254280901359</v>
      </c>
      <c r="BM127" s="520">
        <f t="shared" si="186"/>
        <v>1.0406965352376705</v>
      </c>
      <c r="BN127" s="521" t="str">
        <f t="shared" si="187"/>
        <v>Category</v>
      </c>
      <c r="BP127" s="3"/>
    </row>
    <row r="128" spans="1:69" hidden="1" x14ac:dyDescent="0.15">
      <c r="A128" s="12" t="s">
        <v>270</v>
      </c>
      <c r="B128" s="13" t="s">
        <v>271</v>
      </c>
      <c r="C128" s="13" t="s">
        <v>27</v>
      </c>
      <c r="D128" s="13" t="s">
        <v>55</v>
      </c>
      <c r="E128" s="13" t="s">
        <v>29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5">
        <v>0</v>
      </c>
      <c r="N128" s="670">
        <v>2789.9</v>
      </c>
      <c r="O128" s="14">
        <v>1200719.51</v>
      </c>
      <c r="P128" s="15">
        <v>975419.31</v>
      </c>
      <c r="Q128" s="15">
        <f>IF(ISTEXT('Incurred 2.5% cpi'!Q128),"",'Incurred 2.5% cpi'!Q128/'Incurred 2.5% cpi'!Q$17*Incurred!Q$17)</f>
        <v>406569.87</v>
      </c>
      <c r="R128" s="110" t="str">
        <f>IF(ISTEXT('Incurred 2.5% cpi'!R128),"",'Incurred 2.5% cpi'!R128/'Incurred 2.5% cpi'!R$17*Incurred!R$17*BG128)</f>
        <v/>
      </c>
      <c r="S128" s="102" t="str">
        <f>IF(ISTEXT('Incurred 2.5% cpi'!S128),"",'Incurred 2.5% cpi'!S128/'Incurred 2.5% cpi'!S$17*Incurred!S$17*BH128)</f>
        <v/>
      </c>
      <c r="T128" s="16" t="str">
        <f>IF(ISTEXT('Incurred 2.5% cpi'!T128),"",'Incurred 2.5% cpi'!T128/'Incurred 2.5% cpi'!T$17*Incurred!T$17*BI128)</f>
        <v/>
      </c>
      <c r="U128" s="16" t="str">
        <f>IF(ISTEXT('Incurred 2.5% cpi'!U128),"",'Incurred 2.5% cpi'!U128/'Incurred 2.5% cpi'!U$17*Incurred!U$17*BJ128)</f>
        <v/>
      </c>
      <c r="V128" s="16" t="str">
        <f>IF(ISTEXT('Incurred 2.5% cpi'!V128),"",'Incurred 2.5% cpi'!V128/'Incurred 2.5% cpi'!V$17*Incurred!V$17*BK128)</f>
        <v/>
      </c>
      <c r="W128" s="110" t="str">
        <f>IF(ISTEXT('Incurred 2.5% cpi'!W128),"",'Incurred 2.5% cpi'!W128/'Incurred 2.5% cpi'!W$17*Incurred!W$17*BL128)</f>
        <v/>
      </c>
      <c r="X128" s="102" t="str">
        <f>IF(ISTEXT('Incurred 2.5% cpi'!X128),"",'Incurred 2.5% cpi'!X128/'Incurred 2.5% cpi'!X$17*Incurred!X$17*BM128)</f>
        <v/>
      </c>
      <c r="Y128" s="80">
        <f t="shared" si="156"/>
        <v>2585498.59</v>
      </c>
      <c r="Z128" s="80">
        <f t="shared" si="172"/>
        <v>2585498.59</v>
      </c>
      <c r="AA128" s="566">
        <f t="shared" si="173"/>
        <v>3070828.70390129</v>
      </c>
      <c r="AB128" s="566">
        <f t="shared" si="174"/>
        <v>2647965.9672756409</v>
      </c>
      <c r="AC128" s="567">
        <f t="shared" si="194"/>
        <v>1.1596934182128902</v>
      </c>
      <c r="AD128" s="568" t="str">
        <f t="shared" si="175"/>
        <v>2017</v>
      </c>
      <c r="AE128" s="569">
        <v>42492</v>
      </c>
      <c r="AF128" s="568" t="s">
        <v>3152</v>
      </c>
      <c r="AG128" s="569"/>
      <c r="AH128" s="566">
        <f t="shared" si="208"/>
        <v>2714165.1164575317</v>
      </c>
      <c r="AI128" s="80">
        <f t="shared" si="176"/>
        <v>406569.87</v>
      </c>
      <c r="AJ128" s="571" t="s">
        <v>0</v>
      </c>
      <c r="AK128" s="875">
        <f t="shared" si="212"/>
        <v>2531002.0000000042</v>
      </c>
      <c r="AL128" s="28">
        <f t="shared" si="213"/>
        <v>0</v>
      </c>
      <c r="AM128" s="28">
        <f t="shared" si="213"/>
        <v>0</v>
      </c>
      <c r="AN128" s="28">
        <f t="shared" si="213"/>
        <v>0</v>
      </c>
      <c r="AO128" s="28">
        <f t="shared" si="213"/>
        <v>1</v>
      </c>
      <c r="AP128" s="28">
        <f t="shared" si="213"/>
        <v>0</v>
      </c>
      <c r="AQ128" s="28">
        <f t="shared" si="213"/>
        <v>0</v>
      </c>
      <c r="AR128" s="28">
        <f t="shared" si="213"/>
        <v>0</v>
      </c>
      <c r="AS128" s="28">
        <f t="shared" si="213"/>
        <v>0</v>
      </c>
      <c r="AT128" s="28">
        <f t="shared" si="213"/>
        <v>0</v>
      </c>
      <c r="AU128" s="28">
        <f t="shared" si="213"/>
        <v>0</v>
      </c>
      <c r="AV128" s="28">
        <f t="shared" si="214"/>
        <v>0</v>
      </c>
      <c r="AW128" s="28">
        <f t="shared" si="214"/>
        <v>0</v>
      </c>
      <c r="AX128" s="28">
        <f t="shared" si="214"/>
        <v>0</v>
      </c>
      <c r="AY128" s="28">
        <f t="shared" si="214"/>
        <v>0</v>
      </c>
      <c r="AZ128" s="28">
        <f t="shared" si="214"/>
        <v>0</v>
      </c>
      <c r="BA128" s="28">
        <f t="shared" si="214"/>
        <v>0</v>
      </c>
      <c r="BB128" s="28">
        <f t="shared" si="214"/>
        <v>0</v>
      </c>
      <c r="BC128" s="28">
        <f t="shared" si="214"/>
        <v>0</v>
      </c>
      <c r="BD128" s="28">
        <f t="shared" si="214"/>
        <v>0</v>
      </c>
      <c r="BE128" s="28">
        <f t="shared" si="214"/>
        <v>0</v>
      </c>
      <c r="BF128" s="27">
        <f t="shared" si="211"/>
        <v>1</v>
      </c>
      <c r="BG128" s="520">
        <f t="shared" si="157"/>
        <v>1.0046190746045656</v>
      </c>
      <c r="BH128" s="520">
        <f t="shared" si="181"/>
        <v>1.0088268933348963</v>
      </c>
      <c r="BI128" s="520">
        <f t="shared" si="182"/>
        <v>1.0133808891912874</v>
      </c>
      <c r="BJ128" s="520">
        <f t="shared" si="183"/>
        <v>1.018641287824382</v>
      </c>
      <c r="BK128" s="520">
        <f t="shared" si="184"/>
        <v>1.0263050529092395</v>
      </c>
      <c r="BL128" s="520">
        <f t="shared" si="185"/>
        <v>1.0349254280901359</v>
      </c>
      <c r="BM128" s="520">
        <f t="shared" si="186"/>
        <v>1.0406965352376705</v>
      </c>
      <c r="BN128" s="521" t="str">
        <f t="shared" si="187"/>
        <v>Category</v>
      </c>
      <c r="BP128" s="3"/>
    </row>
    <row r="129" spans="1:69" hidden="1" x14ac:dyDescent="0.15">
      <c r="A129" s="12" t="s">
        <v>272</v>
      </c>
      <c r="B129" s="13" t="s">
        <v>273</v>
      </c>
      <c r="C129" s="13" t="s">
        <v>27</v>
      </c>
      <c r="D129" s="13" t="s">
        <v>55</v>
      </c>
      <c r="E129" s="13" t="s">
        <v>29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5">
        <v>0</v>
      </c>
      <c r="N129" s="670"/>
      <c r="O129" s="14">
        <v>105135.8</v>
      </c>
      <c r="P129" s="15">
        <v>1736547.31</v>
      </c>
      <c r="Q129" s="15">
        <f>IF(ISTEXT('Incurred 2.5% cpi'!Q129),"",'Incurred 2.5% cpi'!Q129/'Incurred 2.5% cpi'!Q$17*Incurred!Q$17)</f>
        <v>354965.81</v>
      </c>
      <c r="R129" s="110">
        <f>IF(ISTEXT('Incurred 2.5% cpi'!R129),"",'Incurred 2.5% cpi'!R129/'Incurred 2.5% cpi'!R$17*Incurred!R$17*BG129)</f>
        <v>38094.803692329035</v>
      </c>
      <c r="S129" s="102" t="str">
        <f>IF(ISTEXT('Incurred 2.5% cpi'!S129),"",'Incurred 2.5% cpi'!S129/'Incurred 2.5% cpi'!S$17*Incurred!S$17*BH129)</f>
        <v/>
      </c>
      <c r="T129" s="16" t="str">
        <f>IF(ISTEXT('Incurred 2.5% cpi'!T129),"",'Incurred 2.5% cpi'!T129/'Incurred 2.5% cpi'!T$17*Incurred!T$17*BI129)</f>
        <v/>
      </c>
      <c r="U129" s="16" t="str">
        <f>IF(ISTEXT('Incurred 2.5% cpi'!U129),"",'Incurred 2.5% cpi'!U129/'Incurred 2.5% cpi'!U$17*Incurred!U$17*BJ129)</f>
        <v/>
      </c>
      <c r="V129" s="16" t="str">
        <f>IF(ISTEXT('Incurred 2.5% cpi'!V129),"",'Incurred 2.5% cpi'!V129/'Incurred 2.5% cpi'!V$17*Incurred!V$17*BK129)</f>
        <v/>
      </c>
      <c r="W129" s="110" t="str">
        <f>IF(ISTEXT('Incurred 2.5% cpi'!W129),"",'Incurred 2.5% cpi'!W129/'Incurred 2.5% cpi'!W$17*Incurred!W$17*BL129)</f>
        <v/>
      </c>
      <c r="X129" s="102" t="str">
        <f>IF(ISTEXT('Incurred 2.5% cpi'!X129),"",'Incurred 2.5% cpi'!X129/'Incurred 2.5% cpi'!X$17*Incurred!X$17*BM129)</f>
        <v/>
      </c>
      <c r="Y129" s="80">
        <f t="shared" si="156"/>
        <v>2234743.7236923291</v>
      </c>
      <c r="Z129" s="80">
        <f t="shared" si="172"/>
        <v>2234743.7236923291</v>
      </c>
      <c r="AA129" s="566">
        <f t="shared" si="173"/>
        <v>2637572.6092190938</v>
      </c>
      <c r="AB129" s="566">
        <f t="shared" si="174"/>
        <v>2331229.8595397174</v>
      </c>
      <c r="AC129" s="567">
        <f t="shared" si="194"/>
        <v>1.1314082128906247</v>
      </c>
      <c r="AD129" s="568" t="str">
        <f t="shared" si="175"/>
        <v>2018</v>
      </c>
      <c r="AE129" s="569">
        <v>42704</v>
      </c>
      <c r="AF129" s="568" t="s">
        <v>3152</v>
      </c>
      <c r="AG129" s="569"/>
      <c r="AH129" s="566">
        <f t="shared" si="208"/>
        <v>2331229.8595397179</v>
      </c>
      <c r="AI129" s="80">
        <f t="shared" si="176"/>
        <v>38094.803692329035</v>
      </c>
      <c r="AJ129" s="571" t="s">
        <v>0</v>
      </c>
      <c r="AK129" s="875">
        <f t="shared" si="212"/>
        <v>1099999.9999999984</v>
      </c>
      <c r="AL129" s="28">
        <f t="shared" si="213"/>
        <v>0</v>
      </c>
      <c r="AM129" s="28">
        <f t="shared" si="213"/>
        <v>0</v>
      </c>
      <c r="AN129" s="28">
        <f t="shared" si="213"/>
        <v>0</v>
      </c>
      <c r="AO129" s="28">
        <f t="shared" si="213"/>
        <v>1</v>
      </c>
      <c r="AP129" s="28">
        <f t="shared" si="213"/>
        <v>0</v>
      </c>
      <c r="AQ129" s="28">
        <f t="shared" si="213"/>
        <v>0</v>
      </c>
      <c r="AR129" s="28">
        <f t="shared" si="213"/>
        <v>0</v>
      </c>
      <c r="AS129" s="28">
        <f t="shared" si="213"/>
        <v>0</v>
      </c>
      <c r="AT129" s="28">
        <f t="shared" si="213"/>
        <v>0</v>
      </c>
      <c r="AU129" s="28">
        <f t="shared" si="213"/>
        <v>0</v>
      </c>
      <c r="AV129" s="28">
        <f t="shared" si="214"/>
        <v>0</v>
      </c>
      <c r="AW129" s="28">
        <f t="shared" si="214"/>
        <v>0</v>
      </c>
      <c r="AX129" s="28">
        <f t="shared" si="214"/>
        <v>0</v>
      </c>
      <c r="AY129" s="28">
        <f t="shared" si="214"/>
        <v>0</v>
      </c>
      <c r="AZ129" s="28">
        <f t="shared" si="214"/>
        <v>0</v>
      </c>
      <c r="BA129" s="28">
        <f t="shared" si="214"/>
        <v>0</v>
      </c>
      <c r="BB129" s="28">
        <f t="shared" si="214"/>
        <v>0</v>
      </c>
      <c r="BC129" s="28">
        <f t="shared" si="214"/>
        <v>0</v>
      </c>
      <c r="BD129" s="28">
        <f t="shared" si="214"/>
        <v>0</v>
      </c>
      <c r="BE129" s="28">
        <f t="shared" si="214"/>
        <v>0</v>
      </c>
      <c r="BF129" s="27">
        <f t="shared" si="211"/>
        <v>1</v>
      </c>
      <c r="BG129" s="520">
        <f t="shared" si="157"/>
        <v>1.0046190746045656</v>
      </c>
      <c r="BH129" s="520">
        <f t="shared" si="181"/>
        <v>1.0088268933348963</v>
      </c>
      <c r="BI129" s="520">
        <f t="shared" si="182"/>
        <v>1.0133808891912874</v>
      </c>
      <c r="BJ129" s="520">
        <f t="shared" si="183"/>
        <v>1.018641287824382</v>
      </c>
      <c r="BK129" s="520">
        <f t="shared" si="184"/>
        <v>1.0263050529092395</v>
      </c>
      <c r="BL129" s="520">
        <f t="shared" si="185"/>
        <v>1.0349254280901359</v>
      </c>
      <c r="BM129" s="520">
        <f t="shared" si="186"/>
        <v>1.0406965352376705</v>
      </c>
      <c r="BN129" s="521" t="str">
        <f t="shared" si="187"/>
        <v>Category</v>
      </c>
      <c r="BP129" s="3">
        <f>SUMPRODUCT(F129:P129,$F$19:$P$19)/$Q$19</f>
        <v>1882239.122534038</v>
      </c>
      <c r="BQ129" s="3"/>
    </row>
    <row r="130" spans="1:69" hidden="1" x14ac:dyDescent="0.15">
      <c r="A130" s="12" t="s">
        <v>274</v>
      </c>
      <c r="B130" s="13" t="s">
        <v>275</v>
      </c>
      <c r="C130" s="13" t="s">
        <v>27</v>
      </c>
      <c r="D130" s="13" t="s">
        <v>55</v>
      </c>
      <c r="E130" s="13" t="s">
        <v>29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5">
        <v>0</v>
      </c>
      <c r="N130" s="670"/>
      <c r="O130" s="14">
        <v>376301.33</v>
      </c>
      <c r="P130" s="15">
        <v>891785.15</v>
      </c>
      <c r="Q130" s="15">
        <f>IF(ISTEXT('Incurred 2.5% cpi'!Q130),"",'Incurred 2.5% cpi'!Q130/'Incurred 2.5% cpi'!Q$17*Incurred!Q$17)</f>
        <v>475188.83</v>
      </c>
      <c r="R130" s="110">
        <f>IF(ISTEXT('Incurred 2.5% cpi'!R130),"",'Incurred 2.5% cpi'!R130/'Incurred 2.5% cpi'!R$17*Incurred!R$17*BG130)</f>
        <v>15475.49379569409</v>
      </c>
      <c r="S130" s="102" t="str">
        <f>IF(ISTEXT('Incurred 2.5% cpi'!S130),"",'Incurred 2.5% cpi'!S130/'Incurred 2.5% cpi'!S$17*Incurred!S$17*BH130)</f>
        <v/>
      </c>
      <c r="T130" s="16" t="str">
        <f>IF(ISTEXT('Incurred 2.5% cpi'!T130),"",'Incurred 2.5% cpi'!T130/'Incurred 2.5% cpi'!T$17*Incurred!T$17*BI130)</f>
        <v/>
      </c>
      <c r="U130" s="16" t="str">
        <f>IF(ISTEXT('Incurred 2.5% cpi'!U130),"",'Incurred 2.5% cpi'!U130/'Incurred 2.5% cpi'!U$17*Incurred!U$17*BJ130)</f>
        <v/>
      </c>
      <c r="V130" s="16" t="str">
        <f>IF(ISTEXT('Incurred 2.5% cpi'!V130),"",'Incurred 2.5% cpi'!V130/'Incurred 2.5% cpi'!V$17*Incurred!V$17*BK130)</f>
        <v/>
      </c>
      <c r="W130" s="110" t="str">
        <f>IF(ISTEXT('Incurred 2.5% cpi'!W130),"",'Incurred 2.5% cpi'!W130/'Incurred 2.5% cpi'!W$17*Incurred!W$17*BL130)</f>
        <v/>
      </c>
      <c r="X130" s="102" t="str">
        <f>IF(ISTEXT('Incurred 2.5% cpi'!X130),"",'Incurred 2.5% cpi'!X130/'Incurred 2.5% cpi'!X$17*Incurred!X$17*BM130)</f>
        <v/>
      </c>
      <c r="Y130" s="80">
        <f t="shared" si="156"/>
        <v>1758750.8037956941</v>
      </c>
      <c r="Z130" s="80">
        <f t="shared" si="172"/>
        <v>1758750.8037956941</v>
      </c>
      <c r="AA130" s="566">
        <f t="shared" si="173"/>
        <v>2076276.391471745</v>
      </c>
      <c r="AB130" s="566">
        <f t="shared" si="174"/>
        <v>1835125.7908647181</v>
      </c>
      <c r="AC130" s="567">
        <f t="shared" si="194"/>
        <v>1.1314082128906247</v>
      </c>
      <c r="AD130" s="568" t="str">
        <f t="shared" si="175"/>
        <v>2018</v>
      </c>
      <c r="AE130" s="569">
        <v>42767</v>
      </c>
      <c r="AF130" s="568" t="s">
        <v>3152</v>
      </c>
      <c r="AG130" s="569"/>
      <c r="AH130" s="566">
        <f t="shared" si="208"/>
        <v>1835125.7908647184</v>
      </c>
      <c r="AI130" s="80">
        <f t="shared" si="176"/>
        <v>15475.49379569409</v>
      </c>
      <c r="AJ130" s="571" t="s">
        <v>0</v>
      </c>
      <c r="AK130" s="875">
        <f t="shared" si="212"/>
        <v>1300000.0000000009</v>
      </c>
      <c r="AL130" s="28">
        <f t="shared" si="213"/>
        <v>0</v>
      </c>
      <c r="AM130" s="28">
        <f t="shared" si="213"/>
        <v>0</v>
      </c>
      <c r="AN130" s="28">
        <f t="shared" si="213"/>
        <v>0</v>
      </c>
      <c r="AO130" s="28">
        <f t="shared" si="213"/>
        <v>1</v>
      </c>
      <c r="AP130" s="28">
        <f t="shared" si="213"/>
        <v>0</v>
      </c>
      <c r="AQ130" s="28">
        <f t="shared" si="213"/>
        <v>0</v>
      </c>
      <c r="AR130" s="28">
        <f t="shared" si="213"/>
        <v>0</v>
      </c>
      <c r="AS130" s="28">
        <f t="shared" si="213"/>
        <v>0</v>
      </c>
      <c r="AT130" s="28">
        <f t="shared" si="213"/>
        <v>0</v>
      </c>
      <c r="AU130" s="28">
        <f t="shared" si="213"/>
        <v>0</v>
      </c>
      <c r="AV130" s="28">
        <f t="shared" si="214"/>
        <v>0</v>
      </c>
      <c r="AW130" s="28">
        <f t="shared" si="214"/>
        <v>0</v>
      </c>
      <c r="AX130" s="28">
        <f t="shared" si="214"/>
        <v>0</v>
      </c>
      <c r="AY130" s="28">
        <f t="shared" si="214"/>
        <v>0</v>
      </c>
      <c r="AZ130" s="28">
        <f t="shared" si="214"/>
        <v>0</v>
      </c>
      <c r="BA130" s="28">
        <f t="shared" si="214"/>
        <v>0</v>
      </c>
      <c r="BB130" s="28">
        <f t="shared" si="214"/>
        <v>0</v>
      </c>
      <c r="BC130" s="28">
        <f t="shared" si="214"/>
        <v>0</v>
      </c>
      <c r="BD130" s="28">
        <f t="shared" si="214"/>
        <v>0</v>
      </c>
      <c r="BE130" s="28">
        <f t="shared" si="214"/>
        <v>0</v>
      </c>
      <c r="BF130" s="27">
        <f t="shared" si="211"/>
        <v>1</v>
      </c>
      <c r="BG130" s="520">
        <f t="shared" si="157"/>
        <v>1.0046190746045656</v>
      </c>
      <c r="BH130" s="520">
        <f t="shared" si="181"/>
        <v>1.0088268933348963</v>
      </c>
      <c r="BI130" s="520">
        <f t="shared" si="182"/>
        <v>1.0133808891912874</v>
      </c>
      <c r="BJ130" s="520">
        <f t="shared" si="183"/>
        <v>1.018641287824382</v>
      </c>
      <c r="BK130" s="520">
        <f t="shared" si="184"/>
        <v>1.0263050529092395</v>
      </c>
      <c r="BL130" s="520">
        <f t="shared" si="185"/>
        <v>1.0349254280901359</v>
      </c>
      <c r="BM130" s="520">
        <f t="shared" si="186"/>
        <v>1.0406965352376705</v>
      </c>
      <c r="BN130" s="521" t="str">
        <f t="shared" si="187"/>
        <v>Category</v>
      </c>
      <c r="BP130" s="3">
        <f>SUMPRODUCT(F130:P130,$F$19:$P$19)/$Q$19</f>
        <v>1300079.7525063653</v>
      </c>
      <c r="BQ130" s="3"/>
    </row>
    <row r="131" spans="1:69" hidden="1" x14ac:dyDescent="0.15">
      <c r="A131" s="12" t="s">
        <v>276</v>
      </c>
      <c r="B131" s="13" t="s">
        <v>2377</v>
      </c>
      <c r="C131" s="13" t="s">
        <v>27</v>
      </c>
      <c r="D131" s="13" t="s">
        <v>36</v>
      </c>
      <c r="E131" s="13" t="s">
        <v>32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5">
        <v>0</v>
      </c>
      <c r="N131" s="670"/>
      <c r="O131" s="14"/>
      <c r="P131" s="15">
        <v>276166.64</v>
      </c>
      <c r="Q131" s="15" t="str">
        <f>IF(ISTEXT('Incurred 2.5% cpi'!Q131),"",'Incurred 2.5% cpi'!Q131/'Incurred 2.5% cpi'!Q$17*Incurred!Q$17)</f>
        <v/>
      </c>
      <c r="R131" s="110" t="str">
        <f>IF(ISTEXT('Incurred 2.5% cpi'!R131),"",'Incurred 2.5% cpi'!R131/'Incurred 2.5% cpi'!R$17*Incurred!R$17*BG131)</f>
        <v/>
      </c>
      <c r="S131" s="102" t="str">
        <f>IF(ISTEXT('Incurred 2.5% cpi'!S131),"",'Incurred 2.5% cpi'!S131/'Incurred 2.5% cpi'!S$17*Incurred!S$17*BH131)</f>
        <v/>
      </c>
      <c r="T131" s="16" t="str">
        <f>IF(ISTEXT('Incurred 2.5% cpi'!T131),"",'Incurred 2.5% cpi'!T131/'Incurred 2.5% cpi'!T$17*Incurred!T$17*BI131)</f>
        <v/>
      </c>
      <c r="U131" s="16" t="str">
        <f>IF(ISTEXT('Incurred 2.5% cpi'!U131),"",'Incurred 2.5% cpi'!U131/'Incurred 2.5% cpi'!U$17*Incurred!U$17*BJ131)</f>
        <v/>
      </c>
      <c r="V131" s="16" t="str">
        <f>IF(ISTEXT('Incurred 2.5% cpi'!V131),"",'Incurred 2.5% cpi'!V131/'Incurred 2.5% cpi'!V$17*Incurred!V$17*BK131)</f>
        <v/>
      </c>
      <c r="W131" s="110" t="str">
        <f>IF(ISTEXT('Incurred 2.5% cpi'!W131),"",'Incurred 2.5% cpi'!W131/'Incurred 2.5% cpi'!W$17*Incurred!W$17*BL131)</f>
        <v/>
      </c>
      <c r="X131" s="102" t="str">
        <f>IF(ISTEXT('Incurred 2.5% cpi'!X131),"",'Incurred 2.5% cpi'!X131/'Incurred 2.5% cpi'!X$17*Incurred!X$17*BM131)</f>
        <v/>
      </c>
      <c r="Y131" s="80">
        <f t="shared" si="156"/>
        <v>276166.64</v>
      </c>
      <c r="Z131" s="80">
        <f t="shared" si="172"/>
        <v>276166.64</v>
      </c>
      <c r="AA131" s="566">
        <f t="shared" si="173"/>
        <v>327076.56320282287</v>
      </c>
      <c r="AB131" s="566">
        <f t="shared" si="174"/>
        <v>276166.64</v>
      </c>
      <c r="AC131" s="567">
        <f t="shared" si="194"/>
        <v>1.1843449418902401</v>
      </c>
      <c r="AD131" s="568" t="str">
        <f t="shared" si="175"/>
        <v>2016</v>
      </c>
      <c r="AE131" s="569">
        <v>42410</v>
      </c>
      <c r="AF131" s="568" t="s">
        <v>3152</v>
      </c>
      <c r="AG131" s="569"/>
      <c r="AH131" s="566">
        <f t="shared" si="208"/>
        <v>289088.02276340022</v>
      </c>
      <c r="AI131" s="80">
        <f t="shared" si="176"/>
        <v>276166.64</v>
      </c>
      <c r="AJ131" s="571" t="s">
        <v>0</v>
      </c>
      <c r="AK131" s="875">
        <f t="shared" si="212"/>
        <v>219299.99999999994</v>
      </c>
      <c r="AL131" s="28">
        <f t="shared" si="213"/>
        <v>0.30232558139534887</v>
      </c>
      <c r="AM131" s="28">
        <f t="shared" si="213"/>
        <v>0</v>
      </c>
      <c r="AN131" s="28">
        <f t="shared" si="213"/>
        <v>0</v>
      </c>
      <c r="AO131" s="28">
        <f t="shared" si="213"/>
        <v>0</v>
      </c>
      <c r="AP131" s="28">
        <f t="shared" si="213"/>
        <v>0</v>
      </c>
      <c r="AQ131" s="28">
        <f t="shared" si="213"/>
        <v>0</v>
      </c>
      <c r="AR131" s="28">
        <f t="shared" si="213"/>
        <v>0</v>
      </c>
      <c r="AS131" s="28">
        <f t="shared" si="213"/>
        <v>0.69767441860465107</v>
      </c>
      <c r="AT131" s="28">
        <f t="shared" si="213"/>
        <v>0</v>
      </c>
      <c r="AU131" s="28">
        <f t="shared" si="213"/>
        <v>0</v>
      </c>
      <c r="AV131" s="28">
        <f t="shared" si="214"/>
        <v>0</v>
      </c>
      <c r="AW131" s="28">
        <f t="shared" si="214"/>
        <v>0</v>
      </c>
      <c r="AX131" s="28">
        <f t="shared" si="214"/>
        <v>0</v>
      </c>
      <c r="AY131" s="28">
        <f t="shared" si="214"/>
        <v>0</v>
      </c>
      <c r="AZ131" s="28">
        <f t="shared" si="214"/>
        <v>0</v>
      </c>
      <c r="BA131" s="28">
        <f t="shared" si="214"/>
        <v>0</v>
      </c>
      <c r="BB131" s="28">
        <f t="shared" si="214"/>
        <v>0</v>
      </c>
      <c r="BC131" s="28">
        <f t="shared" si="214"/>
        <v>0</v>
      </c>
      <c r="BD131" s="28">
        <f t="shared" si="214"/>
        <v>0</v>
      </c>
      <c r="BE131" s="28">
        <f t="shared" si="214"/>
        <v>0</v>
      </c>
      <c r="BF131" s="27">
        <f t="shared" si="211"/>
        <v>1</v>
      </c>
      <c r="BG131" s="520">
        <f t="shared" si="157"/>
        <v>1.0018756098697492</v>
      </c>
      <c r="BH131" s="520">
        <f t="shared" si="181"/>
        <v>1.0035842262088148</v>
      </c>
      <c r="BI131" s="520">
        <f t="shared" si="182"/>
        <v>1.0054334103650095</v>
      </c>
      <c r="BJ131" s="520">
        <f t="shared" si="183"/>
        <v>1.007569434664183</v>
      </c>
      <c r="BK131" s="520">
        <f t="shared" si="184"/>
        <v>1.0106813639277612</v>
      </c>
      <c r="BL131" s="520">
        <f t="shared" si="185"/>
        <v>1.0141817318919957</v>
      </c>
      <c r="BM131" s="520">
        <f t="shared" si="186"/>
        <v>1.0165251332119476</v>
      </c>
      <c r="BN131" s="521" t="str">
        <f t="shared" si="187"/>
        <v>Category</v>
      </c>
      <c r="BP131" s="3">
        <f>SUMPRODUCT(F131:P131,$F$19:$P$19)/$Q$19</f>
        <v>282037.09537892707</v>
      </c>
      <c r="BQ131" s="3"/>
    </row>
    <row r="132" spans="1:69" hidden="1" x14ac:dyDescent="0.15">
      <c r="A132" s="12" t="s">
        <v>277</v>
      </c>
      <c r="B132" s="13" t="s">
        <v>278</v>
      </c>
      <c r="C132" s="13" t="s">
        <v>27</v>
      </c>
      <c r="D132" s="13" t="s">
        <v>60</v>
      </c>
      <c r="E132" s="13" t="s">
        <v>32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5">
        <v>0</v>
      </c>
      <c r="N132" s="670"/>
      <c r="O132" s="14"/>
      <c r="P132" s="15">
        <v>1433079.98</v>
      </c>
      <c r="Q132" s="15">
        <f>IF(ISTEXT('Incurred 2.5% cpi'!Q132),"",'Incurred 2.5% cpi'!Q132/'Incurred 2.5% cpi'!Q$17*Incurred!Q$17)</f>
        <v>295783.40999999997</v>
      </c>
      <c r="R132" s="110" t="str">
        <f>IF(ISTEXT('Incurred 2.5% cpi'!R132),"",'Incurred 2.5% cpi'!R132/'Incurred 2.5% cpi'!R$17*Incurred!R$17*BG132)</f>
        <v/>
      </c>
      <c r="S132" s="102" t="str">
        <f>IF(ISTEXT('Incurred 2.5% cpi'!S132),"",'Incurred 2.5% cpi'!S132/'Incurred 2.5% cpi'!S$17*Incurred!S$17*BH132)</f>
        <v/>
      </c>
      <c r="T132" s="16" t="str">
        <f>IF(ISTEXT('Incurred 2.5% cpi'!T132),"",'Incurred 2.5% cpi'!T132/'Incurred 2.5% cpi'!T$17*Incurred!T$17*BI132)</f>
        <v/>
      </c>
      <c r="U132" s="16" t="str">
        <f>IF(ISTEXT('Incurred 2.5% cpi'!U132),"",'Incurred 2.5% cpi'!U132/'Incurred 2.5% cpi'!U$17*Incurred!U$17*BJ132)</f>
        <v/>
      </c>
      <c r="V132" s="16" t="str">
        <f>IF(ISTEXT('Incurred 2.5% cpi'!V132),"",'Incurred 2.5% cpi'!V132/'Incurred 2.5% cpi'!V$17*Incurred!V$17*BK132)</f>
        <v/>
      </c>
      <c r="W132" s="110" t="str">
        <f>IF(ISTEXT('Incurred 2.5% cpi'!W132),"",'Incurred 2.5% cpi'!W132/'Incurred 2.5% cpi'!W$17*Incurred!W$17*BL132)</f>
        <v/>
      </c>
      <c r="X132" s="102" t="str">
        <f>IF(ISTEXT('Incurred 2.5% cpi'!X132),"",'Incurred 2.5% cpi'!X132/'Incurred 2.5% cpi'!X$17*Incurred!X$17*BM132)</f>
        <v/>
      </c>
      <c r="Y132" s="80">
        <f t="shared" si="156"/>
        <v>1728863.39</v>
      </c>
      <c r="Z132" s="80">
        <f t="shared" si="172"/>
        <v>1728863.39</v>
      </c>
      <c r="AA132" s="566">
        <f t="shared" si="173"/>
        <v>2040279.099430731</v>
      </c>
      <c r="AB132" s="566">
        <f t="shared" si="174"/>
        <v>1759326.2731238401</v>
      </c>
      <c r="AC132" s="567">
        <f t="shared" si="194"/>
        <v>1.1596934182128902</v>
      </c>
      <c r="AD132" s="568" t="str">
        <f t="shared" si="175"/>
        <v>2017</v>
      </c>
      <c r="AE132" s="569">
        <v>42531</v>
      </c>
      <c r="AF132" s="568">
        <v>2017</v>
      </c>
      <c r="AG132" s="569"/>
      <c r="AH132" s="566">
        <f t="shared" si="208"/>
        <v>1803309.4299519362</v>
      </c>
      <c r="AI132" s="80">
        <f t="shared" si="176"/>
        <v>295783.40999999997</v>
      </c>
      <c r="AJ132" s="571" t="s">
        <v>0</v>
      </c>
      <c r="AK132" s="875">
        <f t="shared" si="212"/>
        <v>1962985.0000000005</v>
      </c>
      <c r="AL132" s="28">
        <f t="shared" si="213"/>
        <v>0</v>
      </c>
      <c r="AM132" s="28">
        <f t="shared" si="213"/>
        <v>0</v>
      </c>
      <c r="AN132" s="28">
        <f t="shared" si="213"/>
        <v>0</v>
      </c>
      <c r="AO132" s="28">
        <f t="shared" si="213"/>
        <v>0</v>
      </c>
      <c r="AP132" s="28">
        <f t="shared" si="213"/>
        <v>0</v>
      </c>
      <c r="AQ132" s="28">
        <f t="shared" si="213"/>
        <v>0</v>
      </c>
      <c r="AR132" s="28">
        <f t="shared" si="213"/>
        <v>0</v>
      </c>
      <c r="AS132" s="28">
        <f t="shared" si="213"/>
        <v>0</v>
      </c>
      <c r="AT132" s="28">
        <f t="shared" si="213"/>
        <v>0</v>
      </c>
      <c r="AU132" s="28">
        <f t="shared" si="213"/>
        <v>1</v>
      </c>
      <c r="AV132" s="28">
        <f t="shared" si="214"/>
        <v>0</v>
      </c>
      <c r="AW132" s="28">
        <f t="shared" si="214"/>
        <v>0</v>
      </c>
      <c r="AX132" s="28">
        <f t="shared" si="214"/>
        <v>0</v>
      </c>
      <c r="AY132" s="28">
        <f t="shared" si="214"/>
        <v>0</v>
      </c>
      <c r="AZ132" s="28">
        <f t="shared" si="214"/>
        <v>0</v>
      </c>
      <c r="BA132" s="28">
        <f t="shared" si="214"/>
        <v>0</v>
      </c>
      <c r="BB132" s="28">
        <f t="shared" si="214"/>
        <v>0</v>
      </c>
      <c r="BC132" s="28">
        <f t="shared" si="214"/>
        <v>0</v>
      </c>
      <c r="BD132" s="28">
        <f t="shared" si="214"/>
        <v>0</v>
      </c>
      <c r="BE132" s="28">
        <f t="shared" si="214"/>
        <v>0</v>
      </c>
      <c r="BF132" s="27">
        <f t="shared" si="211"/>
        <v>1</v>
      </c>
      <c r="BG132" s="520">
        <f t="shared" si="157"/>
        <v>1.0002847743844534</v>
      </c>
      <c r="BH132" s="520">
        <f t="shared" si="181"/>
        <v>1.0005441940932489</v>
      </c>
      <c r="BI132" s="520">
        <f t="shared" si="182"/>
        <v>1.0008249562540341</v>
      </c>
      <c r="BJ132" s="520">
        <f t="shared" si="183"/>
        <v>1.0011492694359945</v>
      </c>
      <c r="BK132" s="520">
        <f t="shared" si="184"/>
        <v>1.0016217545485921</v>
      </c>
      <c r="BL132" s="520">
        <f t="shared" si="185"/>
        <v>1.0021532164205156</v>
      </c>
      <c r="BM132" s="520">
        <f t="shared" si="186"/>
        <v>1.0025090157150169</v>
      </c>
      <c r="BN132" s="521" t="str">
        <f t="shared" si="187"/>
        <v>Category</v>
      </c>
      <c r="BP132" s="3"/>
    </row>
    <row r="133" spans="1:69" hidden="1" x14ac:dyDescent="0.15">
      <c r="A133" s="12" t="s">
        <v>280</v>
      </c>
      <c r="B133" s="13" t="s">
        <v>281</v>
      </c>
      <c r="C133" s="13" t="s">
        <v>27</v>
      </c>
      <c r="D133" s="13" t="s">
        <v>40</v>
      </c>
      <c r="E133" s="13" t="s">
        <v>32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23847.37</v>
      </c>
      <c r="M133" s="15">
        <v>215992.62</v>
      </c>
      <c r="N133" s="670">
        <v>3121327.19</v>
      </c>
      <c r="O133" s="14">
        <v>1677702.37</v>
      </c>
      <c r="P133" s="15">
        <v>123214.48</v>
      </c>
      <c r="Q133" s="15" t="str">
        <f>IF(ISTEXT('Incurred 2.5% cpi'!Q133),"",'Incurred 2.5% cpi'!Q133/'Incurred 2.5% cpi'!Q$17*Incurred!Q$17)</f>
        <v/>
      </c>
      <c r="R133" s="110" t="str">
        <f>IF(ISTEXT('Incurred 2.5% cpi'!R133),"",'Incurred 2.5% cpi'!R133/'Incurred 2.5% cpi'!R$17*Incurred!R$17*BG133)</f>
        <v/>
      </c>
      <c r="S133" s="102" t="str">
        <f>IF(ISTEXT('Incurred 2.5% cpi'!S133),"",'Incurred 2.5% cpi'!S133/'Incurred 2.5% cpi'!S$17*Incurred!S$17*BH133)</f>
        <v/>
      </c>
      <c r="T133" s="16" t="str">
        <f>IF(ISTEXT('Incurred 2.5% cpi'!T133),"",'Incurred 2.5% cpi'!T133/'Incurred 2.5% cpi'!T$17*Incurred!T$17*BI133)</f>
        <v/>
      </c>
      <c r="U133" s="16" t="str">
        <f>IF(ISTEXT('Incurred 2.5% cpi'!U133),"",'Incurred 2.5% cpi'!U133/'Incurred 2.5% cpi'!U$17*Incurred!U$17*BJ133)</f>
        <v/>
      </c>
      <c r="V133" s="16" t="str">
        <f>IF(ISTEXT('Incurred 2.5% cpi'!V133),"",'Incurred 2.5% cpi'!V133/'Incurred 2.5% cpi'!V$17*Incurred!V$17*BK133)</f>
        <v/>
      </c>
      <c r="W133" s="110" t="str">
        <f>IF(ISTEXT('Incurred 2.5% cpi'!W133),"",'Incurred 2.5% cpi'!W133/'Incurred 2.5% cpi'!W$17*Incurred!W$17*BL133)</f>
        <v/>
      </c>
      <c r="X133" s="102" t="str">
        <f>IF(ISTEXT('Incurred 2.5% cpi'!X133),"",'Incurred 2.5% cpi'!X133/'Incurred 2.5% cpi'!X$17*Incurred!X$17*BM133)</f>
        <v/>
      </c>
      <c r="Y133" s="80">
        <f t="shared" si="156"/>
        <v>5162084.03</v>
      </c>
      <c r="Z133" s="80">
        <f t="shared" si="172"/>
        <v>5162084.03</v>
      </c>
      <c r="AA133" s="566">
        <f t="shared" si="173"/>
        <v>6254775.7256719703</v>
      </c>
      <c r="AB133" s="566">
        <f t="shared" si="174"/>
        <v>5212877.5600986667</v>
      </c>
      <c r="AC133" s="567">
        <f t="shared" si="194"/>
        <v>1.1998700628513483</v>
      </c>
      <c r="AD133" s="568" t="str">
        <f t="shared" si="175"/>
        <v>2016</v>
      </c>
      <c r="AE133" s="569">
        <v>42185</v>
      </c>
      <c r="AF133" s="568">
        <v>2015</v>
      </c>
      <c r="AG133" s="569"/>
      <c r="AH133" s="566">
        <f t="shared" ref="AH133:AH140" si="215">IF(ROUND(Y133,0)=0,0,SUMPRODUCT($F$19:$W$19,F133:W133))</f>
        <v>5528310.3431710992</v>
      </c>
      <c r="AI133" s="80">
        <f t="shared" si="176"/>
        <v>123214.48</v>
      </c>
      <c r="AJ133" s="571" t="s">
        <v>0</v>
      </c>
      <c r="AK133" s="875">
        <f t="shared" si="177"/>
        <v>0</v>
      </c>
      <c r="AL133" s="28">
        <f t="shared" ref="AL133:AU133" si="216">IF($AK133=0,VLOOKUP(MID($A133,4,5),ProjectSplits,AL$23,FALSE),IF(ISNA(VLOOKUP($A133,Estimates,AL$22,FALSE)),VLOOKUP(MID($A133,4,5),ProjectSplits,AL$23,FALSE),VLOOKUP($A133,Estimates,AL$22,FALSE)))</f>
        <v>0</v>
      </c>
      <c r="AM133" s="28">
        <f t="shared" si="216"/>
        <v>0.37490231322519019</v>
      </c>
      <c r="AN133" s="28">
        <f t="shared" si="216"/>
        <v>0.22520260314686905</v>
      </c>
      <c r="AO133" s="28">
        <f t="shared" si="216"/>
        <v>0</v>
      </c>
      <c r="AP133" s="28">
        <f t="shared" si="216"/>
        <v>0</v>
      </c>
      <c r="AQ133" s="28">
        <f t="shared" si="216"/>
        <v>0</v>
      </c>
      <c r="AR133" s="28">
        <f t="shared" si="216"/>
        <v>0</v>
      </c>
      <c r="AS133" s="28">
        <f t="shared" si="216"/>
        <v>0</v>
      </c>
      <c r="AT133" s="28">
        <f t="shared" si="216"/>
        <v>0</v>
      </c>
      <c r="AU133" s="28">
        <f t="shared" si="216"/>
        <v>0</v>
      </c>
      <c r="AV133" s="28">
        <f t="shared" ref="AV133:BE133" si="217">IF($AK133=0,VLOOKUP(MID($A133,4,5),ProjectSplits,AV$23,FALSE),IF(ISNA(VLOOKUP($A133,Estimates,AV$22,FALSE)),VLOOKUP(MID($A133,4,5),ProjectSplits,AV$23,FALSE),VLOOKUP($A133,Estimates,AV$22,FALSE)))</f>
        <v>0</v>
      </c>
      <c r="AW133" s="28">
        <f t="shared" si="217"/>
        <v>0.39989508362794079</v>
      </c>
      <c r="AX133" s="28">
        <f t="shared" si="217"/>
        <v>0</v>
      </c>
      <c r="AY133" s="28">
        <f t="shared" si="217"/>
        <v>0</v>
      </c>
      <c r="AZ133" s="28">
        <f t="shared" si="217"/>
        <v>0</v>
      </c>
      <c r="BA133" s="28">
        <f t="shared" si="217"/>
        <v>0</v>
      </c>
      <c r="BB133" s="28">
        <f t="shared" si="217"/>
        <v>0</v>
      </c>
      <c r="BC133" s="28">
        <f t="shared" si="217"/>
        <v>0</v>
      </c>
      <c r="BD133" s="28">
        <f t="shared" si="217"/>
        <v>0</v>
      </c>
      <c r="BE133" s="28">
        <f t="shared" si="217"/>
        <v>0</v>
      </c>
      <c r="BF133" s="27">
        <f t="shared" ref="BF133" si="218">SUM(AL133:BD133)</f>
        <v>1</v>
      </c>
      <c r="BG133" s="520">
        <f t="shared" si="157"/>
        <v>1.0034498951996242</v>
      </c>
      <c r="BH133" s="520">
        <f t="shared" si="181"/>
        <v>1.0065926315443261</v>
      </c>
      <c r="BI133" s="520">
        <f t="shared" si="182"/>
        <v>1.0099939207178206</v>
      </c>
      <c r="BJ133" s="520">
        <f t="shared" si="183"/>
        <v>1.0139228081132494</v>
      </c>
      <c r="BK133" s="520">
        <f t="shared" si="184"/>
        <v>1.0196467222390713</v>
      </c>
      <c r="BL133" s="520">
        <f t="shared" si="185"/>
        <v>1.0260851094706045</v>
      </c>
      <c r="BM133" s="520">
        <f t="shared" si="186"/>
        <v>1.0303954349252136</v>
      </c>
      <c r="BN133" s="521" t="str">
        <f t="shared" si="187"/>
        <v>Category</v>
      </c>
      <c r="BP133" s="3"/>
    </row>
    <row r="134" spans="1:69" hidden="1" x14ac:dyDescent="0.15">
      <c r="A134" s="12" t="s">
        <v>282</v>
      </c>
      <c r="B134" s="13" t="s">
        <v>283</v>
      </c>
      <c r="C134" s="13" t="s">
        <v>27</v>
      </c>
      <c r="D134" s="13" t="s">
        <v>28</v>
      </c>
      <c r="E134" s="13" t="s">
        <v>45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5">
        <v>0</v>
      </c>
      <c r="N134" s="670"/>
      <c r="O134" s="14">
        <v>189979.94</v>
      </c>
      <c r="P134" s="15">
        <v>69611.05</v>
      </c>
      <c r="Q134" s="15" t="str">
        <f>IF(ISTEXT('Incurred 2.5% cpi'!Q134),"",'Incurred 2.5% cpi'!Q134/'Incurred 2.5% cpi'!Q$17*Incurred!Q$17)</f>
        <v/>
      </c>
      <c r="R134" s="110">
        <f>IF(ISTEXT('Incurred 2.5% cpi'!R134),"",'Incurred 2.5% cpi'!R134/'Incurred 2.5% cpi'!R$17*Incurred!R$17*BG134)</f>
        <v>330201.26116125734</v>
      </c>
      <c r="S134" s="102">
        <f>IF(ISTEXT('Incurred 2.5% cpi'!S134),"",'Incurred 2.5% cpi'!S134/'Incurred 2.5% cpi'!S$17*Incurred!S$17*BH134)</f>
        <v>441257.48469586228</v>
      </c>
      <c r="T134" s="16" t="str">
        <f>IF(ISTEXT('Incurred 2.5% cpi'!T134),"",'Incurred 2.5% cpi'!T134/'Incurred 2.5% cpi'!T$17*Incurred!T$17*BI134)</f>
        <v/>
      </c>
      <c r="U134" s="16" t="str">
        <f>IF(ISTEXT('Incurred 2.5% cpi'!U134),"",'Incurred 2.5% cpi'!U134/'Incurred 2.5% cpi'!U$17*Incurred!U$17*BJ134)</f>
        <v/>
      </c>
      <c r="V134" s="16" t="str">
        <f>IF(ISTEXT('Incurred 2.5% cpi'!V134),"",'Incurred 2.5% cpi'!V134/'Incurred 2.5% cpi'!V$17*Incurred!V$17*BK134)</f>
        <v/>
      </c>
      <c r="W134" s="110" t="str">
        <f>IF(ISTEXT('Incurred 2.5% cpi'!W134),"",'Incurred 2.5% cpi'!W134/'Incurred 2.5% cpi'!W$17*Incurred!W$17*BL134)</f>
        <v/>
      </c>
      <c r="X134" s="102" t="str">
        <f>IF(ISTEXT('Incurred 2.5% cpi'!X134),"",'Incurred 2.5% cpi'!X134/'Incurred 2.5% cpi'!X$17*Incurred!X$17*BM134)</f>
        <v/>
      </c>
      <c r="Y134" s="80">
        <f t="shared" si="156"/>
        <v>1031049.7358571196</v>
      </c>
      <c r="Z134" s="80">
        <f t="shared" si="172"/>
        <v>1031049.7358571196</v>
      </c>
      <c r="AA134" s="566">
        <f t="shared" si="173"/>
        <v>1171052.8559922089</v>
      </c>
      <c r="AB134" s="566">
        <f t="shared" si="174"/>
        <v>1060916.0899807364</v>
      </c>
      <c r="AC134" s="567">
        <f t="shared" si="194"/>
        <v>1.1038128906249998</v>
      </c>
      <c r="AD134" s="568" t="str">
        <f t="shared" si="175"/>
        <v>2019</v>
      </c>
      <c r="AE134" s="569">
        <v>43522</v>
      </c>
      <c r="AF134" s="568">
        <v>2019</v>
      </c>
      <c r="AG134" s="569"/>
      <c r="AH134" s="566">
        <f t="shared" si="215"/>
        <v>1035040.0877860843</v>
      </c>
      <c r="AI134" s="80">
        <f t="shared" si="176"/>
        <v>441257.48469586228</v>
      </c>
      <c r="AJ134" s="571" t="s">
        <v>3035</v>
      </c>
      <c r="AK134" s="875">
        <f t="shared" ref="AK134:AK139" si="219">IF(ISNA(VLOOKUP(LEFT($A134,8),Estimates,72,FALSE)),0,VLOOKUP(LEFT($A134,8),Estimates,72,FALSE))</f>
        <v>1999999.9999999991</v>
      </c>
      <c r="AL134" s="28">
        <f t="shared" ref="AL134:AU135" si="220">IF($AK134=0,VLOOKUP(MID($A134,4,5),ProjectSplits,AL$23,FALSE),IF(ISNA(VLOOKUP($A134,Estimates,AL$22,FALSE)),VLOOKUP(MID($A134,4,5),ProjectSplits,AL$23,FALSE),VLOOKUP($A134,Estimates,AL$22,FALSE)))</f>
        <v>0</v>
      </c>
      <c r="AM134" s="28">
        <f t="shared" si="220"/>
        <v>0</v>
      </c>
      <c r="AN134" s="28">
        <f t="shared" si="220"/>
        <v>0</v>
      </c>
      <c r="AO134" s="28">
        <f t="shared" si="220"/>
        <v>1</v>
      </c>
      <c r="AP134" s="28">
        <f t="shared" si="220"/>
        <v>0</v>
      </c>
      <c r="AQ134" s="28">
        <f t="shared" si="220"/>
        <v>0</v>
      </c>
      <c r="AR134" s="28">
        <f t="shared" si="220"/>
        <v>0</v>
      </c>
      <c r="AS134" s="28">
        <f t="shared" si="220"/>
        <v>0</v>
      </c>
      <c r="AT134" s="28">
        <f t="shared" si="220"/>
        <v>0</v>
      </c>
      <c r="AU134" s="28">
        <f t="shared" si="220"/>
        <v>0</v>
      </c>
      <c r="AV134" s="28">
        <f t="shared" ref="AV134:BE135" si="221">IF($AK134=0,VLOOKUP(MID($A134,4,5),ProjectSplits,AV$23,FALSE),IF(ISNA(VLOOKUP($A134,Estimates,AV$22,FALSE)),VLOOKUP(MID($A134,4,5),ProjectSplits,AV$23,FALSE),VLOOKUP($A134,Estimates,AV$22,FALSE)))</f>
        <v>0</v>
      </c>
      <c r="AW134" s="28">
        <f t="shared" si="221"/>
        <v>0</v>
      </c>
      <c r="AX134" s="28">
        <f t="shared" si="221"/>
        <v>0</v>
      </c>
      <c r="AY134" s="28">
        <f t="shared" si="221"/>
        <v>0</v>
      </c>
      <c r="AZ134" s="28">
        <f t="shared" si="221"/>
        <v>0</v>
      </c>
      <c r="BA134" s="28">
        <f t="shared" si="221"/>
        <v>0</v>
      </c>
      <c r="BB134" s="28">
        <f t="shared" si="221"/>
        <v>0</v>
      </c>
      <c r="BC134" s="28">
        <f t="shared" si="221"/>
        <v>0</v>
      </c>
      <c r="BD134" s="28">
        <f t="shared" si="221"/>
        <v>0</v>
      </c>
      <c r="BE134" s="28">
        <f t="shared" si="221"/>
        <v>0</v>
      </c>
      <c r="BF134" s="27">
        <f t="shared" ref="BF134:BF135" si="222">SUM(AL134:BD134)</f>
        <v>1</v>
      </c>
      <c r="BG134" s="520">
        <f t="shared" si="157"/>
        <v>1.0030444840366091</v>
      </c>
      <c r="BH134" s="520">
        <f t="shared" si="181"/>
        <v>1.0058179046998681</v>
      </c>
      <c r="BI134" s="520">
        <f t="shared" si="182"/>
        <v>1.0088194946014175</v>
      </c>
      <c r="BJ134" s="520">
        <f t="shared" si="183"/>
        <v>1.0122866825201464</v>
      </c>
      <c r="BK134" s="520">
        <f t="shared" si="184"/>
        <v>1.0173379563051834</v>
      </c>
      <c r="BL134" s="520">
        <f t="shared" si="185"/>
        <v>1.023019742566414</v>
      </c>
      <c r="BM134" s="520">
        <f t="shared" si="186"/>
        <v>1.026823544212498</v>
      </c>
      <c r="BN134" s="521" t="str">
        <f t="shared" si="187"/>
        <v>Category</v>
      </c>
      <c r="BP134" s="3"/>
    </row>
    <row r="135" spans="1:69" ht="11.25" hidden="1" customHeight="1" x14ac:dyDescent="0.15">
      <c r="A135" s="12" t="s">
        <v>284</v>
      </c>
      <c r="B135" s="13" t="s">
        <v>2378</v>
      </c>
      <c r="C135" s="13" t="s">
        <v>27</v>
      </c>
      <c r="D135" s="13" t="s">
        <v>36</v>
      </c>
      <c r="E135" s="13" t="s">
        <v>32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5">
        <v>0</v>
      </c>
      <c r="N135" s="670"/>
      <c r="O135" s="14"/>
      <c r="P135" s="15">
        <v>83668.19</v>
      </c>
      <c r="Q135" s="15" t="str">
        <f>IF(ISTEXT('Incurred 2.5% cpi'!Q135),"",'Incurred 2.5% cpi'!Q135/'Incurred 2.5% cpi'!Q$17*Incurred!Q$17)</f>
        <v/>
      </c>
      <c r="R135" s="110" t="str">
        <f>IF(ISTEXT('Incurred 2.5% cpi'!R135),"",'Incurred 2.5% cpi'!R135/'Incurred 2.5% cpi'!R$17*Incurred!R$17*BG135)</f>
        <v/>
      </c>
      <c r="S135" s="102" t="str">
        <f>IF(ISTEXT('Incurred 2.5% cpi'!S135),"",'Incurred 2.5% cpi'!S135/'Incurred 2.5% cpi'!S$17*Incurred!S$17*BH135)</f>
        <v/>
      </c>
      <c r="T135" s="16" t="str">
        <f>IF(ISTEXT('Incurred 2.5% cpi'!T135),"",'Incurred 2.5% cpi'!T135/'Incurred 2.5% cpi'!T$17*Incurred!T$17*BI135)</f>
        <v/>
      </c>
      <c r="U135" s="16" t="str">
        <f>IF(ISTEXT('Incurred 2.5% cpi'!U135),"",'Incurred 2.5% cpi'!U135/'Incurred 2.5% cpi'!U$17*Incurred!U$17*BJ135)</f>
        <v/>
      </c>
      <c r="V135" s="16" t="str">
        <f>IF(ISTEXT('Incurred 2.5% cpi'!V135),"",'Incurred 2.5% cpi'!V135/'Incurred 2.5% cpi'!V$17*Incurred!V$17*BK135)</f>
        <v/>
      </c>
      <c r="W135" s="110" t="str">
        <f>IF(ISTEXT('Incurred 2.5% cpi'!W135),"",'Incurred 2.5% cpi'!W135/'Incurred 2.5% cpi'!W$17*Incurred!W$17*BL135)</f>
        <v/>
      </c>
      <c r="X135" s="102" t="str">
        <f>IF(ISTEXT('Incurred 2.5% cpi'!X135),"",'Incurred 2.5% cpi'!X135/'Incurred 2.5% cpi'!X$17*Incurred!X$17*BM135)</f>
        <v/>
      </c>
      <c r="Y135" s="80">
        <f t="shared" si="156"/>
        <v>83668.19</v>
      </c>
      <c r="Z135" s="80">
        <f t="shared" si="172"/>
        <v>83668.19</v>
      </c>
      <c r="AA135" s="566">
        <f t="shared" si="173"/>
        <v>99091.997623611576</v>
      </c>
      <c r="AB135" s="566">
        <f t="shared" si="174"/>
        <v>83668.19</v>
      </c>
      <c r="AC135" s="567">
        <f t="shared" si="194"/>
        <v>1.1843449418902401</v>
      </c>
      <c r="AD135" s="568" t="str">
        <f t="shared" si="175"/>
        <v>2016</v>
      </c>
      <c r="AE135" s="569">
        <v>42186</v>
      </c>
      <c r="AF135" s="568" t="s">
        <v>3152</v>
      </c>
      <c r="AG135" s="569"/>
      <c r="AH135" s="566">
        <f t="shared" si="215"/>
        <v>87582.886967421175</v>
      </c>
      <c r="AI135" s="80">
        <f t="shared" si="176"/>
        <v>83668.19</v>
      </c>
      <c r="AJ135" s="571" t="s">
        <v>0</v>
      </c>
      <c r="AK135" s="875">
        <f t="shared" si="219"/>
        <v>98699.999999999971</v>
      </c>
      <c r="AL135" s="28">
        <f t="shared" si="220"/>
        <v>6.3829787234042548E-2</v>
      </c>
      <c r="AM135" s="28">
        <f t="shared" si="220"/>
        <v>0</v>
      </c>
      <c r="AN135" s="28">
        <f t="shared" si="220"/>
        <v>0</v>
      </c>
      <c r="AO135" s="28">
        <f t="shared" si="220"/>
        <v>0</v>
      </c>
      <c r="AP135" s="28">
        <f t="shared" si="220"/>
        <v>0</v>
      </c>
      <c r="AQ135" s="28">
        <f t="shared" si="220"/>
        <v>0</v>
      </c>
      <c r="AR135" s="28">
        <f t="shared" si="220"/>
        <v>0</v>
      </c>
      <c r="AS135" s="28">
        <f t="shared" si="220"/>
        <v>0.93617021276595747</v>
      </c>
      <c r="AT135" s="28">
        <f t="shared" si="220"/>
        <v>0</v>
      </c>
      <c r="AU135" s="28">
        <f t="shared" si="220"/>
        <v>0</v>
      </c>
      <c r="AV135" s="28">
        <f t="shared" si="221"/>
        <v>0</v>
      </c>
      <c r="AW135" s="28">
        <f t="shared" si="221"/>
        <v>0</v>
      </c>
      <c r="AX135" s="28">
        <f t="shared" si="221"/>
        <v>0</v>
      </c>
      <c r="AY135" s="28">
        <f t="shared" si="221"/>
        <v>0</v>
      </c>
      <c r="AZ135" s="28">
        <f t="shared" si="221"/>
        <v>0</v>
      </c>
      <c r="BA135" s="28">
        <f t="shared" si="221"/>
        <v>0</v>
      </c>
      <c r="BB135" s="28">
        <f t="shared" si="221"/>
        <v>0</v>
      </c>
      <c r="BC135" s="28">
        <f t="shared" si="221"/>
        <v>0</v>
      </c>
      <c r="BD135" s="28">
        <f t="shared" si="221"/>
        <v>0</v>
      </c>
      <c r="BE135" s="28">
        <f t="shared" si="221"/>
        <v>0</v>
      </c>
      <c r="BF135" s="27">
        <f t="shared" si="222"/>
        <v>1</v>
      </c>
      <c r="BG135" s="520">
        <f t="shared" si="157"/>
        <v>1.0018756098697492</v>
      </c>
      <c r="BH135" s="520">
        <f t="shared" si="181"/>
        <v>1.0035842262088148</v>
      </c>
      <c r="BI135" s="520">
        <f t="shared" si="182"/>
        <v>1.0054334103650095</v>
      </c>
      <c r="BJ135" s="520">
        <f t="shared" si="183"/>
        <v>1.007569434664183</v>
      </c>
      <c r="BK135" s="520">
        <f t="shared" si="184"/>
        <v>1.0106813639277612</v>
      </c>
      <c r="BL135" s="520">
        <f t="shared" si="185"/>
        <v>1.0141817318919957</v>
      </c>
      <c r="BM135" s="520">
        <f t="shared" si="186"/>
        <v>1.0165251332119476</v>
      </c>
      <c r="BN135" s="521" t="str">
        <f t="shared" si="187"/>
        <v>Category</v>
      </c>
      <c r="BP135" s="3">
        <f>SUMPRODUCT(F135:P135,$F$19:$P$19)/$Q$19</f>
        <v>85446.718992606038</v>
      </c>
      <c r="BQ135" s="3"/>
    </row>
    <row r="136" spans="1:69" hidden="1" x14ac:dyDescent="0.15">
      <c r="A136" s="12" t="s">
        <v>285</v>
      </c>
      <c r="B136" s="13" t="s">
        <v>286</v>
      </c>
      <c r="C136" s="13" t="s">
        <v>27</v>
      </c>
      <c r="D136" s="13" t="s">
        <v>36</v>
      </c>
      <c r="E136" s="13" t="s">
        <v>29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5">
        <v>0</v>
      </c>
      <c r="N136" s="670"/>
      <c r="O136" s="14"/>
      <c r="P136" s="15"/>
      <c r="Q136" s="15">
        <f>IF(ISTEXT('Incurred 2.5% cpi'!Q136),"",'Incurred 2.5% cpi'!Q136/'Incurred 2.5% cpi'!Q$17*Incurred!Q$17)</f>
        <v>258600.87</v>
      </c>
      <c r="R136" s="110" t="str">
        <f>IF(ISTEXT('Incurred 2.5% cpi'!R136),"",'Incurred 2.5% cpi'!R136/'Incurred 2.5% cpi'!R$17*Incurred!R$17*BG136)</f>
        <v/>
      </c>
      <c r="S136" s="102" t="str">
        <f>IF(ISTEXT('Incurred 2.5% cpi'!S136),"",'Incurred 2.5% cpi'!S136/'Incurred 2.5% cpi'!S$17*Incurred!S$17*BH136)</f>
        <v/>
      </c>
      <c r="T136" s="16" t="str">
        <f>IF(ISTEXT('Incurred 2.5% cpi'!T136),"",'Incurred 2.5% cpi'!T136/'Incurred 2.5% cpi'!T$17*Incurred!T$17*BI136)</f>
        <v/>
      </c>
      <c r="U136" s="16" t="str">
        <f>IF(ISTEXT('Incurred 2.5% cpi'!U136),"",'Incurred 2.5% cpi'!U136/'Incurred 2.5% cpi'!U$17*Incurred!U$17*BJ136)</f>
        <v/>
      </c>
      <c r="V136" s="16" t="str">
        <f>IF(ISTEXT('Incurred 2.5% cpi'!V136),"",'Incurred 2.5% cpi'!V136/'Incurred 2.5% cpi'!V$17*Incurred!V$17*BK136)</f>
        <v/>
      </c>
      <c r="W136" s="110" t="str">
        <f>IF(ISTEXT('Incurred 2.5% cpi'!W136),"",'Incurred 2.5% cpi'!W136/'Incurred 2.5% cpi'!W$17*Incurred!W$17*BL136)</f>
        <v/>
      </c>
      <c r="X136" s="102" t="str">
        <f>IF(ISTEXT('Incurred 2.5% cpi'!X136),"",'Incurred 2.5% cpi'!X136/'Incurred 2.5% cpi'!X$17*Incurred!X$17*BM136)</f>
        <v/>
      </c>
      <c r="Y136" s="80">
        <f t="shared" si="156"/>
        <v>258600.87</v>
      </c>
      <c r="Z136" s="80">
        <f t="shared" ref="Z136:Z159" si="223">-SUMIFS(F136:W136,F136:W136,"&lt;0")+SUMIFS(F136:W136,F136:W136,"&gt;0")</f>
        <v>258600.87</v>
      </c>
      <c r="AA136" s="566">
        <f t="shared" ref="AA136:AA159" si="224">IF(ROUND(Y136,0)=0,0,SUMPRODUCT($F$20:$W$20,F136:W136))</f>
        <v>299897.72688312724</v>
      </c>
      <c r="AB136" s="566">
        <f t="shared" ref="AB136:AB159" si="225">IF(AC136="","",AA136/AC136)</f>
        <v>258600.87</v>
      </c>
      <c r="AC136" s="567">
        <f t="shared" si="194"/>
        <v>1.1596934182128902</v>
      </c>
      <c r="AD136" s="568" t="str">
        <f t="shared" ref="AD136:AD159" si="226">IF(AI136=0,"",INDEX($F$24:$W$24,1,MATCH(AI136,F136:W136,0)))</f>
        <v>2017</v>
      </c>
      <c r="AE136" s="569">
        <v>42856</v>
      </c>
      <c r="AF136" s="568" t="s">
        <v>3152</v>
      </c>
      <c r="AG136" s="569"/>
      <c r="AH136" s="566">
        <f t="shared" si="215"/>
        <v>265065.89174999995</v>
      </c>
      <c r="AI136" s="80">
        <f t="shared" ref="AI136:AI159" si="227">IF(ROUND(Z136,0)=0,0,LOOKUP(2,1/(F136:W136&lt;&gt;""),F136:W136))</f>
        <v>258600.87</v>
      </c>
      <c r="AJ136" s="571" t="s">
        <v>0</v>
      </c>
      <c r="AK136" s="875">
        <f t="shared" si="219"/>
        <v>117119.99999999997</v>
      </c>
      <c r="AL136" s="28">
        <f t="shared" ref="AL136:AU140" si="228">IF($AK136=0,VLOOKUP(MID($A136,4,5),ProjectSplits,AL$23,FALSE),IF(ISNA(VLOOKUP($A136,Estimates,AL$22,FALSE)),VLOOKUP(MID($A136,4,5),ProjectSplits,AL$23,FALSE),VLOOKUP($A136,Estimates,AL$22,FALSE)))</f>
        <v>0</v>
      </c>
      <c r="AM136" s="28">
        <f t="shared" si="228"/>
        <v>0</v>
      </c>
      <c r="AN136" s="28">
        <f t="shared" si="228"/>
        <v>0</v>
      </c>
      <c r="AO136" s="28">
        <f t="shared" si="228"/>
        <v>0</v>
      </c>
      <c r="AP136" s="28">
        <f t="shared" si="228"/>
        <v>0</v>
      </c>
      <c r="AQ136" s="28">
        <f t="shared" si="228"/>
        <v>0</v>
      </c>
      <c r="AR136" s="28">
        <f t="shared" si="228"/>
        <v>0</v>
      </c>
      <c r="AS136" s="28">
        <f t="shared" si="228"/>
        <v>1</v>
      </c>
      <c r="AT136" s="28">
        <f t="shared" si="228"/>
        <v>0</v>
      </c>
      <c r="AU136" s="28">
        <f t="shared" si="228"/>
        <v>0</v>
      </c>
      <c r="AV136" s="28">
        <f t="shared" ref="AV136:BE140" si="229">IF($AK136=0,VLOOKUP(MID($A136,4,5),ProjectSplits,AV$23,FALSE),IF(ISNA(VLOOKUP($A136,Estimates,AV$22,FALSE)),VLOOKUP(MID($A136,4,5),ProjectSplits,AV$23,FALSE),VLOOKUP($A136,Estimates,AV$22,FALSE)))</f>
        <v>0</v>
      </c>
      <c r="AW136" s="28">
        <f t="shared" si="229"/>
        <v>0</v>
      </c>
      <c r="AX136" s="28">
        <f t="shared" si="229"/>
        <v>0</v>
      </c>
      <c r="AY136" s="28">
        <f t="shared" si="229"/>
        <v>0</v>
      </c>
      <c r="AZ136" s="28">
        <f t="shared" si="229"/>
        <v>0</v>
      </c>
      <c r="BA136" s="28">
        <f t="shared" si="229"/>
        <v>0</v>
      </c>
      <c r="BB136" s="28">
        <f t="shared" si="229"/>
        <v>0</v>
      </c>
      <c r="BC136" s="28">
        <f t="shared" si="229"/>
        <v>0</v>
      </c>
      <c r="BD136" s="28">
        <f t="shared" si="229"/>
        <v>0</v>
      </c>
      <c r="BE136" s="28">
        <f t="shared" si="229"/>
        <v>0</v>
      </c>
      <c r="BF136" s="27">
        <f t="shared" ref="BF136:BF140" si="230">SUM(AL136:BD136)</f>
        <v>1</v>
      </c>
      <c r="BG136" s="520">
        <f t="shared" si="157"/>
        <v>1.0018756098697492</v>
      </c>
      <c r="BH136" s="520">
        <f t="shared" ref="BH136:BH159" si="231">1+IF(ISNA(VLOOKUP($A136,ProjLabEsc,7,FALSE)),VLOOKUP($D136,CatLabEsc,4,FALSE),VLOOKUP($A136,ProjLabEsc,7,FALSE))*LabEsc19*LabIn</f>
        <v>1.0035842262088148</v>
      </c>
      <c r="BI136" s="520">
        <f t="shared" ref="BI136:BI159" si="232">1+IF(ISNA(VLOOKUP($A136,ProjLabEsc,7,FALSE)),VLOOKUP($D136,CatLabEsc,4,FALSE),VLOOKUP($A136,ProjLabEsc,7,FALSE))*LabEsc20*LabIn</f>
        <v>1.0054334103650095</v>
      </c>
      <c r="BJ136" s="520">
        <f t="shared" ref="BJ136:BJ159" si="233">1+IF(ISNA(VLOOKUP($A136,ProjLabEsc,7,FALSE)),VLOOKUP($D136,CatLabEsc,4,FALSE),VLOOKUP($A136,ProjLabEsc,7,FALSE))*LabEsc21*LabIn</f>
        <v>1.007569434664183</v>
      </c>
      <c r="BK136" s="520">
        <f t="shared" ref="BK136:BK159" si="234">1+IF(ISNA(VLOOKUP($A136,ProjLabEsc,7,FALSE)),VLOOKUP($D136,CatLabEsc,4,FALSE),VLOOKUP($A136,ProjLabEsc,7,FALSE))*LabEsc22*LabIn</f>
        <v>1.0106813639277612</v>
      </c>
      <c r="BL136" s="520">
        <f t="shared" ref="BL136:BL159" si="235">1+IF(ISNA(VLOOKUP($A136,ProjLabEsc,7,FALSE)),VLOOKUP($D136,CatLabEsc,4,FALSE),VLOOKUP($A136,ProjLabEsc,7,FALSE))*LabEsc23*LabIn</f>
        <v>1.0141817318919957</v>
      </c>
      <c r="BM136" s="520">
        <f t="shared" ref="BM136:BM159" si="236">1+IF(ISNA(VLOOKUP($A136,ProjLabEsc,7,FALSE)),VLOOKUP($D136,CatLabEsc,4,FALSE),VLOOKUP($A136,ProjLabEsc,7,FALSE))*LabEsc24*LabIn</f>
        <v>1.0165251332119476</v>
      </c>
      <c r="BN136" s="521" t="str">
        <f t="shared" ref="BN136:BN159" si="237">IF(ISNA(VLOOKUP($A136,ProjLabEsc,7,FALSE)),"Category","Project")</f>
        <v>Category</v>
      </c>
      <c r="BP136" s="3"/>
    </row>
    <row r="137" spans="1:69" hidden="1" x14ac:dyDescent="0.15">
      <c r="A137" s="12" t="s">
        <v>287</v>
      </c>
      <c r="B137" s="13" t="s">
        <v>288</v>
      </c>
      <c r="C137" s="13" t="s">
        <v>27</v>
      </c>
      <c r="D137" s="13" t="s">
        <v>28</v>
      </c>
      <c r="E137" s="13" t="s">
        <v>32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5">
        <v>0</v>
      </c>
      <c r="N137" s="670"/>
      <c r="O137" s="14"/>
      <c r="P137" s="15"/>
      <c r="Q137" s="15" t="str">
        <f>IF(ISTEXT('Incurred 2.5% cpi'!Q137),"",'Incurred 2.5% cpi'!Q137/'Incurred 2.5% cpi'!Q$17*Incurred!Q$17)</f>
        <v/>
      </c>
      <c r="R137" s="110" t="str">
        <f>IF(ISTEXT('Incurred 2.5% cpi'!R137),"",'Incurred 2.5% cpi'!R137/'Incurred 2.5% cpi'!R$17*Incurred!R$17*BG137)</f>
        <v/>
      </c>
      <c r="S137" s="102" t="str">
        <f>IF(ISTEXT('Incurred 2.5% cpi'!S137),"",'Incurred 2.5% cpi'!S137/'Incurred 2.5% cpi'!S$17*Incurred!S$17*BH137)</f>
        <v/>
      </c>
      <c r="T137" s="16" t="str">
        <f>IF(ISTEXT('Incurred 2.5% cpi'!T137),"",'Incurred 2.5% cpi'!T137/'Incurred 2.5% cpi'!T$17*Incurred!T$17*BI137)</f>
        <v/>
      </c>
      <c r="U137" s="16" t="str">
        <f>IF(ISTEXT('Incurred 2.5% cpi'!U137),"",'Incurred 2.5% cpi'!U137/'Incurred 2.5% cpi'!U$17*Incurred!U$17*BJ137)</f>
        <v/>
      </c>
      <c r="V137" s="16" t="str">
        <f>IF(ISTEXT('Incurred 2.5% cpi'!V137),"",'Incurred 2.5% cpi'!V137/'Incurred 2.5% cpi'!V$17*Incurred!V$17*BK137)</f>
        <v/>
      </c>
      <c r="W137" s="110" t="str">
        <f>IF(ISTEXT('Incurred 2.5% cpi'!W137),"",'Incurred 2.5% cpi'!W137/'Incurred 2.5% cpi'!W$17*Incurred!W$17*BL137)</f>
        <v/>
      </c>
      <c r="X137" s="102" t="str">
        <f>IF(ISTEXT('Incurred 2.5% cpi'!X137),"",'Incurred 2.5% cpi'!X137/'Incurred 2.5% cpi'!X$17*Incurred!X$17*BM137)</f>
        <v/>
      </c>
      <c r="Y137" s="80">
        <f t="shared" si="156"/>
        <v>0</v>
      </c>
      <c r="Z137" s="80">
        <f t="shared" si="223"/>
        <v>0</v>
      </c>
      <c r="AA137" s="566">
        <f t="shared" si="224"/>
        <v>0</v>
      </c>
      <c r="AB137" s="566" t="str">
        <f t="shared" si="225"/>
        <v/>
      </c>
      <c r="AC137" s="567" t="str">
        <f t="shared" si="194"/>
        <v/>
      </c>
      <c r="AD137" s="568" t="str">
        <f t="shared" si="226"/>
        <v/>
      </c>
      <c r="AE137" s="569" t="s">
        <v>0</v>
      </c>
      <c r="AF137" s="568" t="s">
        <v>0</v>
      </c>
      <c r="AG137" s="569"/>
      <c r="AH137" s="566">
        <f t="shared" si="215"/>
        <v>0</v>
      </c>
      <c r="AI137" s="80">
        <f t="shared" si="227"/>
        <v>0</v>
      </c>
      <c r="AJ137" s="571" t="s">
        <v>0</v>
      </c>
      <c r="AK137" s="875">
        <f t="shared" si="219"/>
        <v>80000.000000000015</v>
      </c>
      <c r="AL137" s="28">
        <f t="shared" si="228"/>
        <v>0</v>
      </c>
      <c r="AM137" s="28">
        <f t="shared" si="228"/>
        <v>0</v>
      </c>
      <c r="AN137" s="28">
        <f t="shared" si="228"/>
        <v>0</v>
      </c>
      <c r="AO137" s="28">
        <f t="shared" si="228"/>
        <v>1</v>
      </c>
      <c r="AP137" s="28">
        <f t="shared" si="228"/>
        <v>0</v>
      </c>
      <c r="AQ137" s="28">
        <f t="shared" si="228"/>
        <v>0</v>
      </c>
      <c r="AR137" s="28">
        <f t="shared" si="228"/>
        <v>0</v>
      </c>
      <c r="AS137" s="28">
        <f t="shared" si="228"/>
        <v>0</v>
      </c>
      <c r="AT137" s="28">
        <f t="shared" si="228"/>
        <v>0</v>
      </c>
      <c r="AU137" s="28">
        <f t="shared" si="228"/>
        <v>0</v>
      </c>
      <c r="AV137" s="28">
        <f t="shared" si="229"/>
        <v>0</v>
      </c>
      <c r="AW137" s="28">
        <f t="shared" si="229"/>
        <v>0</v>
      </c>
      <c r="AX137" s="28">
        <f t="shared" si="229"/>
        <v>0</v>
      </c>
      <c r="AY137" s="28">
        <f t="shared" si="229"/>
        <v>0</v>
      </c>
      <c r="AZ137" s="28">
        <f t="shared" si="229"/>
        <v>0</v>
      </c>
      <c r="BA137" s="28">
        <f t="shared" si="229"/>
        <v>0</v>
      </c>
      <c r="BB137" s="28">
        <f t="shared" si="229"/>
        <v>0</v>
      </c>
      <c r="BC137" s="28">
        <f t="shared" si="229"/>
        <v>0</v>
      </c>
      <c r="BD137" s="28">
        <f t="shared" si="229"/>
        <v>0</v>
      </c>
      <c r="BE137" s="28">
        <f t="shared" si="229"/>
        <v>0</v>
      </c>
      <c r="BF137" s="27">
        <f t="shared" si="230"/>
        <v>1</v>
      </c>
      <c r="BG137" s="520">
        <f t="shared" si="157"/>
        <v>1.0030444840366091</v>
      </c>
      <c r="BH137" s="520">
        <f t="shared" si="231"/>
        <v>1.0058179046998681</v>
      </c>
      <c r="BI137" s="520">
        <f t="shared" si="232"/>
        <v>1.0088194946014175</v>
      </c>
      <c r="BJ137" s="520">
        <f t="shared" si="233"/>
        <v>1.0122866825201464</v>
      </c>
      <c r="BK137" s="520">
        <f t="shared" si="234"/>
        <v>1.0173379563051834</v>
      </c>
      <c r="BL137" s="520">
        <f t="shared" si="235"/>
        <v>1.023019742566414</v>
      </c>
      <c r="BM137" s="520">
        <f t="shared" si="236"/>
        <v>1.026823544212498</v>
      </c>
      <c r="BN137" s="521" t="str">
        <f t="shared" si="237"/>
        <v>Category</v>
      </c>
      <c r="BP137" s="3"/>
    </row>
    <row r="138" spans="1:69" hidden="1" x14ac:dyDescent="0.15">
      <c r="A138" s="12" t="s">
        <v>289</v>
      </c>
      <c r="B138" s="13" t="s">
        <v>290</v>
      </c>
      <c r="C138" s="13" t="s">
        <v>27</v>
      </c>
      <c r="D138" s="13" t="s">
        <v>40</v>
      </c>
      <c r="E138" s="13" t="s">
        <v>29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5">
        <v>0</v>
      </c>
      <c r="N138" s="670"/>
      <c r="O138" s="14"/>
      <c r="P138" s="15">
        <v>9229.4500000000007</v>
      </c>
      <c r="Q138" s="15">
        <f>IF(ISTEXT('Incurred 2.5% cpi'!Q138),"",'Incurred 2.5% cpi'!Q138/'Incurred 2.5% cpi'!Q$17*Incurred!Q$17)</f>
        <v>3056298.04</v>
      </c>
      <c r="R138" s="110">
        <f>IF(ISTEXT('Incurred 2.5% cpi'!R138),"",'Incurred 2.5% cpi'!R138/'Incurred 2.5% cpi'!R$17*Incurred!R$17*BG138)</f>
        <v>4477960.96357245</v>
      </c>
      <c r="S138" s="102" t="str">
        <f>IF(ISTEXT('Incurred 2.5% cpi'!S138),"",'Incurred 2.5% cpi'!S138/'Incurred 2.5% cpi'!S$17*Incurred!S$17*BH138)</f>
        <v/>
      </c>
      <c r="T138" s="16" t="str">
        <f>IF(ISTEXT('Incurred 2.5% cpi'!T138),"",'Incurred 2.5% cpi'!T138/'Incurred 2.5% cpi'!T$17*Incurred!T$17*BI138)</f>
        <v/>
      </c>
      <c r="U138" s="16" t="str">
        <f>IF(ISTEXT('Incurred 2.5% cpi'!U138),"",'Incurred 2.5% cpi'!U138/'Incurred 2.5% cpi'!U$17*Incurred!U$17*BJ138)</f>
        <v/>
      </c>
      <c r="V138" s="16" t="str">
        <f>IF(ISTEXT('Incurred 2.5% cpi'!V138),"",'Incurred 2.5% cpi'!V138/'Incurred 2.5% cpi'!V$17*Incurred!V$17*BK138)</f>
        <v/>
      </c>
      <c r="W138" s="110" t="str">
        <f>IF(ISTEXT('Incurred 2.5% cpi'!W138),"",'Incurred 2.5% cpi'!W138/'Incurred 2.5% cpi'!W$17*Incurred!W$17*BL138)</f>
        <v/>
      </c>
      <c r="X138" s="102" t="str">
        <f>IF(ISTEXT('Incurred 2.5% cpi'!X138),"",'Incurred 2.5% cpi'!X138/'Incurred 2.5% cpi'!X$17*Incurred!X$17*BM138)</f>
        <v/>
      </c>
      <c r="Y138" s="80">
        <f t="shared" si="156"/>
        <v>7543488.4535724502</v>
      </c>
      <c r="Z138" s="80">
        <f t="shared" si="223"/>
        <v>7543488.4535724502</v>
      </c>
      <c r="AA138" s="566">
        <f t="shared" si="224"/>
        <v>8621701.3846983705</v>
      </c>
      <c r="AB138" s="566">
        <f t="shared" si="225"/>
        <v>7620327.735354566</v>
      </c>
      <c r="AC138" s="567">
        <f t="shared" si="194"/>
        <v>1.1314082128906247</v>
      </c>
      <c r="AD138" s="568" t="str">
        <f t="shared" si="226"/>
        <v>2018</v>
      </c>
      <c r="AE138" s="569">
        <v>43105</v>
      </c>
      <c r="AF138" s="568">
        <v>2018</v>
      </c>
      <c r="AG138" s="569"/>
      <c r="AH138" s="566">
        <f t="shared" si="215"/>
        <v>7620327.7353545669</v>
      </c>
      <c r="AI138" s="80">
        <f t="shared" si="227"/>
        <v>4477960.96357245</v>
      </c>
      <c r="AJ138" s="571" t="s">
        <v>0</v>
      </c>
      <c r="AK138" s="875">
        <f t="shared" si="219"/>
        <v>5706333.3999884129</v>
      </c>
      <c r="AL138" s="28">
        <f t="shared" si="228"/>
        <v>0</v>
      </c>
      <c r="AM138" s="28">
        <f t="shared" si="228"/>
        <v>0</v>
      </c>
      <c r="AN138" s="28">
        <f t="shared" si="228"/>
        <v>0</v>
      </c>
      <c r="AO138" s="28">
        <f t="shared" si="228"/>
        <v>0</v>
      </c>
      <c r="AP138" s="28">
        <f t="shared" si="228"/>
        <v>0</v>
      </c>
      <c r="AQ138" s="28">
        <f t="shared" si="228"/>
        <v>0</v>
      </c>
      <c r="AR138" s="28">
        <f t="shared" si="228"/>
        <v>0</v>
      </c>
      <c r="AS138" s="28">
        <f t="shared" si="228"/>
        <v>0</v>
      </c>
      <c r="AT138" s="28">
        <f t="shared" si="228"/>
        <v>0</v>
      </c>
      <c r="AU138" s="28">
        <f t="shared" si="228"/>
        <v>4.2203107165187555E-2</v>
      </c>
      <c r="AV138" s="28">
        <f t="shared" si="229"/>
        <v>0</v>
      </c>
      <c r="AW138" s="28">
        <f t="shared" si="229"/>
        <v>2.5238272968515992E-2</v>
      </c>
      <c r="AX138" s="28">
        <f t="shared" si="229"/>
        <v>0</v>
      </c>
      <c r="AY138" s="28">
        <f t="shared" si="229"/>
        <v>0</v>
      </c>
      <c r="AZ138" s="28">
        <f t="shared" si="229"/>
        <v>0.9325586198662964</v>
      </c>
      <c r="BA138" s="28">
        <f t="shared" si="229"/>
        <v>0</v>
      </c>
      <c r="BB138" s="28">
        <f t="shared" si="229"/>
        <v>0</v>
      </c>
      <c r="BC138" s="28">
        <f t="shared" si="229"/>
        <v>0</v>
      </c>
      <c r="BD138" s="28">
        <f t="shared" si="229"/>
        <v>0</v>
      </c>
      <c r="BE138" s="28">
        <f t="shared" si="229"/>
        <v>0</v>
      </c>
      <c r="BF138" s="27">
        <f t="shared" si="230"/>
        <v>1</v>
      </c>
      <c r="BG138" s="520">
        <f t="shared" si="157"/>
        <v>1.0034498951996242</v>
      </c>
      <c r="BH138" s="520">
        <f t="shared" si="231"/>
        <v>1.0065926315443261</v>
      </c>
      <c r="BI138" s="520">
        <f t="shared" si="232"/>
        <v>1.0099939207178206</v>
      </c>
      <c r="BJ138" s="520">
        <f t="shared" si="233"/>
        <v>1.0139228081132494</v>
      </c>
      <c r="BK138" s="520">
        <f t="shared" si="234"/>
        <v>1.0196467222390713</v>
      </c>
      <c r="BL138" s="520">
        <f t="shared" si="235"/>
        <v>1.0260851094706045</v>
      </c>
      <c r="BM138" s="520">
        <f t="shared" si="236"/>
        <v>1.0303954349252136</v>
      </c>
      <c r="BN138" s="521" t="str">
        <f t="shared" si="237"/>
        <v>Category</v>
      </c>
      <c r="BP138" s="3"/>
    </row>
    <row r="139" spans="1:69" hidden="1" x14ac:dyDescent="0.15">
      <c r="A139" s="12" t="s">
        <v>291</v>
      </c>
      <c r="B139" s="13" t="s">
        <v>292</v>
      </c>
      <c r="C139" s="13" t="s">
        <v>27</v>
      </c>
      <c r="D139" s="13" t="s">
        <v>54</v>
      </c>
      <c r="E139" s="13" t="s">
        <v>29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5">
        <v>0</v>
      </c>
      <c r="N139" s="670"/>
      <c r="O139" s="14">
        <v>20669.349999999999</v>
      </c>
      <c r="P139" s="15">
        <v>91992.08</v>
      </c>
      <c r="Q139" s="15">
        <f>IF(ISTEXT('Incurred 2.5% cpi'!Q139),"",'Incurred 2.5% cpi'!Q139/'Incurred 2.5% cpi'!Q$17*Incurred!Q$17)</f>
        <v>1594839.93</v>
      </c>
      <c r="R139" s="110">
        <f>IF(ISTEXT('Incurred 2.5% cpi'!R139),"",'Incurred 2.5% cpi'!R139/'Incurred 2.5% cpi'!R$17*Incurred!R$17*BG139)</f>
        <v>556567.86996461637</v>
      </c>
      <c r="S139" s="102">
        <f>IF(ISTEXT('Incurred 2.5% cpi'!S139),"",'Incurred 2.5% cpi'!S139/'Incurred 2.5% cpi'!S$17*Incurred!S$17*BH139)</f>
        <v>81524.245273175344</v>
      </c>
      <c r="T139" s="16" t="str">
        <f>IF(ISTEXT('Incurred 2.5% cpi'!T139),"",'Incurred 2.5% cpi'!T139/'Incurred 2.5% cpi'!T$17*Incurred!T$17*BI139)</f>
        <v/>
      </c>
      <c r="U139" s="16" t="str">
        <f>IF(ISTEXT('Incurred 2.5% cpi'!U139),"",'Incurred 2.5% cpi'!U139/'Incurred 2.5% cpi'!U$17*Incurred!U$17*BJ139)</f>
        <v/>
      </c>
      <c r="V139" s="16" t="str">
        <f>IF(ISTEXT('Incurred 2.5% cpi'!V139),"",'Incurred 2.5% cpi'!V139/'Incurred 2.5% cpi'!V$17*Incurred!V$17*BK139)</f>
        <v/>
      </c>
      <c r="W139" s="110" t="str">
        <f>IF(ISTEXT('Incurred 2.5% cpi'!W139),"",'Incurred 2.5% cpi'!W139/'Incurred 2.5% cpi'!W$17*Incurred!W$17*BL139)</f>
        <v/>
      </c>
      <c r="X139" s="102" t="str">
        <f>IF(ISTEXT('Incurred 2.5% cpi'!X139),"",'Incurred 2.5% cpi'!X139/'Incurred 2.5% cpi'!X$17*Incurred!X$17*BM139)</f>
        <v/>
      </c>
      <c r="Y139" s="80">
        <f t="shared" si="156"/>
        <v>2345593.4752377914</v>
      </c>
      <c r="Z139" s="80">
        <f t="shared" si="223"/>
        <v>2345593.4752377914</v>
      </c>
      <c r="AA139" s="566">
        <f t="shared" si="224"/>
        <v>2702969.2307896786</v>
      </c>
      <c r="AB139" s="566">
        <f t="shared" si="225"/>
        <v>2389030.9439100563</v>
      </c>
      <c r="AC139" s="567">
        <f t="shared" si="194"/>
        <v>1.1314082128906247</v>
      </c>
      <c r="AD139" s="568" t="str">
        <f t="shared" si="226"/>
        <v>2019</v>
      </c>
      <c r="AE139" s="569">
        <v>43250</v>
      </c>
      <c r="AF139" s="568">
        <v>2018</v>
      </c>
      <c r="AG139" s="569"/>
      <c r="AH139" s="566">
        <f t="shared" si="215"/>
        <v>2389030.9439100563</v>
      </c>
      <c r="AI139" s="80">
        <f t="shared" si="227"/>
        <v>81524.245273175344</v>
      </c>
      <c r="AJ139" s="571" t="s">
        <v>0</v>
      </c>
      <c r="AK139" s="875">
        <f t="shared" si="219"/>
        <v>4747884.8124000002</v>
      </c>
      <c r="AL139" s="28">
        <f t="shared" si="228"/>
        <v>0</v>
      </c>
      <c r="AM139" s="28">
        <f t="shared" si="228"/>
        <v>0</v>
      </c>
      <c r="AN139" s="28">
        <f t="shared" si="228"/>
        <v>0</v>
      </c>
      <c r="AO139" s="28">
        <f t="shared" si="228"/>
        <v>1</v>
      </c>
      <c r="AP139" s="28">
        <f t="shared" si="228"/>
        <v>0</v>
      </c>
      <c r="AQ139" s="28">
        <f t="shared" si="228"/>
        <v>0</v>
      </c>
      <c r="AR139" s="28">
        <f t="shared" si="228"/>
        <v>0</v>
      </c>
      <c r="AS139" s="28">
        <f t="shared" si="228"/>
        <v>0</v>
      </c>
      <c r="AT139" s="28">
        <f t="shared" si="228"/>
        <v>0</v>
      </c>
      <c r="AU139" s="28">
        <f t="shared" si="228"/>
        <v>0</v>
      </c>
      <c r="AV139" s="28">
        <f t="shared" si="229"/>
        <v>0</v>
      </c>
      <c r="AW139" s="28">
        <f t="shared" si="229"/>
        <v>0</v>
      </c>
      <c r="AX139" s="28">
        <f t="shared" si="229"/>
        <v>0</v>
      </c>
      <c r="AY139" s="28">
        <f t="shared" si="229"/>
        <v>0</v>
      </c>
      <c r="AZ139" s="28">
        <f t="shared" si="229"/>
        <v>0</v>
      </c>
      <c r="BA139" s="28">
        <f t="shared" si="229"/>
        <v>0</v>
      </c>
      <c r="BB139" s="28">
        <f t="shared" si="229"/>
        <v>0</v>
      </c>
      <c r="BC139" s="28">
        <f t="shared" si="229"/>
        <v>0</v>
      </c>
      <c r="BD139" s="28">
        <f t="shared" si="229"/>
        <v>0</v>
      </c>
      <c r="BE139" s="28">
        <f t="shared" si="229"/>
        <v>0</v>
      </c>
      <c r="BF139" s="27">
        <f t="shared" si="230"/>
        <v>1</v>
      </c>
      <c r="BG139" s="520">
        <f t="shared" si="157"/>
        <v>1.0030818160192299</v>
      </c>
      <c r="BH139" s="520">
        <f t="shared" si="231"/>
        <v>1.0058892448397847</v>
      </c>
      <c r="BI139" s="520">
        <f t="shared" si="232"/>
        <v>1.0089276407487533</v>
      </c>
      <c r="BJ139" s="520">
        <f t="shared" si="233"/>
        <v>1.0124373439172154</v>
      </c>
      <c r="BK139" s="520">
        <f t="shared" si="234"/>
        <v>1.0175505572831101</v>
      </c>
      <c r="BL139" s="520">
        <f t="shared" si="235"/>
        <v>1.023302014576742</v>
      </c>
      <c r="BM139" s="520">
        <f t="shared" si="236"/>
        <v>1.0271524590875074</v>
      </c>
      <c r="BN139" s="521" t="str">
        <f t="shared" si="237"/>
        <v>Category</v>
      </c>
      <c r="BP139" s="3"/>
    </row>
    <row r="140" spans="1:69" hidden="1" x14ac:dyDescent="0.15">
      <c r="A140" s="12" t="s">
        <v>293</v>
      </c>
      <c r="B140" s="13" t="s">
        <v>294</v>
      </c>
      <c r="C140" s="13" t="s">
        <v>27</v>
      </c>
      <c r="D140" s="13" t="s">
        <v>54</v>
      </c>
      <c r="E140" s="13" t="s">
        <v>45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31134.87</v>
      </c>
      <c r="M140" s="15">
        <v>53363.040000000001</v>
      </c>
      <c r="N140" s="670">
        <v>186355.87</v>
      </c>
      <c r="O140" s="14"/>
      <c r="P140" s="15"/>
      <c r="Q140" s="15" t="str">
        <f>IF(ISTEXT('Incurred 2.5% cpi'!Q140),"",'Incurred 2.5% cpi'!Q140/'Incurred 2.5% cpi'!Q$17*Incurred!Q$17)</f>
        <v/>
      </c>
      <c r="R140" s="110" t="str">
        <f>IF(ISTEXT('Incurred 2.5% cpi'!R140),"",'Incurred 2.5% cpi'!R140/'Incurred 2.5% cpi'!R$17*Incurred!R$17*BG140)</f>
        <v/>
      </c>
      <c r="S140" s="102" t="str">
        <f>IF(ISTEXT('Incurred 2.5% cpi'!S140),"",'Incurred 2.5% cpi'!S140/'Incurred 2.5% cpi'!S$17*Incurred!S$17*BH140)</f>
        <v/>
      </c>
      <c r="T140" s="16" t="str">
        <f>IF(ISTEXT('Incurred 2.5% cpi'!T140),"",'Incurred 2.5% cpi'!T140/'Incurred 2.5% cpi'!T$17*Incurred!T$17*BI140)</f>
        <v/>
      </c>
      <c r="U140" s="16" t="str">
        <f>IF(ISTEXT('Incurred 2.5% cpi'!U140),"",'Incurred 2.5% cpi'!U140/'Incurred 2.5% cpi'!U$17*Incurred!U$17*BJ140)</f>
        <v/>
      </c>
      <c r="V140" s="16" t="str">
        <f>IF(ISTEXT('Incurred 2.5% cpi'!V140),"",'Incurred 2.5% cpi'!V140/'Incurred 2.5% cpi'!V$17*Incurred!V$17*BK140)</f>
        <v/>
      </c>
      <c r="W140" s="110" t="str">
        <f>IF(ISTEXT('Incurred 2.5% cpi'!W140),"",'Incurred 2.5% cpi'!W140/'Incurred 2.5% cpi'!W$17*Incurred!W$17*BL140)</f>
        <v/>
      </c>
      <c r="X140" s="102" t="str">
        <f>IF(ISTEXT('Incurred 2.5% cpi'!X140),"",'Incurred 2.5% cpi'!X140/'Incurred 2.5% cpi'!X$17*Incurred!X$17*BM140)</f>
        <v/>
      </c>
      <c r="Y140" s="80">
        <f t="shared" si="156"/>
        <v>270853.78000000003</v>
      </c>
      <c r="Z140" s="80">
        <f t="shared" si="223"/>
        <v>270853.78000000003</v>
      </c>
      <c r="AA140" s="566">
        <f t="shared" si="224"/>
        <v>333290.90076138754</v>
      </c>
      <c r="AB140" s="566">
        <f t="shared" si="225"/>
        <v>333290.90076138754</v>
      </c>
      <c r="AC140" s="567">
        <f t="shared" si="194"/>
        <v>1</v>
      </c>
      <c r="AD140" s="568" t="str">
        <f t="shared" si="226"/>
        <v>2014</v>
      </c>
      <c r="AE140" s="569">
        <v>45016</v>
      </c>
      <c r="AF140" s="568">
        <v>2023</v>
      </c>
      <c r="AG140" s="569"/>
      <c r="AH140" s="566">
        <f t="shared" si="215"/>
        <v>294580.59165919042</v>
      </c>
      <c r="AI140" s="80">
        <f t="shared" si="227"/>
        <v>186355.87</v>
      </c>
      <c r="AJ140" s="571" t="s">
        <v>0</v>
      </c>
      <c r="AK140" s="875">
        <f t="shared" ref="AK140:AK159" si="238">IF(ISNA(VLOOKUP($A140,Estimates,71,FALSE)),0,VLOOKUP($A140,Estimates,71,FALSE))</f>
        <v>0</v>
      </c>
      <c r="AL140" s="28">
        <f t="shared" si="228"/>
        <v>0</v>
      </c>
      <c r="AM140" s="28">
        <f t="shared" si="228"/>
        <v>0</v>
      </c>
      <c r="AN140" s="28">
        <f t="shared" si="228"/>
        <v>0</v>
      </c>
      <c r="AO140" s="28">
        <f t="shared" si="228"/>
        <v>0</v>
      </c>
      <c r="AP140" s="28">
        <f t="shared" si="228"/>
        <v>0</v>
      </c>
      <c r="AQ140" s="28">
        <f t="shared" si="228"/>
        <v>0</v>
      </c>
      <c r="AR140" s="28">
        <f t="shared" si="228"/>
        <v>0</v>
      </c>
      <c r="AS140" s="28">
        <f t="shared" si="228"/>
        <v>1</v>
      </c>
      <c r="AT140" s="28">
        <f t="shared" si="228"/>
        <v>0</v>
      </c>
      <c r="AU140" s="28">
        <f t="shared" si="228"/>
        <v>0</v>
      </c>
      <c r="AV140" s="28">
        <f t="shared" si="229"/>
        <v>0</v>
      </c>
      <c r="AW140" s="28">
        <f t="shared" si="229"/>
        <v>0</v>
      </c>
      <c r="AX140" s="28">
        <f t="shared" si="229"/>
        <v>0</v>
      </c>
      <c r="AY140" s="28">
        <f t="shared" si="229"/>
        <v>0</v>
      </c>
      <c r="AZ140" s="28">
        <f t="shared" si="229"/>
        <v>0</v>
      </c>
      <c r="BA140" s="28">
        <f t="shared" si="229"/>
        <v>0</v>
      </c>
      <c r="BB140" s="28">
        <f t="shared" si="229"/>
        <v>0</v>
      </c>
      <c r="BC140" s="28">
        <f t="shared" si="229"/>
        <v>0</v>
      </c>
      <c r="BD140" s="28">
        <f t="shared" si="229"/>
        <v>0</v>
      </c>
      <c r="BE140" s="28">
        <f t="shared" si="229"/>
        <v>0</v>
      </c>
      <c r="BF140" s="27">
        <f t="shared" si="230"/>
        <v>1</v>
      </c>
      <c r="BG140" s="520">
        <f t="shared" si="157"/>
        <v>1.0030818160192299</v>
      </c>
      <c r="BH140" s="520">
        <f t="shared" si="231"/>
        <v>1.0058892448397847</v>
      </c>
      <c r="BI140" s="520">
        <f t="shared" si="232"/>
        <v>1.0089276407487533</v>
      </c>
      <c r="BJ140" s="520">
        <f t="shared" si="233"/>
        <v>1.0124373439172154</v>
      </c>
      <c r="BK140" s="520">
        <f t="shared" si="234"/>
        <v>1.0175505572831101</v>
      </c>
      <c r="BL140" s="520">
        <f t="shared" si="235"/>
        <v>1.023302014576742</v>
      </c>
      <c r="BM140" s="520">
        <f t="shared" si="236"/>
        <v>1.0271524590875074</v>
      </c>
      <c r="BN140" s="521" t="str">
        <f t="shared" si="237"/>
        <v>Category</v>
      </c>
      <c r="BP140" s="3"/>
    </row>
    <row r="141" spans="1:69" hidden="1" x14ac:dyDescent="0.15">
      <c r="A141" s="12" t="s">
        <v>295</v>
      </c>
      <c r="B141" s="13" t="s">
        <v>296</v>
      </c>
      <c r="C141" s="13" t="s">
        <v>27</v>
      </c>
      <c r="D141" s="13" t="s">
        <v>44</v>
      </c>
      <c r="E141" s="13" t="s">
        <v>29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5">
        <v>0</v>
      </c>
      <c r="N141" s="670">
        <v>607039.51</v>
      </c>
      <c r="O141" s="14">
        <v>92274.96</v>
      </c>
      <c r="P141" s="15">
        <v>141920.79</v>
      </c>
      <c r="Q141" s="15">
        <f>IF(ISTEXT('Incurred 2.5% cpi'!Q141),"",'Incurred 2.5% cpi'!Q141/'Incurred 2.5% cpi'!Q$17*Incurred!Q$17)</f>
        <v>50298.3</v>
      </c>
      <c r="R141" s="110">
        <f>IF(ISTEXT('Incurred 2.5% cpi'!R141),"",'Incurred 2.5% cpi'!R141/'Incurred 2.5% cpi'!R$17*Incurred!R$17*BG141)</f>
        <v>209475.97609774463</v>
      </c>
      <c r="S141" s="102" t="str">
        <f>IF(ISTEXT('Incurred 2.5% cpi'!S141),"",'Incurred 2.5% cpi'!S141/'Incurred 2.5% cpi'!S$17*Incurred!S$17*BH141)</f>
        <v/>
      </c>
      <c r="T141" s="16" t="str">
        <f>IF(ISTEXT('Incurred 2.5% cpi'!T141),"",'Incurred 2.5% cpi'!T141/'Incurred 2.5% cpi'!T$17*Incurred!T$17*BI141)</f>
        <v/>
      </c>
      <c r="U141" s="16" t="str">
        <f>IF(ISTEXT('Incurred 2.5% cpi'!U141),"",'Incurred 2.5% cpi'!U141/'Incurred 2.5% cpi'!U$17*Incurred!U$17*BJ141)</f>
        <v/>
      </c>
      <c r="V141" s="16" t="str">
        <f>IF(ISTEXT('Incurred 2.5% cpi'!V141),"",'Incurred 2.5% cpi'!V141/'Incurred 2.5% cpi'!V$17*Incurred!V$17*BK141)</f>
        <v/>
      </c>
      <c r="W141" s="110" t="str">
        <f>IF(ISTEXT('Incurred 2.5% cpi'!W141),"",'Incurred 2.5% cpi'!W141/'Incurred 2.5% cpi'!W$17*Incurred!W$17*BL141)</f>
        <v/>
      </c>
      <c r="X141" s="102" t="str">
        <f>IF(ISTEXT('Incurred 2.5% cpi'!X141),"",'Incurred 2.5% cpi'!X141/'Incurred 2.5% cpi'!X$17*Incurred!X$17*BM141)</f>
        <v/>
      </c>
      <c r="Y141" s="80">
        <f t="shared" si="156"/>
        <v>1101009.5360977447</v>
      </c>
      <c r="Z141" s="80">
        <f t="shared" si="223"/>
        <v>1101009.5360977447</v>
      </c>
      <c r="AA141" s="566">
        <f t="shared" si="224"/>
        <v>1312177.8384489296</v>
      </c>
      <c r="AB141" s="566">
        <f t="shared" si="225"/>
        <v>1159774.0086192747</v>
      </c>
      <c r="AC141" s="567">
        <f t="shared" ref="AC141:AC162" si="239">IF(AF141="","",IF(AF141&lt;AD141,INDEX($F$20:$W$20,1,MATCH(TEXT(AF141,"000"),$F$24:$W$24)),INDEX($F$20:$W$20,1,MATCH(AD141,$F$24:$W$24))))</f>
        <v>1.1314082128906247</v>
      </c>
      <c r="AD141" s="568" t="str">
        <f t="shared" si="226"/>
        <v>2018</v>
      </c>
      <c r="AE141" s="569">
        <v>42501</v>
      </c>
      <c r="AF141" s="568" t="s">
        <v>3152</v>
      </c>
      <c r="AG141" s="569"/>
      <c r="AH141" s="566">
        <f t="shared" ref="AH141:AH158" si="240">IF(ROUND(Y141,0)=0,0,SUMPRODUCT($F$19:$W$19,F141:W141))</f>
        <v>1159774.0086192745</v>
      </c>
      <c r="AI141" s="80">
        <f t="shared" si="227"/>
        <v>209475.97609774463</v>
      </c>
      <c r="AJ141" s="571" t="s">
        <v>0</v>
      </c>
      <c r="AK141" s="875">
        <f>IF(ISNA(VLOOKUP(LEFT($A141,8),Estimates,72,FALSE)),0,VLOOKUP(LEFT($A141,8),Estimates,72,FALSE))</f>
        <v>7024851</v>
      </c>
      <c r="AL141" s="28">
        <f t="shared" ref="AL141:AU142" si="241">IF($AK141=0,VLOOKUP(MID($A141,4,5),ProjectSplits,AL$23,FALSE),IF(ISNA(VLOOKUP($A141,Estimates,AL$22,FALSE)),VLOOKUP(MID($A141,4,5),ProjectSplits,AL$23,FALSE),VLOOKUP($A141,Estimates,AL$22,FALSE)))</f>
        <v>0</v>
      </c>
      <c r="AM141" s="28">
        <f t="shared" si="241"/>
        <v>0</v>
      </c>
      <c r="AN141" s="28">
        <f t="shared" si="241"/>
        <v>0</v>
      </c>
      <c r="AO141" s="28">
        <f t="shared" si="241"/>
        <v>0</v>
      </c>
      <c r="AP141" s="28">
        <f t="shared" si="241"/>
        <v>0.97373609774783831</v>
      </c>
      <c r="AQ141" s="28">
        <f t="shared" si="241"/>
        <v>0</v>
      </c>
      <c r="AR141" s="28">
        <f t="shared" si="241"/>
        <v>0</v>
      </c>
      <c r="AS141" s="28">
        <f t="shared" si="241"/>
        <v>0</v>
      </c>
      <c r="AT141" s="28">
        <f t="shared" si="241"/>
        <v>0</v>
      </c>
      <c r="AU141" s="28">
        <f t="shared" si="241"/>
        <v>0</v>
      </c>
      <c r="AV141" s="28">
        <f t="shared" ref="AV141:BE142" si="242">IF($AK141=0,VLOOKUP(MID($A141,4,5),ProjectSplits,AV$23,FALSE),IF(ISNA(VLOOKUP($A141,Estimates,AV$22,FALSE)),VLOOKUP(MID($A141,4,5),ProjectSplits,AV$23,FALSE),VLOOKUP($A141,Estimates,AV$22,FALSE)))</f>
        <v>0</v>
      </c>
      <c r="AW141" s="28">
        <f t="shared" si="242"/>
        <v>0</v>
      </c>
      <c r="AX141" s="28">
        <f t="shared" si="242"/>
        <v>0</v>
      </c>
      <c r="AY141" s="28">
        <f t="shared" si="242"/>
        <v>0</v>
      </c>
      <c r="AZ141" s="28">
        <f t="shared" si="242"/>
        <v>0</v>
      </c>
      <c r="BA141" s="28">
        <f t="shared" si="242"/>
        <v>0</v>
      </c>
      <c r="BB141" s="28">
        <f t="shared" si="242"/>
        <v>2.6263902252161648E-2</v>
      </c>
      <c r="BC141" s="28">
        <f t="shared" si="242"/>
        <v>0</v>
      </c>
      <c r="BD141" s="28">
        <f t="shared" si="242"/>
        <v>0</v>
      </c>
      <c r="BE141" s="28">
        <f t="shared" si="242"/>
        <v>0</v>
      </c>
      <c r="BF141" s="27">
        <f t="shared" ref="BF141:BF142" si="243">SUM(AL141:BD141)</f>
        <v>1</v>
      </c>
      <c r="BG141" s="520">
        <f t="shared" ref="BG141:BG162" si="244">1+IF(ISNA(VLOOKUP($A141,ProjLabEsc,7,FALSE)),VLOOKUP(D141,CatLabEsc,4,FALSE),VLOOKUP(A141,ProjLabEsc,7,FALSE))*Labesc18*LabIn</f>
        <v>1.0013788876313259</v>
      </c>
      <c r="BH141" s="520">
        <f t="shared" si="231"/>
        <v>1.0026350070272714</v>
      </c>
      <c r="BI141" s="520">
        <f t="shared" si="232"/>
        <v>1.0039944673298349</v>
      </c>
      <c r="BJ141" s="520">
        <f t="shared" si="233"/>
        <v>1.0055648032156956</v>
      </c>
      <c r="BK141" s="520">
        <f t="shared" si="234"/>
        <v>1.0078525928249935</v>
      </c>
      <c r="BL141" s="520">
        <f t="shared" si="235"/>
        <v>1.0104259499867456</v>
      </c>
      <c r="BM141" s="520">
        <f t="shared" si="236"/>
        <v>1.0121487427420144</v>
      </c>
      <c r="BN141" s="521" t="str">
        <f t="shared" si="237"/>
        <v>Category</v>
      </c>
      <c r="BP141" s="3">
        <f>SUMPRODUCT(F141:P141,$F$19:$P$19)/$Q$19</f>
        <v>876821.73172832199</v>
      </c>
      <c r="BQ141" s="3">
        <f>SUMPRODUCT(F141:Q141,F19:Q19)</f>
        <v>950298.03252152994</v>
      </c>
    </row>
    <row r="142" spans="1:69" hidden="1" x14ac:dyDescent="0.15">
      <c r="A142" s="12" t="s">
        <v>297</v>
      </c>
      <c r="B142" s="13" t="s">
        <v>298</v>
      </c>
      <c r="C142" s="13" t="s">
        <v>27</v>
      </c>
      <c r="D142" s="13" t="s">
        <v>44</v>
      </c>
      <c r="E142" s="13" t="s">
        <v>29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5">
        <v>0</v>
      </c>
      <c r="N142" s="670">
        <v>99401.85</v>
      </c>
      <c r="O142" s="14">
        <v>76064.539999999994</v>
      </c>
      <c r="P142" s="15">
        <v>3427784.1</v>
      </c>
      <c r="Q142" s="15">
        <f>IF(ISTEXT('Incurred 2.5% cpi'!Q142),"",'Incurred 2.5% cpi'!Q142/'Incurred 2.5% cpi'!Q$17*Incurred!Q$17)</f>
        <v>684952.33</v>
      </c>
      <c r="R142" s="110">
        <f>IF(ISTEXT('Incurred 2.5% cpi'!R142),"",'Incurred 2.5% cpi'!R142/'Incurred 2.5% cpi'!R$17*Incurred!R$17*BG142)</f>
        <v>903074.65379070153</v>
      </c>
      <c r="S142" s="102" t="str">
        <f>IF(ISTEXT('Incurred 2.5% cpi'!S142),"",'Incurred 2.5% cpi'!S142/'Incurred 2.5% cpi'!S$17*Incurred!S$17*BH142)</f>
        <v/>
      </c>
      <c r="T142" s="16" t="str">
        <f>IF(ISTEXT('Incurred 2.5% cpi'!T142),"",'Incurred 2.5% cpi'!T142/'Incurred 2.5% cpi'!T$17*Incurred!T$17*BI142)</f>
        <v/>
      </c>
      <c r="U142" s="16" t="str">
        <f>IF(ISTEXT('Incurred 2.5% cpi'!U142),"",'Incurred 2.5% cpi'!U142/'Incurred 2.5% cpi'!U$17*Incurred!U$17*BJ142)</f>
        <v/>
      </c>
      <c r="V142" s="16" t="str">
        <f>IF(ISTEXT('Incurred 2.5% cpi'!V142),"",'Incurred 2.5% cpi'!V142/'Incurred 2.5% cpi'!V$17*Incurred!V$17*BK142)</f>
        <v/>
      </c>
      <c r="W142" s="110" t="str">
        <f>IF(ISTEXT('Incurred 2.5% cpi'!W142),"",'Incurred 2.5% cpi'!W142/'Incurred 2.5% cpi'!W$17*Incurred!W$17*BL142)</f>
        <v/>
      </c>
      <c r="X142" s="102" t="str">
        <f>IF(ISTEXT('Incurred 2.5% cpi'!X142),"",'Incurred 2.5% cpi'!X142/'Incurred 2.5% cpi'!X$17*Incurred!X$17*BM142)</f>
        <v/>
      </c>
      <c r="Y142" s="80">
        <f t="shared" si="156"/>
        <v>5191277.4737907015</v>
      </c>
      <c r="Z142" s="80">
        <f t="shared" si="223"/>
        <v>5191277.4737907015</v>
      </c>
      <c r="AA142" s="566">
        <f t="shared" si="224"/>
        <v>6087880.6404214911</v>
      </c>
      <c r="AB142" s="566">
        <f t="shared" si="225"/>
        <v>5380799.4064915078</v>
      </c>
      <c r="AC142" s="567">
        <f t="shared" si="239"/>
        <v>1.1314082128906247</v>
      </c>
      <c r="AD142" s="568" t="str">
        <f t="shared" si="226"/>
        <v>2018</v>
      </c>
      <c r="AE142" s="569">
        <v>42818</v>
      </c>
      <c r="AF142" s="568" t="s">
        <v>3152</v>
      </c>
      <c r="AG142" s="569"/>
      <c r="AH142" s="566">
        <f t="shared" si="240"/>
        <v>5380799.4064915087</v>
      </c>
      <c r="AI142" s="80">
        <f t="shared" si="227"/>
        <v>903074.65379070153</v>
      </c>
      <c r="AJ142" s="571" t="s">
        <v>0</v>
      </c>
      <c r="AK142" s="875">
        <f>IF(ISNA(VLOOKUP(LEFT($A142,8),Estimates,72,FALSE)),0,VLOOKUP(LEFT($A142,8),Estimates,72,FALSE))</f>
        <v>6029289.25</v>
      </c>
      <c r="AL142" s="28">
        <f t="shared" si="241"/>
        <v>0</v>
      </c>
      <c r="AM142" s="28">
        <f t="shared" si="241"/>
        <v>0</v>
      </c>
      <c r="AN142" s="28">
        <f t="shared" si="241"/>
        <v>0</v>
      </c>
      <c r="AO142" s="28">
        <f t="shared" si="241"/>
        <v>0</v>
      </c>
      <c r="AP142" s="28">
        <f t="shared" si="241"/>
        <v>0.80307110825708017</v>
      </c>
      <c r="AQ142" s="28">
        <f t="shared" si="241"/>
        <v>0.19692889174291975</v>
      </c>
      <c r="AR142" s="28">
        <f t="shared" si="241"/>
        <v>0</v>
      </c>
      <c r="AS142" s="28">
        <f t="shared" si="241"/>
        <v>0</v>
      </c>
      <c r="AT142" s="28">
        <f t="shared" si="241"/>
        <v>0</v>
      </c>
      <c r="AU142" s="28">
        <f t="shared" si="241"/>
        <v>0</v>
      </c>
      <c r="AV142" s="28">
        <f t="shared" si="242"/>
        <v>0</v>
      </c>
      <c r="AW142" s="28">
        <f t="shared" si="242"/>
        <v>0</v>
      </c>
      <c r="AX142" s="28">
        <f t="shared" si="242"/>
        <v>0</v>
      </c>
      <c r="AY142" s="28">
        <f t="shared" si="242"/>
        <v>0</v>
      </c>
      <c r="AZ142" s="28">
        <f t="shared" si="242"/>
        <v>0</v>
      </c>
      <c r="BA142" s="28">
        <f t="shared" si="242"/>
        <v>0</v>
      </c>
      <c r="BB142" s="28">
        <f t="shared" si="242"/>
        <v>0</v>
      </c>
      <c r="BC142" s="28">
        <f t="shared" si="242"/>
        <v>0</v>
      </c>
      <c r="BD142" s="28">
        <f t="shared" si="242"/>
        <v>0</v>
      </c>
      <c r="BE142" s="28">
        <f t="shared" si="242"/>
        <v>0</v>
      </c>
      <c r="BF142" s="27">
        <f t="shared" si="243"/>
        <v>0.99999999999999989</v>
      </c>
      <c r="BG142" s="520">
        <f t="shared" si="244"/>
        <v>1.0013788876313259</v>
      </c>
      <c r="BH142" s="520">
        <f t="shared" si="231"/>
        <v>1.0026350070272714</v>
      </c>
      <c r="BI142" s="520">
        <f t="shared" si="232"/>
        <v>1.0039944673298349</v>
      </c>
      <c r="BJ142" s="520">
        <f t="shared" si="233"/>
        <v>1.0055648032156956</v>
      </c>
      <c r="BK142" s="520">
        <f t="shared" si="234"/>
        <v>1.0078525928249935</v>
      </c>
      <c r="BL142" s="520">
        <f t="shared" si="235"/>
        <v>1.0104259499867456</v>
      </c>
      <c r="BM142" s="520">
        <f t="shared" si="236"/>
        <v>1.0121487427420144</v>
      </c>
      <c r="BN142" s="521" t="str">
        <f t="shared" si="237"/>
        <v>Category</v>
      </c>
      <c r="BP142" s="3"/>
    </row>
    <row r="143" spans="1:69" hidden="1" x14ac:dyDescent="0.15">
      <c r="A143" s="12" t="s">
        <v>299</v>
      </c>
      <c r="B143" s="13" t="s">
        <v>2300</v>
      </c>
      <c r="C143" s="13" t="s">
        <v>27</v>
      </c>
      <c r="D143" s="13" t="s">
        <v>55</v>
      </c>
      <c r="E143" s="13" t="s">
        <v>29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5">
        <v>0</v>
      </c>
      <c r="N143" s="670"/>
      <c r="O143" s="14"/>
      <c r="P143" s="15"/>
      <c r="Q143" s="15">
        <f>IF(ISTEXT('Incurred 2.5% cpi'!Q143),"",'Incurred 2.5% cpi'!Q143/'Incurred 2.5% cpi'!Q$17*Incurred!Q$17)</f>
        <v>700766.42</v>
      </c>
      <c r="R143" s="110">
        <f>IF(ISTEXT('Incurred 2.5% cpi'!R143),"",'Incurred 2.5% cpi'!R143/'Incurred 2.5% cpi'!R$17*Incurred!R$17*BG143)</f>
        <v>1240086.3949276528</v>
      </c>
      <c r="S143" s="102" t="str">
        <f>IF(ISTEXT('Incurred 2.5% cpi'!S143),"",'Incurred 2.5% cpi'!S143/'Incurred 2.5% cpi'!S$17*Incurred!S$17*BH143)</f>
        <v/>
      </c>
      <c r="T143" s="16" t="str">
        <f>IF(ISTEXT('Incurred 2.5% cpi'!T143),"",'Incurred 2.5% cpi'!T143/'Incurred 2.5% cpi'!T$17*Incurred!T$17*BI143)</f>
        <v/>
      </c>
      <c r="U143" s="16" t="str">
        <f>IF(ISTEXT('Incurred 2.5% cpi'!U143),"",'Incurred 2.5% cpi'!U143/'Incurred 2.5% cpi'!U$17*Incurred!U$17*BJ143)</f>
        <v/>
      </c>
      <c r="V143" s="16" t="str">
        <f>IF(ISTEXT('Incurred 2.5% cpi'!V143),"",'Incurred 2.5% cpi'!V143/'Incurred 2.5% cpi'!V$17*Incurred!V$17*BK143)</f>
        <v/>
      </c>
      <c r="W143" s="110" t="str">
        <f>IF(ISTEXT('Incurred 2.5% cpi'!W143),"",'Incurred 2.5% cpi'!W143/'Incurred 2.5% cpi'!W$17*Incurred!W$17*BL143)</f>
        <v/>
      </c>
      <c r="X143" s="102" t="str">
        <f>IF(ISTEXT('Incurred 2.5% cpi'!X143),"",'Incurred 2.5% cpi'!X143/'Incurred 2.5% cpi'!X$17*Incurred!X$17*BM143)</f>
        <v/>
      </c>
      <c r="Y143" s="80">
        <f t="shared" si="156"/>
        <v>1940852.8149276529</v>
      </c>
      <c r="Z143" s="80">
        <f t="shared" si="223"/>
        <v>1940852.8149276529</v>
      </c>
      <c r="AA143" s="566">
        <f t="shared" si="224"/>
        <v>2215718.1368936831</v>
      </c>
      <c r="AB143" s="566">
        <f t="shared" si="225"/>
        <v>1958371.9754276529</v>
      </c>
      <c r="AC143" s="567">
        <f t="shared" si="239"/>
        <v>1.1314082128906247</v>
      </c>
      <c r="AD143" s="568" t="str">
        <f t="shared" si="226"/>
        <v>2018</v>
      </c>
      <c r="AE143" s="569">
        <v>42947</v>
      </c>
      <c r="AF143" s="568">
        <v>2018</v>
      </c>
      <c r="AG143" s="569"/>
      <c r="AH143" s="566">
        <f t="shared" si="240"/>
        <v>1958371.9754276527</v>
      </c>
      <c r="AI143" s="80">
        <f t="shared" si="227"/>
        <v>1240086.3949276528</v>
      </c>
      <c r="AJ143" s="571" t="s">
        <v>0</v>
      </c>
      <c r="AK143" s="875">
        <f>IF(ISNA(VLOOKUP(LEFT($A143,8),Estimates,72,FALSE)),0,VLOOKUP(LEFT($A143,8),Estimates,72,FALSE))</f>
        <v>239970.00000000015</v>
      </c>
      <c r="AL143" s="28">
        <f t="shared" ref="AL143:AU144" si="245">IF($AK143=0,VLOOKUP(MID($A143,4,5),ProjectSplits,AL$23,FALSE),IF(ISNA(VLOOKUP($A143,Estimates,AL$22,FALSE)),VLOOKUP(MID($A143,4,5),ProjectSplits,AL$23,FALSE),VLOOKUP($A143,Estimates,AL$22,FALSE)))</f>
        <v>0</v>
      </c>
      <c r="AM143" s="28">
        <f t="shared" si="245"/>
        <v>0</v>
      </c>
      <c r="AN143" s="28">
        <f t="shared" si="245"/>
        <v>0</v>
      </c>
      <c r="AO143" s="28">
        <f t="shared" si="245"/>
        <v>1</v>
      </c>
      <c r="AP143" s="28">
        <f t="shared" si="245"/>
        <v>0</v>
      </c>
      <c r="AQ143" s="28">
        <f t="shared" si="245"/>
        <v>0</v>
      </c>
      <c r="AR143" s="28">
        <f t="shared" si="245"/>
        <v>0</v>
      </c>
      <c r="AS143" s="28">
        <f t="shared" si="245"/>
        <v>0</v>
      </c>
      <c r="AT143" s="28">
        <f t="shared" si="245"/>
        <v>0</v>
      </c>
      <c r="AU143" s="28">
        <f t="shared" si="245"/>
        <v>0</v>
      </c>
      <c r="AV143" s="28">
        <f t="shared" ref="AV143:BE144" si="246">IF($AK143=0,VLOOKUP(MID($A143,4,5),ProjectSplits,AV$23,FALSE),IF(ISNA(VLOOKUP($A143,Estimates,AV$22,FALSE)),VLOOKUP(MID($A143,4,5),ProjectSplits,AV$23,FALSE),VLOOKUP($A143,Estimates,AV$22,FALSE)))</f>
        <v>0</v>
      </c>
      <c r="AW143" s="28">
        <f t="shared" si="246"/>
        <v>0</v>
      </c>
      <c r="AX143" s="28">
        <f t="shared" si="246"/>
        <v>0</v>
      </c>
      <c r="AY143" s="28">
        <f t="shared" si="246"/>
        <v>0</v>
      </c>
      <c r="AZ143" s="28">
        <f t="shared" si="246"/>
        <v>0</v>
      </c>
      <c r="BA143" s="28">
        <f t="shared" si="246"/>
        <v>0</v>
      </c>
      <c r="BB143" s="28">
        <f t="shared" si="246"/>
        <v>0</v>
      </c>
      <c r="BC143" s="28">
        <f t="shared" si="246"/>
        <v>0</v>
      </c>
      <c r="BD143" s="28">
        <f t="shared" si="246"/>
        <v>0</v>
      </c>
      <c r="BE143" s="28">
        <f t="shared" si="246"/>
        <v>0</v>
      </c>
      <c r="BF143" s="27">
        <f t="shared" ref="BF143:BF144" si="247">SUM(AL143:BD143)</f>
        <v>1</v>
      </c>
      <c r="BG143" s="520">
        <f t="shared" si="244"/>
        <v>1.0046190746045656</v>
      </c>
      <c r="BH143" s="520">
        <f t="shared" si="231"/>
        <v>1.0088268933348963</v>
      </c>
      <c r="BI143" s="520">
        <f t="shared" si="232"/>
        <v>1.0133808891912874</v>
      </c>
      <c r="BJ143" s="520">
        <f t="shared" si="233"/>
        <v>1.018641287824382</v>
      </c>
      <c r="BK143" s="520">
        <f t="shared" si="234"/>
        <v>1.0263050529092395</v>
      </c>
      <c r="BL143" s="520">
        <f t="shared" si="235"/>
        <v>1.0349254280901359</v>
      </c>
      <c r="BM143" s="520">
        <f t="shared" si="236"/>
        <v>1.0406965352376705</v>
      </c>
      <c r="BN143" s="521" t="str">
        <f t="shared" si="237"/>
        <v>Category</v>
      </c>
      <c r="BP143" s="3"/>
    </row>
    <row r="144" spans="1:69" hidden="1" x14ac:dyDescent="0.15">
      <c r="A144" s="12" t="s">
        <v>300</v>
      </c>
      <c r="B144" s="13" t="s">
        <v>301</v>
      </c>
      <c r="C144" s="13" t="s">
        <v>27</v>
      </c>
      <c r="D144" s="13" t="s">
        <v>40</v>
      </c>
      <c r="E144" s="13" t="s">
        <v>29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5">
        <v>37048.43</v>
      </c>
      <c r="N144" s="670">
        <v>484827.3</v>
      </c>
      <c r="O144" s="14">
        <v>138716.12</v>
      </c>
      <c r="P144" s="15">
        <v>42278.81</v>
      </c>
      <c r="Q144" s="15">
        <f>IF(ISTEXT('Incurred 2.5% cpi'!Q144),"",'Incurred 2.5% cpi'!Q144/'Incurred 2.5% cpi'!Q$17*Incurred!Q$17)</f>
        <v>3202479.63</v>
      </c>
      <c r="R144" s="110">
        <f>IF(ISTEXT('Incurred 2.5% cpi'!R144),"",'Incurred 2.5% cpi'!R144/'Incurred 2.5% cpi'!R$17*Incurred!R$17*BG144)</f>
        <v>2427371.4162886632</v>
      </c>
      <c r="S144" s="102">
        <f>IF(ISTEXT('Incurred 2.5% cpi'!S144),"",'Incurred 2.5% cpi'!S144/'Incurred 2.5% cpi'!S$17*Incurred!S$17*BH144)</f>
        <v>486.99958106746044</v>
      </c>
      <c r="T144" s="16" t="str">
        <f>IF(ISTEXT('Incurred 2.5% cpi'!T144),"",'Incurred 2.5% cpi'!T144/'Incurred 2.5% cpi'!T$17*Incurred!T$17*BI144)</f>
        <v/>
      </c>
      <c r="U144" s="16" t="str">
        <f>IF(ISTEXT('Incurred 2.5% cpi'!U144),"",'Incurred 2.5% cpi'!U144/'Incurred 2.5% cpi'!U$17*Incurred!U$17*BJ144)</f>
        <v/>
      </c>
      <c r="V144" s="16" t="str">
        <f>IF(ISTEXT('Incurred 2.5% cpi'!V144),"",'Incurred 2.5% cpi'!V144/'Incurred 2.5% cpi'!V$17*Incurred!V$17*BK144)</f>
        <v/>
      </c>
      <c r="W144" s="110" t="str">
        <f>IF(ISTEXT('Incurred 2.5% cpi'!W144),"",'Incurred 2.5% cpi'!W144/'Incurred 2.5% cpi'!W$17*Incurred!W$17*BL144)</f>
        <v/>
      </c>
      <c r="X144" s="102" t="str">
        <f>IF(ISTEXT('Incurred 2.5% cpi'!X144),"",'Incurred 2.5% cpi'!X144/'Incurred 2.5% cpi'!X$17*Incurred!X$17*BM144)</f>
        <v/>
      </c>
      <c r="Y144" s="80">
        <f t="shared" ref="Y144:Y203" si="248">SUM(F144:W144)</f>
        <v>6333208.7058697315</v>
      </c>
      <c r="Z144" s="80">
        <f t="shared" si="223"/>
        <v>6333208.7058697315</v>
      </c>
      <c r="AA144" s="566">
        <f t="shared" si="224"/>
        <v>7313114.2043828852</v>
      </c>
      <c r="AB144" s="566">
        <f t="shared" si="225"/>
        <v>6463727.345321876</v>
      </c>
      <c r="AC144" s="567">
        <f t="shared" si="239"/>
        <v>1.1314082128906247</v>
      </c>
      <c r="AD144" s="568" t="str">
        <f t="shared" si="226"/>
        <v>2019</v>
      </c>
      <c r="AE144" s="569">
        <v>43040</v>
      </c>
      <c r="AF144" s="568">
        <v>2018</v>
      </c>
      <c r="AG144" s="569"/>
      <c r="AH144" s="566">
        <f t="shared" si="240"/>
        <v>6463727.345321876</v>
      </c>
      <c r="AI144" s="80">
        <f t="shared" si="227"/>
        <v>486.99958106746044</v>
      </c>
      <c r="AJ144" s="571" t="s">
        <v>0</v>
      </c>
      <c r="AK144" s="875">
        <f>IF(ISNA(VLOOKUP(LEFT($A144,8),Estimates,72,FALSE)),0,VLOOKUP(LEFT($A144,8),Estimates,72,FALSE))</f>
        <v>3516015.8325580084</v>
      </c>
      <c r="AL144" s="28">
        <f t="shared" si="245"/>
        <v>0</v>
      </c>
      <c r="AM144" s="28">
        <f t="shared" si="245"/>
        <v>6.1964896088506402E-2</v>
      </c>
      <c r="AN144" s="28">
        <f t="shared" si="245"/>
        <v>5.4494281362593038E-2</v>
      </c>
      <c r="AO144" s="28">
        <f t="shared" si="245"/>
        <v>0</v>
      </c>
      <c r="AP144" s="28">
        <f t="shared" si="245"/>
        <v>0</v>
      </c>
      <c r="AQ144" s="28">
        <f t="shared" si="245"/>
        <v>0</v>
      </c>
      <c r="AR144" s="28">
        <f t="shared" si="245"/>
        <v>0</v>
      </c>
      <c r="AS144" s="28">
        <f t="shared" si="245"/>
        <v>0</v>
      </c>
      <c r="AT144" s="28">
        <f t="shared" si="245"/>
        <v>0</v>
      </c>
      <c r="AU144" s="28">
        <f t="shared" si="245"/>
        <v>0.24221734498616548</v>
      </c>
      <c r="AV144" s="28">
        <f t="shared" si="246"/>
        <v>9.7043934357867928E-2</v>
      </c>
      <c r="AW144" s="28">
        <f t="shared" si="246"/>
        <v>0.15321047939897878</v>
      </c>
      <c r="AX144" s="28">
        <f t="shared" si="246"/>
        <v>2.6842882536562928E-2</v>
      </c>
      <c r="AY144" s="28">
        <f t="shared" si="246"/>
        <v>0</v>
      </c>
      <c r="AZ144" s="28">
        <f t="shared" si="246"/>
        <v>0.35000553995792844</v>
      </c>
      <c r="BA144" s="28">
        <f t="shared" si="246"/>
        <v>1.4220641311396925E-2</v>
      </c>
      <c r="BB144" s="28">
        <f t="shared" si="246"/>
        <v>0</v>
      </c>
      <c r="BC144" s="28">
        <f t="shared" si="246"/>
        <v>0</v>
      </c>
      <c r="BD144" s="28">
        <f t="shared" si="246"/>
        <v>0</v>
      </c>
      <c r="BE144" s="28">
        <f t="shared" si="246"/>
        <v>0</v>
      </c>
      <c r="BF144" s="27">
        <f t="shared" si="247"/>
        <v>0.99999999999999989</v>
      </c>
      <c r="BG144" s="520">
        <f t="shared" si="244"/>
        <v>1.0034498951996242</v>
      </c>
      <c r="BH144" s="520">
        <f t="shared" si="231"/>
        <v>1.0065926315443261</v>
      </c>
      <c r="BI144" s="520">
        <f t="shared" si="232"/>
        <v>1.0099939207178206</v>
      </c>
      <c r="BJ144" s="520">
        <f t="shared" si="233"/>
        <v>1.0139228081132494</v>
      </c>
      <c r="BK144" s="520">
        <f t="shared" si="234"/>
        <v>1.0196467222390713</v>
      </c>
      <c r="BL144" s="520">
        <f t="shared" si="235"/>
        <v>1.0260851094706045</v>
      </c>
      <c r="BM144" s="520">
        <f t="shared" si="236"/>
        <v>1.0303954349252136</v>
      </c>
      <c r="BN144" s="521" t="str">
        <f t="shared" si="237"/>
        <v>Category</v>
      </c>
      <c r="BP144" s="3"/>
    </row>
    <row r="145" spans="1:69" hidden="1" x14ac:dyDescent="0.15">
      <c r="A145" s="12" t="s">
        <v>302</v>
      </c>
      <c r="B145" s="13" t="s">
        <v>303</v>
      </c>
      <c r="C145" s="13" t="s">
        <v>27</v>
      </c>
      <c r="D145" s="13" t="s">
        <v>54</v>
      </c>
      <c r="E145" s="13" t="s">
        <v>29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5">
        <v>0</v>
      </c>
      <c r="N145" s="670">
        <v>490301.42</v>
      </c>
      <c r="O145" s="14">
        <v>531448.59</v>
      </c>
      <c r="P145" s="15">
        <v>1053221.75</v>
      </c>
      <c r="Q145" s="15">
        <f>IF(ISTEXT('Incurred 2.5% cpi'!Q145),"",'Incurred 2.5% cpi'!Q145/'Incurred 2.5% cpi'!Q$17*Incurred!Q$17)</f>
        <v>4814778.12</v>
      </c>
      <c r="R145" s="110">
        <f>IF(ISTEXT('Incurred 2.5% cpi'!R145),"",'Incurred 2.5% cpi'!R145/'Incurred 2.5% cpi'!R$17*Incurred!R$17*BG145)</f>
        <v>1701099.0877150709</v>
      </c>
      <c r="S145" s="102">
        <f>IF(ISTEXT('Incurred 2.5% cpi'!S145),"",'Incurred 2.5% cpi'!S145/'Incurred 2.5% cpi'!S$17*Incurred!S$17*BH145)</f>
        <v>16979.500982927602</v>
      </c>
      <c r="T145" s="16" t="str">
        <f>IF(ISTEXT('Incurred 2.5% cpi'!T145),"",'Incurred 2.5% cpi'!T145/'Incurred 2.5% cpi'!T$17*Incurred!T$17*BI145)</f>
        <v/>
      </c>
      <c r="U145" s="16" t="str">
        <f>IF(ISTEXT('Incurred 2.5% cpi'!U145),"",'Incurred 2.5% cpi'!U145/'Incurred 2.5% cpi'!U$17*Incurred!U$17*BJ145)</f>
        <v/>
      </c>
      <c r="V145" s="16" t="str">
        <f>IF(ISTEXT('Incurred 2.5% cpi'!V145),"",'Incurred 2.5% cpi'!V145/'Incurred 2.5% cpi'!V$17*Incurred!V$17*BK145)</f>
        <v/>
      </c>
      <c r="W145" s="110" t="str">
        <f>IF(ISTEXT('Incurred 2.5% cpi'!W145),"",'Incurred 2.5% cpi'!W145/'Incurred 2.5% cpi'!W$17*Incurred!W$17*BL145)</f>
        <v/>
      </c>
      <c r="X145" s="102" t="str">
        <f>IF(ISTEXT('Incurred 2.5% cpi'!X145),"",'Incurred 2.5% cpi'!X145/'Incurred 2.5% cpi'!X$17*Incurred!X$17*BM145)</f>
        <v/>
      </c>
      <c r="Y145" s="80">
        <f t="shared" si="248"/>
        <v>8607828.4686979987</v>
      </c>
      <c r="Z145" s="80">
        <f t="shared" si="223"/>
        <v>8607828.4686979987</v>
      </c>
      <c r="AA145" s="566">
        <f t="shared" si="224"/>
        <v>10008205.472656263</v>
      </c>
      <c r="AB145" s="566">
        <f t="shared" si="225"/>
        <v>8845795.3182842731</v>
      </c>
      <c r="AC145" s="567">
        <f t="shared" si="239"/>
        <v>1.1314082128906247</v>
      </c>
      <c r="AD145" s="568" t="str">
        <f t="shared" si="226"/>
        <v>2019</v>
      </c>
      <c r="AE145" s="569">
        <v>43091</v>
      </c>
      <c r="AF145" s="568">
        <v>2018</v>
      </c>
      <c r="AG145" s="569"/>
      <c r="AH145" s="566">
        <f t="shared" si="240"/>
        <v>8845795.3182842731</v>
      </c>
      <c r="AI145" s="80">
        <f t="shared" si="227"/>
        <v>16979.500982927602</v>
      </c>
      <c r="AJ145" s="571" t="s">
        <v>0</v>
      </c>
      <c r="AK145" s="875">
        <f t="shared" si="238"/>
        <v>0</v>
      </c>
      <c r="AL145" s="28">
        <f t="shared" ref="AL145:AU146" si="249">IF($AK145=0,VLOOKUP(MID($A145,4,5),ProjectSplits,AL$23,FALSE),IF(ISNA(VLOOKUP($A145,Estimates,AL$22,FALSE)),VLOOKUP(MID($A145,4,5),ProjectSplits,AL$23,FALSE),VLOOKUP($A145,Estimates,AL$22,FALSE)))</f>
        <v>0</v>
      </c>
      <c r="AM145" s="28">
        <f t="shared" si="249"/>
        <v>0</v>
      </c>
      <c r="AN145" s="28">
        <f t="shared" si="249"/>
        <v>0</v>
      </c>
      <c r="AO145" s="28">
        <f t="shared" si="249"/>
        <v>0</v>
      </c>
      <c r="AP145" s="28">
        <f t="shared" si="249"/>
        <v>0</v>
      </c>
      <c r="AQ145" s="28">
        <f t="shared" si="249"/>
        <v>0</v>
      </c>
      <c r="AR145" s="28">
        <f t="shared" si="249"/>
        <v>0</v>
      </c>
      <c r="AS145" s="28">
        <f t="shared" si="249"/>
        <v>0</v>
      </c>
      <c r="AT145" s="28">
        <f t="shared" si="249"/>
        <v>0</v>
      </c>
      <c r="AU145" s="28">
        <f t="shared" si="249"/>
        <v>1</v>
      </c>
      <c r="AV145" s="28">
        <f t="shared" ref="AV145:BE146" si="250">IF($AK145=0,VLOOKUP(MID($A145,4,5),ProjectSplits,AV$23,FALSE),IF(ISNA(VLOOKUP($A145,Estimates,AV$22,FALSE)),VLOOKUP(MID($A145,4,5),ProjectSplits,AV$23,FALSE),VLOOKUP($A145,Estimates,AV$22,FALSE)))</f>
        <v>0</v>
      </c>
      <c r="AW145" s="28">
        <f t="shared" si="250"/>
        <v>0</v>
      </c>
      <c r="AX145" s="28">
        <f t="shared" si="250"/>
        <v>0</v>
      </c>
      <c r="AY145" s="28">
        <f t="shared" si="250"/>
        <v>0</v>
      </c>
      <c r="AZ145" s="28">
        <f t="shared" si="250"/>
        <v>0</v>
      </c>
      <c r="BA145" s="28">
        <f t="shared" si="250"/>
        <v>0</v>
      </c>
      <c r="BB145" s="28">
        <f t="shared" si="250"/>
        <v>0</v>
      </c>
      <c r="BC145" s="28">
        <f t="shared" si="250"/>
        <v>0</v>
      </c>
      <c r="BD145" s="28">
        <f t="shared" si="250"/>
        <v>0</v>
      </c>
      <c r="BE145" s="28">
        <f t="shared" si="250"/>
        <v>0</v>
      </c>
      <c r="BF145" s="27">
        <f t="shared" ref="BF145:BF146" si="251">SUM(AL145:BD145)</f>
        <v>1</v>
      </c>
      <c r="BG145" s="520">
        <f t="shared" si="244"/>
        <v>1.0030818160192299</v>
      </c>
      <c r="BH145" s="520">
        <f t="shared" si="231"/>
        <v>1.0058892448397847</v>
      </c>
      <c r="BI145" s="520">
        <f t="shared" si="232"/>
        <v>1.0089276407487533</v>
      </c>
      <c r="BJ145" s="520">
        <f t="shared" si="233"/>
        <v>1.0124373439172154</v>
      </c>
      <c r="BK145" s="520">
        <f t="shared" si="234"/>
        <v>1.0175505572831101</v>
      </c>
      <c r="BL145" s="520">
        <f t="shared" si="235"/>
        <v>1.023302014576742</v>
      </c>
      <c r="BM145" s="520">
        <f t="shared" si="236"/>
        <v>1.0271524590875074</v>
      </c>
      <c r="BN145" s="521" t="str">
        <f t="shared" si="237"/>
        <v>Category</v>
      </c>
      <c r="BP145" s="3"/>
    </row>
    <row r="146" spans="1:69" hidden="1" x14ac:dyDescent="0.15">
      <c r="A146" s="12" t="s">
        <v>304</v>
      </c>
      <c r="B146" s="13" t="s">
        <v>305</v>
      </c>
      <c r="C146" s="13" t="s">
        <v>27</v>
      </c>
      <c r="D146" s="13" t="s">
        <v>28</v>
      </c>
      <c r="E146" s="13" t="s">
        <v>32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5">
        <v>0</v>
      </c>
      <c r="N146" s="670">
        <v>8221.2099999999991</v>
      </c>
      <c r="O146" s="14">
        <v>317591.37</v>
      </c>
      <c r="P146" s="15">
        <v>1332108.6299999999</v>
      </c>
      <c r="Q146" s="15">
        <f>IF(ISTEXT('Incurred 2.5% cpi'!Q146),"",'Incurred 2.5% cpi'!Q146/'Incurred 2.5% cpi'!Q$17*Incurred!Q$17)</f>
        <v>1116.27</v>
      </c>
      <c r="R146" s="110" t="str">
        <f>IF(ISTEXT('Incurred 2.5% cpi'!R146),"",'Incurred 2.5% cpi'!R146/'Incurred 2.5% cpi'!R$17*Incurred!R$17*BG146)</f>
        <v/>
      </c>
      <c r="S146" s="102" t="str">
        <f>IF(ISTEXT('Incurred 2.5% cpi'!S146),"",'Incurred 2.5% cpi'!S146/'Incurred 2.5% cpi'!S$17*Incurred!S$17*BH146)</f>
        <v/>
      </c>
      <c r="T146" s="16" t="str">
        <f>IF(ISTEXT('Incurred 2.5% cpi'!T146),"",'Incurred 2.5% cpi'!T146/'Incurred 2.5% cpi'!T$17*Incurred!T$17*BI146)</f>
        <v/>
      </c>
      <c r="U146" s="16" t="str">
        <f>IF(ISTEXT('Incurred 2.5% cpi'!U146),"",'Incurred 2.5% cpi'!U146/'Incurred 2.5% cpi'!U$17*Incurred!U$17*BJ146)</f>
        <v/>
      </c>
      <c r="V146" s="16" t="str">
        <f>IF(ISTEXT('Incurred 2.5% cpi'!V146),"",'Incurred 2.5% cpi'!V146/'Incurred 2.5% cpi'!V$17*Incurred!V$17*BK146)</f>
        <v/>
      </c>
      <c r="W146" s="110" t="str">
        <f>IF(ISTEXT('Incurred 2.5% cpi'!W146),"",'Incurred 2.5% cpi'!W146/'Incurred 2.5% cpi'!W$17*Incurred!W$17*BL146)</f>
        <v/>
      </c>
      <c r="X146" s="102" t="str">
        <f>IF(ISTEXT('Incurred 2.5% cpi'!X146),"",'Incurred 2.5% cpi'!X146/'Incurred 2.5% cpi'!X$17*Incurred!X$17*BM146)</f>
        <v/>
      </c>
      <c r="Y146" s="80">
        <f t="shared" si="248"/>
        <v>1659037.48</v>
      </c>
      <c r="Z146" s="80">
        <f t="shared" si="223"/>
        <v>1659037.48</v>
      </c>
      <c r="AA146" s="566">
        <f t="shared" si="224"/>
        <v>1970034.4357733845</v>
      </c>
      <c r="AB146" s="566">
        <f t="shared" si="225"/>
        <v>1698754.5198016604</v>
      </c>
      <c r="AC146" s="567">
        <f t="shared" si="239"/>
        <v>1.1596934182128902</v>
      </c>
      <c r="AD146" s="568" t="str">
        <f t="shared" si="226"/>
        <v>2017</v>
      </c>
      <c r="AE146" s="569">
        <v>42303</v>
      </c>
      <c r="AF146" s="568" t="s">
        <v>3152</v>
      </c>
      <c r="AG146" s="569"/>
      <c r="AH146" s="566">
        <f t="shared" si="240"/>
        <v>1741223.382796702</v>
      </c>
      <c r="AI146" s="80">
        <f t="shared" si="227"/>
        <v>1116.27</v>
      </c>
      <c r="AJ146" s="571" t="s">
        <v>0</v>
      </c>
      <c r="AK146" s="875">
        <f t="shared" si="238"/>
        <v>0</v>
      </c>
      <c r="AL146" s="28">
        <f t="shared" si="249"/>
        <v>0</v>
      </c>
      <c r="AM146" s="28">
        <f t="shared" si="249"/>
        <v>0</v>
      </c>
      <c r="AN146" s="28">
        <f t="shared" si="249"/>
        <v>0</v>
      </c>
      <c r="AO146" s="28">
        <f t="shared" si="249"/>
        <v>0</v>
      </c>
      <c r="AP146" s="28">
        <f t="shared" si="249"/>
        <v>0</v>
      </c>
      <c r="AQ146" s="28">
        <f t="shared" si="249"/>
        <v>0</v>
      </c>
      <c r="AR146" s="28">
        <f t="shared" si="249"/>
        <v>0</v>
      </c>
      <c r="AS146" s="28">
        <f t="shared" si="249"/>
        <v>0</v>
      </c>
      <c r="AT146" s="28">
        <f t="shared" si="249"/>
        <v>0</v>
      </c>
      <c r="AU146" s="28">
        <f t="shared" si="249"/>
        <v>7.648687145583058E-2</v>
      </c>
      <c r="AV146" s="28">
        <f t="shared" si="250"/>
        <v>0</v>
      </c>
      <c r="AW146" s="28">
        <f t="shared" si="250"/>
        <v>0</v>
      </c>
      <c r="AX146" s="28">
        <f t="shared" si="250"/>
        <v>0</v>
      </c>
      <c r="AY146" s="28">
        <f t="shared" si="250"/>
        <v>0</v>
      </c>
      <c r="AZ146" s="28">
        <f t="shared" si="250"/>
        <v>3.7813432234136905E-2</v>
      </c>
      <c r="BA146" s="28">
        <f t="shared" si="250"/>
        <v>0.88569969631003254</v>
      </c>
      <c r="BB146" s="28">
        <f t="shared" si="250"/>
        <v>0</v>
      </c>
      <c r="BC146" s="28">
        <f t="shared" si="250"/>
        <v>0</v>
      </c>
      <c r="BD146" s="28">
        <f t="shared" si="250"/>
        <v>0</v>
      </c>
      <c r="BE146" s="28">
        <f t="shared" si="250"/>
        <v>0</v>
      </c>
      <c r="BF146" s="27">
        <f t="shared" si="251"/>
        <v>1</v>
      </c>
      <c r="BG146" s="520">
        <f t="shared" si="244"/>
        <v>1.0030444840366091</v>
      </c>
      <c r="BH146" s="520">
        <f t="shared" si="231"/>
        <v>1.0058179046998681</v>
      </c>
      <c r="BI146" s="520">
        <f t="shared" si="232"/>
        <v>1.0088194946014175</v>
      </c>
      <c r="BJ146" s="520">
        <f t="shared" si="233"/>
        <v>1.0122866825201464</v>
      </c>
      <c r="BK146" s="520">
        <f t="shared" si="234"/>
        <v>1.0173379563051834</v>
      </c>
      <c r="BL146" s="520">
        <f t="shared" si="235"/>
        <v>1.023019742566414</v>
      </c>
      <c r="BM146" s="520">
        <f t="shared" si="236"/>
        <v>1.026823544212498</v>
      </c>
      <c r="BN146" s="521" t="str">
        <f t="shared" si="237"/>
        <v>Category</v>
      </c>
      <c r="BP146" s="3"/>
    </row>
    <row r="147" spans="1:69" hidden="1" x14ac:dyDescent="0.15">
      <c r="A147" s="12" t="s">
        <v>306</v>
      </c>
      <c r="B147" s="13" t="s">
        <v>307</v>
      </c>
      <c r="C147" s="13" t="s">
        <v>27</v>
      </c>
      <c r="D147" s="13" t="s">
        <v>40</v>
      </c>
      <c r="E147" s="13" t="s">
        <v>29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5">
        <v>0</v>
      </c>
      <c r="N147" s="670"/>
      <c r="O147" s="14"/>
      <c r="P147" s="15">
        <v>87606.14</v>
      </c>
      <c r="Q147" s="15">
        <f>IF(ISTEXT('Incurred 2.5% cpi'!Q147),"",'Incurred 2.5% cpi'!Q147/'Incurred 2.5% cpi'!Q$17*Incurred!Q$17)</f>
        <v>272528.40000000002</v>
      </c>
      <c r="R147" s="110">
        <f>IF(ISTEXT('Incurred 2.5% cpi'!R147),"",'Incurred 2.5% cpi'!R147/'Incurred 2.5% cpi'!R$17*Incurred!R$17*BG147)</f>
        <v>5852842.9992264761</v>
      </c>
      <c r="S147" s="102">
        <f>IF(ISTEXT('Incurred 2.5% cpi'!S147),"",'Incurred 2.5% cpi'!S147/'Incurred 2.5% cpi'!S$17*Incurred!S$17*BH147)</f>
        <v>3715690.1394587266</v>
      </c>
      <c r="T147" s="16">
        <f>IF(ISTEXT('Incurred 2.5% cpi'!T147),"",'Incurred 2.5% cpi'!T147/'Incurred 2.5% cpi'!T$17*Incurred!T$17*BI147)</f>
        <v>6441.7412263382594</v>
      </c>
      <c r="U147" s="16" t="str">
        <f>IF(ISTEXT('Incurred 2.5% cpi'!U147),"",'Incurred 2.5% cpi'!U147/'Incurred 2.5% cpi'!U$17*Incurred!U$17*BJ147)</f>
        <v/>
      </c>
      <c r="V147" s="16" t="str">
        <f>IF(ISTEXT('Incurred 2.5% cpi'!V147),"",'Incurred 2.5% cpi'!V147/'Incurred 2.5% cpi'!V$17*Incurred!V$17*BK147)</f>
        <v/>
      </c>
      <c r="W147" s="110" t="str">
        <f>IF(ISTEXT('Incurred 2.5% cpi'!W147),"",'Incurred 2.5% cpi'!W147/'Incurred 2.5% cpi'!W$17*Incurred!W$17*BL147)</f>
        <v/>
      </c>
      <c r="X147" s="102" t="str">
        <f>IF(ISTEXT('Incurred 2.5% cpi'!X147),"",'Incurred 2.5% cpi'!X147/'Incurred 2.5% cpi'!X$17*Incurred!X$17*BM147)</f>
        <v/>
      </c>
      <c r="Y147" s="80">
        <f t="shared" si="248"/>
        <v>9935109.419911541</v>
      </c>
      <c r="Z147" s="80">
        <f t="shared" si="223"/>
        <v>9935109.419911541</v>
      </c>
      <c r="AA147" s="566">
        <f t="shared" si="224"/>
        <v>11150123.642865913</v>
      </c>
      <c r="AB147" s="566">
        <f t="shared" si="225"/>
        <v>10353998.246447651</v>
      </c>
      <c r="AC147" s="567">
        <f t="shared" si="239"/>
        <v>1.0768906249999999</v>
      </c>
      <c r="AD147" s="568" t="str">
        <f t="shared" si="226"/>
        <v>2020</v>
      </c>
      <c r="AE147" s="569">
        <v>43342</v>
      </c>
      <c r="AF147" s="568" t="s">
        <v>3152</v>
      </c>
      <c r="AG147" s="569"/>
      <c r="AH147" s="566">
        <f t="shared" si="240"/>
        <v>9855084.5891232882</v>
      </c>
      <c r="AI147" s="80">
        <f t="shared" si="227"/>
        <v>6441.7412263382594</v>
      </c>
      <c r="AJ147" s="571" t="s">
        <v>3036</v>
      </c>
      <c r="AK147" s="875">
        <f t="shared" si="238"/>
        <v>0</v>
      </c>
      <c r="AL147" s="28">
        <f t="shared" ref="AL147:BE147" si="252">IF($AK147=0,VLOOKUP(MID($A147,4,5),ProjectSplits,AL$23,FALSE),IF(ISNA(VLOOKUP($A147,Estimates,AL$22,FALSE)),VLOOKUP(MID($A147,4,5),ProjectSplits,AL$23,FALSE),VLOOKUP($A147,Estimates,AL$22,FALSE)))</f>
        <v>0</v>
      </c>
      <c r="AM147" s="28">
        <f t="shared" si="252"/>
        <v>0</v>
      </c>
      <c r="AN147" s="28">
        <f t="shared" si="252"/>
        <v>0</v>
      </c>
      <c r="AO147" s="28">
        <f t="shared" si="252"/>
        <v>0</v>
      </c>
      <c r="AP147" s="28">
        <f t="shared" si="252"/>
        <v>0</v>
      </c>
      <c r="AQ147" s="28">
        <f t="shared" si="252"/>
        <v>0</v>
      </c>
      <c r="AR147" s="28">
        <f t="shared" si="252"/>
        <v>0</v>
      </c>
      <c r="AS147" s="28">
        <f t="shared" si="252"/>
        <v>0</v>
      </c>
      <c r="AT147" s="28">
        <f t="shared" si="252"/>
        <v>0</v>
      </c>
      <c r="AU147" s="28">
        <f t="shared" si="252"/>
        <v>0</v>
      </c>
      <c r="AV147" s="28">
        <f t="shared" si="252"/>
        <v>0.5</v>
      </c>
      <c r="AW147" s="28">
        <f t="shared" si="252"/>
        <v>0.5</v>
      </c>
      <c r="AX147" s="28">
        <f t="shared" si="252"/>
        <v>0</v>
      </c>
      <c r="AY147" s="28">
        <f t="shared" si="252"/>
        <v>0</v>
      </c>
      <c r="AZ147" s="28">
        <f t="shared" si="252"/>
        <v>0</v>
      </c>
      <c r="BA147" s="28">
        <f t="shared" si="252"/>
        <v>0</v>
      </c>
      <c r="BB147" s="28">
        <f t="shared" si="252"/>
        <v>0</v>
      </c>
      <c r="BC147" s="28">
        <f t="shared" si="252"/>
        <v>0</v>
      </c>
      <c r="BD147" s="28">
        <f t="shared" si="252"/>
        <v>0</v>
      </c>
      <c r="BE147" s="28">
        <f t="shared" si="252"/>
        <v>0</v>
      </c>
      <c r="BF147" s="27">
        <f>SUM(AL147:BD147)</f>
        <v>1</v>
      </c>
      <c r="BG147" s="520">
        <f t="shared" si="244"/>
        <v>1.0034498951996242</v>
      </c>
      <c r="BH147" s="520">
        <f t="shared" si="231"/>
        <v>1.0065926315443261</v>
      </c>
      <c r="BI147" s="520">
        <f t="shared" si="232"/>
        <v>1.0099939207178206</v>
      </c>
      <c r="BJ147" s="520">
        <f t="shared" si="233"/>
        <v>1.0139228081132494</v>
      </c>
      <c r="BK147" s="520">
        <f t="shared" si="234"/>
        <v>1.0196467222390713</v>
      </c>
      <c r="BL147" s="520">
        <f t="shared" si="235"/>
        <v>1.0260851094706045</v>
      </c>
      <c r="BM147" s="520">
        <f t="shared" si="236"/>
        <v>1.0303954349252136</v>
      </c>
      <c r="BN147" s="521" t="str">
        <f t="shared" si="237"/>
        <v>Category</v>
      </c>
      <c r="BP147" s="3"/>
    </row>
    <row r="148" spans="1:69" hidden="1" x14ac:dyDescent="0.15">
      <c r="A148" s="12" t="s">
        <v>308</v>
      </c>
      <c r="B148" s="13" t="s">
        <v>2379</v>
      </c>
      <c r="C148" s="13" t="s">
        <v>27</v>
      </c>
      <c r="D148" s="13" t="s">
        <v>40</v>
      </c>
      <c r="E148" s="13" t="s">
        <v>29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5">
        <v>0</v>
      </c>
      <c r="N148" s="670"/>
      <c r="O148" s="14">
        <v>60003.55</v>
      </c>
      <c r="P148" s="15">
        <v>414454.11</v>
      </c>
      <c r="Q148" s="15">
        <f>IF(ISTEXT('Incurred 2.5% cpi'!Q148),"",'Incurred 2.5% cpi'!Q148/'Incurred 2.5% cpi'!Q$17*Incurred!Q$17)</f>
        <v>1183162.21</v>
      </c>
      <c r="R148" s="110">
        <f>IF(ISTEXT('Incurred 2.5% cpi'!R148),"",'Incurred 2.5% cpi'!R148/'Incurred 2.5% cpi'!R$17*Incurred!R$17*BG148)</f>
        <v>7236472.8391319318</v>
      </c>
      <c r="S148" s="102">
        <f>IF(ISTEXT('Incurred 2.5% cpi'!S148),"",'Incurred 2.5% cpi'!S148/'Incurred 2.5% cpi'!S$17*Incurred!S$17*BH148)</f>
        <v>2416706.9898383943</v>
      </c>
      <c r="T148" s="16" t="str">
        <f>IF(ISTEXT('Incurred 2.5% cpi'!T148),"",'Incurred 2.5% cpi'!T148/'Incurred 2.5% cpi'!T$17*Incurred!T$17*BI148)</f>
        <v/>
      </c>
      <c r="U148" s="16" t="str">
        <f>IF(ISTEXT('Incurred 2.5% cpi'!U148),"",'Incurred 2.5% cpi'!U148/'Incurred 2.5% cpi'!U$17*Incurred!U$17*BJ148)</f>
        <v/>
      </c>
      <c r="V148" s="16" t="str">
        <f>IF(ISTEXT('Incurred 2.5% cpi'!V148),"",'Incurred 2.5% cpi'!V148/'Incurred 2.5% cpi'!V$17*Incurred!V$17*BK148)</f>
        <v/>
      </c>
      <c r="W148" s="110" t="str">
        <f>IF(ISTEXT('Incurred 2.5% cpi'!W148),"",'Incurred 2.5% cpi'!W148/'Incurred 2.5% cpi'!W$17*Incurred!W$17*BL148)</f>
        <v/>
      </c>
      <c r="X148" s="102" t="str">
        <f>IF(ISTEXT('Incurred 2.5% cpi'!X148),"",'Incurred 2.5% cpi'!X148/'Incurred 2.5% cpi'!X$17*Incurred!X$17*BM148)</f>
        <v/>
      </c>
      <c r="Y148" s="80">
        <f t="shared" si="248"/>
        <v>11310799.698970325</v>
      </c>
      <c r="Z148" s="80">
        <f t="shared" si="223"/>
        <v>11310799.698970325</v>
      </c>
      <c r="AA148" s="566">
        <f t="shared" si="224"/>
        <v>12789955.650550107</v>
      </c>
      <c r="AB148" s="566">
        <f t="shared" si="225"/>
        <v>11587068.568576138</v>
      </c>
      <c r="AC148" s="567">
        <f t="shared" si="239"/>
        <v>1.1038128906249998</v>
      </c>
      <c r="AD148" s="568" t="str">
        <f t="shared" si="226"/>
        <v>2019</v>
      </c>
      <c r="AE148" s="569">
        <v>43130</v>
      </c>
      <c r="AF148" s="568">
        <v>2019</v>
      </c>
      <c r="AG148" s="569"/>
      <c r="AH148" s="566">
        <f t="shared" si="240"/>
        <v>11304457.140074283</v>
      </c>
      <c r="AI148" s="80">
        <f t="shared" si="227"/>
        <v>2416706.9898383943</v>
      </c>
      <c r="AJ148" s="571" t="s">
        <v>3035</v>
      </c>
      <c r="AK148" s="875">
        <f t="shared" ref="AK148:AK157" si="253">IF(ISNA(VLOOKUP(LEFT($A148,8),Estimates,72,FALSE)),0,VLOOKUP(LEFT($A148,8),Estimates,72,FALSE))</f>
        <v>6032738</v>
      </c>
      <c r="AL148" s="28">
        <f t="shared" ref="AL148:BE148" si="254">IF($AK148=0,VLOOKUP(MID($A148,4,5),ProjectSplits,AL$23,FALSE),IF(ISNA(VLOOKUP($A148,Estimates,AL$22,FALSE)),VLOOKUP(MID($A148,4,5),ProjectSplits,AL$23,FALSE),VLOOKUP($A148,Estimates,AL$22,FALSE)))</f>
        <v>0</v>
      </c>
      <c r="AM148" s="28">
        <f t="shared" si="254"/>
        <v>0</v>
      </c>
      <c r="AN148" s="28">
        <f t="shared" si="254"/>
        <v>0</v>
      </c>
      <c r="AO148" s="28">
        <f t="shared" si="254"/>
        <v>0</v>
      </c>
      <c r="AP148" s="28">
        <f t="shared" si="254"/>
        <v>0</v>
      </c>
      <c r="AQ148" s="28">
        <f t="shared" si="254"/>
        <v>0</v>
      </c>
      <c r="AR148" s="28">
        <f t="shared" si="254"/>
        <v>0</v>
      </c>
      <c r="AS148" s="28">
        <f t="shared" si="254"/>
        <v>0</v>
      </c>
      <c r="AT148" s="28">
        <f t="shared" si="254"/>
        <v>0</v>
      </c>
      <c r="AU148" s="28">
        <f t="shared" si="254"/>
        <v>0</v>
      </c>
      <c r="AV148" s="28">
        <f t="shared" si="254"/>
        <v>0</v>
      </c>
      <c r="AW148" s="28">
        <f t="shared" si="254"/>
        <v>1</v>
      </c>
      <c r="AX148" s="28">
        <f t="shared" si="254"/>
        <v>0</v>
      </c>
      <c r="AY148" s="28">
        <f t="shared" si="254"/>
        <v>0</v>
      </c>
      <c r="AZ148" s="28">
        <f t="shared" si="254"/>
        <v>0</v>
      </c>
      <c r="BA148" s="28">
        <f t="shared" si="254"/>
        <v>0</v>
      </c>
      <c r="BB148" s="28">
        <f t="shared" si="254"/>
        <v>0</v>
      </c>
      <c r="BC148" s="28">
        <f t="shared" si="254"/>
        <v>0</v>
      </c>
      <c r="BD148" s="28">
        <f t="shared" si="254"/>
        <v>0</v>
      </c>
      <c r="BE148" s="28">
        <f t="shared" si="254"/>
        <v>0</v>
      </c>
      <c r="BF148" s="27">
        <f>SUM(AL148:BD148)</f>
        <v>1</v>
      </c>
      <c r="BG148" s="520">
        <f t="shared" si="244"/>
        <v>1.0034498951996242</v>
      </c>
      <c r="BH148" s="520">
        <f t="shared" si="231"/>
        <v>1.0065926315443261</v>
      </c>
      <c r="BI148" s="520">
        <f t="shared" si="232"/>
        <v>1.0099939207178206</v>
      </c>
      <c r="BJ148" s="520">
        <f t="shared" si="233"/>
        <v>1.0139228081132494</v>
      </c>
      <c r="BK148" s="520">
        <f t="shared" si="234"/>
        <v>1.0196467222390713</v>
      </c>
      <c r="BL148" s="520">
        <f t="shared" si="235"/>
        <v>1.0260851094706045</v>
      </c>
      <c r="BM148" s="520">
        <f t="shared" si="236"/>
        <v>1.0303954349252136</v>
      </c>
      <c r="BN148" s="521" t="str">
        <f t="shared" si="237"/>
        <v>Category</v>
      </c>
      <c r="BP148" s="3"/>
    </row>
    <row r="149" spans="1:69" hidden="1" x14ac:dyDescent="0.15">
      <c r="A149" s="12" t="s">
        <v>310</v>
      </c>
      <c r="B149" s="13" t="s">
        <v>311</v>
      </c>
      <c r="C149" s="13" t="s">
        <v>27</v>
      </c>
      <c r="D149" s="13" t="s">
        <v>40</v>
      </c>
      <c r="E149" s="13" t="s">
        <v>29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5">
        <v>0</v>
      </c>
      <c r="N149" s="670"/>
      <c r="O149" s="14">
        <v>9388.5499999999993</v>
      </c>
      <c r="P149" s="15">
        <v>231514.37</v>
      </c>
      <c r="Q149" s="15">
        <f>IF(ISTEXT('Incurred 2.5% cpi'!Q149),"",'Incurred 2.5% cpi'!Q149/'Incurred 2.5% cpi'!Q$17*Incurred!Q$17)</f>
        <v>1693220.48</v>
      </c>
      <c r="R149" s="110">
        <f>IF(ISTEXT('Incurred 2.5% cpi'!R149),"",'Incurred 2.5% cpi'!R149/'Incurred 2.5% cpi'!R$17*Incurred!R$17*BG149)</f>
        <v>377566.32599494705</v>
      </c>
      <c r="S149" s="102">
        <f>IF(ISTEXT('Incurred 2.5% cpi'!S149),"",'Incurred 2.5% cpi'!S149/'Incurred 2.5% cpi'!S$17*Incurred!S$17*BH149)</f>
        <v>4557.7910400748151</v>
      </c>
      <c r="T149" s="16" t="str">
        <f>IF(ISTEXT('Incurred 2.5% cpi'!T149),"",'Incurred 2.5% cpi'!T149/'Incurred 2.5% cpi'!T$17*Incurred!T$17*BI149)</f>
        <v/>
      </c>
      <c r="U149" s="16" t="str">
        <f>IF(ISTEXT('Incurred 2.5% cpi'!U149),"",'Incurred 2.5% cpi'!U149/'Incurred 2.5% cpi'!U$17*Incurred!U$17*BJ149)</f>
        <v/>
      </c>
      <c r="V149" s="16" t="str">
        <f>IF(ISTEXT('Incurred 2.5% cpi'!V149),"",'Incurred 2.5% cpi'!V149/'Incurred 2.5% cpi'!V$17*Incurred!V$17*BK149)</f>
        <v/>
      </c>
      <c r="W149" s="110" t="str">
        <f>IF(ISTEXT('Incurred 2.5% cpi'!W149),"",'Incurred 2.5% cpi'!W149/'Incurred 2.5% cpi'!W$17*Incurred!W$17*BL149)</f>
        <v/>
      </c>
      <c r="X149" s="102" t="str">
        <f>IF(ISTEXT('Incurred 2.5% cpi'!X149),"",'Incurred 2.5% cpi'!X149/'Incurred 2.5% cpi'!X$17*Incurred!X$17*BM149)</f>
        <v/>
      </c>
      <c r="Y149" s="80">
        <f t="shared" si="248"/>
        <v>2316247.5170350219</v>
      </c>
      <c r="Z149" s="80">
        <f t="shared" si="223"/>
        <v>2316247.5170350219</v>
      </c>
      <c r="AA149" s="566">
        <f t="shared" si="224"/>
        <v>2681287.1500466908</v>
      </c>
      <c r="AB149" s="566">
        <f t="shared" si="225"/>
        <v>2369867.1438810704</v>
      </c>
      <c r="AC149" s="567">
        <f t="shared" si="239"/>
        <v>1.1314082128906247</v>
      </c>
      <c r="AD149" s="568" t="str">
        <f t="shared" si="226"/>
        <v>2019</v>
      </c>
      <c r="AE149" s="569">
        <v>43007</v>
      </c>
      <c r="AF149" s="568">
        <v>2018</v>
      </c>
      <c r="AG149" s="569"/>
      <c r="AH149" s="566">
        <f t="shared" si="240"/>
        <v>2369867.1438810709</v>
      </c>
      <c r="AI149" s="80">
        <f t="shared" si="227"/>
        <v>4557.7910400748151</v>
      </c>
      <c r="AJ149" s="571" t="s">
        <v>0</v>
      </c>
      <c r="AK149" s="875">
        <f t="shared" si="253"/>
        <v>1232877.9999999986</v>
      </c>
      <c r="AL149" s="28">
        <f t="shared" ref="AL149:BE149" si="255">IF($AK149=0,VLOOKUP(MID($A149,4,5),ProjectSplits,AL$23,FALSE),IF(ISNA(VLOOKUP($A149,Estimates,AL$22,FALSE)),VLOOKUP(MID($A149,4,5),ProjectSplits,AL$23,FALSE),VLOOKUP($A149,Estimates,AL$22,FALSE)))</f>
        <v>0</v>
      </c>
      <c r="AM149" s="28">
        <f t="shared" si="255"/>
        <v>0</v>
      </c>
      <c r="AN149" s="28">
        <f t="shared" si="255"/>
        <v>0</v>
      </c>
      <c r="AO149" s="28">
        <f t="shared" si="255"/>
        <v>0</v>
      </c>
      <c r="AP149" s="28">
        <f t="shared" si="255"/>
        <v>0</v>
      </c>
      <c r="AQ149" s="28">
        <f t="shared" si="255"/>
        <v>0</v>
      </c>
      <c r="AR149" s="28">
        <f t="shared" si="255"/>
        <v>0</v>
      </c>
      <c r="AS149" s="28">
        <f t="shared" si="255"/>
        <v>0</v>
      </c>
      <c r="AT149" s="28">
        <f t="shared" si="255"/>
        <v>0</v>
      </c>
      <c r="AU149" s="28">
        <f t="shared" si="255"/>
        <v>0</v>
      </c>
      <c r="AV149" s="28">
        <f t="shared" si="255"/>
        <v>0</v>
      </c>
      <c r="AW149" s="28">
        <f t="shared" si="255"/>
        <v>0</v>
      </c>
      <c r="AX149" s="28">
        <f t="shared" si="255"/>
        <v>0</v>
      </c>
      <c r="AY149" s="28">
        <f t="shared" si="255"/>
        <v>0</v>
      </c>
      <c r="AZ149" s="28">
        <f t="shared" si="255"/>
        <v>1</v>
      </c>
      <c r="BA149" s="28">
        <f t="shared" si="255"/>
        <v>0</v>
      </c>
      <c r="BB149" s="28">
        <f t="shared" si="255"/>
        <v>0</v>
      </c>
      <c r="BC149" s="28">
        <f t="shared" si="255"/>
        <v>0</v>
      </c>
      <c r="BD149" s="28">
        <f t="shared" si="255"/>
        <v>0</v>
      </c>
      <c r="BE149" s="28">
        <f t="shared" si="255"/>
        <v>0</v>
      </c>
      <c r="BF149" s="27">
        <f>SUM(AL149:BD149)</f>
        <v>1</v>
      </c>
      <c r="BG149" s="520">
        <f t="shared" si="244"/>
        <v>1.0034498951996242</v>
      </c>
      <c r="BH149" s="520">
        <f t="shared" si="231"/>
        <v>1.0065926315443261</v>
      </c>
      <c r="BI149" s="520">
        <f t="shared" si="232"/>
        <v>1.0099939207178206</v>
      </c>
      <c r="BJ149" s="520">
        <f t="shared" si="233"/>
        <v>1.0139228081132494</v>
      </c>
      <c r="BK149" s="520">
        <f t="shared" si="234"/>
        <v>1.0196467222390713</v>
      </c>
      <c r="BL149" s="520">
        <f t="shared" si="235"/>
        <v>1.0260851094706045</v>
      </c>
      <c r="BM149" s="520">
        <f t="shared" si="236"/>
        <v>1.0303954349252136</v>
      </c>
      <c r="BN149" s="521" t="str">
        <f t="shared" si="237"/>
        <v>Category</v>
      </c>
      <c r="BP149" s="3"/>
    </row>
    <row r="150" spans="1:69" hidden="1" x14ac:dyDescent="0.15">
      <c r="A150" s="12" t="s">
        <v>312</v>
      </c>
      <c r="B150" s="13" t="s">
        <v>313</v>
      </c>
      <c r="C150" s="13" t="s">
        <v>27</v>
      </c>
      <c r="D150" s="13" t="s">
        <v>36</v>
      </c>
      <c r="E150" s="13" t="s">
        <v>29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5">
        <v>0</v>
      </c>
      <c r="N150" s="670"/>
      <c r="O150" s="14"/>
      <c r="P150" s="15"/>
      <c r="Q150" s="15">
        <f>IF(ISTEXT('Incurred 2.5% cpi'!Q150),"",'Incurred 2.5% cpi'!Q150/'Incurred 2.5% cpi'!Q$17*Incurred!Q$17)</f>
        <v>375366.15</v>
      </c>
      <c r="R150" s="110">
        <f>IF(ISTEXT('Incurred 2.5% cpi'!R150),"",'Incurred 2.5% cpi'!R150/'Incurred 2.5% cpi'!R$17*Incurred!R$17*BG150)</f>
        <v>32185.354154626679</v>
      </c>
      <c r="S150" s="102" t="str">
        <f>IF(ISTEXT('Incurred 2.5% cpi'!S150),"",'Incurred 2.5% cpi'!S150/'Incurred 2.5% cpi'!S$17*Incurred!S$17*BH150)</f>
        <v/>
      </c>
      <c r="T150" s="16" t="str">
        <f>IF(ISTEXT('Incurred 2.5% cpi'!T150),"",'Incurred 2.5% cpi'!T150/'Incurred 2.5% cpi'!T$17*Incurred!T$17*BI150)</f>
        <v/>
      </c>
      <c r="U150" s="16" t="str">
        <f>IF(ISTEXT('Incurred 2.5% cpi'!U150),"",'Incurred 2.5% cpi'!U150/'Incurred 2.5% cpi'!U$17*Incurred!U$17*BJ150)</f>
        <v/>
      </c>
      <c r="V150" s="16" t="str">
        <f>IF(ISTEXT('Incurred 2.5% cpi'!V150),"",'Incurred 2.5% cpi'!V150/'Incurred 2.5% cpi'!V$17*Incurred!V$17*BK150)</f>
        <v/>
      </c>
      <c r="W150" s="110" t="str">
        <f>IF(ISTEXT('Incurred 2.5% cpi'!W150),"",'Incurred 2.5% cpi'!W150/'Incurred 2.5% cpi'!W$17*Incurred!W$17*BL150)</f>
        <v/>
      </c>
      <c r="X150" s="102" t="str">
        <f>IF(ISTEXT('Incurred 2.5% cpi'!X150),"",'Incurred 2.5% cpi'!X150/'Incurred 2.5% cpi'!X$17*Incurred!X$17*BM150)</f>
        <v/>
      </c>
      <c r="Y150" s="80">
        <f t="shared" si="248"/>
        <v>407551.50415462669</v>
      </c>
      <c r="Z150" s="80">
        <f t="shared" si="223"/>
        <v>407551.50415462669</v>
      </c>
      <c r="AA150" s="566">
        <f t="shared" si="224"/>
        <v>471724.42760025052</v>
      </c>
      <c r="AB150" s="566">
        <f t="shared" si="225"/>
        <v>416935.65790462669</v>
      </c>
      <c r="AC150" s="567">
        <f t="shared" si="239"/>
        <v>1.1314082128906247</v>
      </c>
      <c r="AD150" s="568" t="str">
        <f t="shared" si="226"/>
        <v>2018</v>
      </c>
      <c r="AE150" s="569">
        <v>42916</v>
      </c>
      <c r="AF150" s="568" t="s">
        <v>3152</v>
      </c>
      <c r="AG150" s="569"/>
      <c r="AH150" s="566">
        <f t="shared" si="240"/>
        <v>416935.65790462663</v>
      </c>
      <c r="AI150" s="80">
        <f t="shared" si="227"/>
        <v>32185.354154626679</v>
      </c>
      <c r="AJ150" s="571" t="s">
        <v>0</v>
      </c>
      <c r="AK150" s="875">
        <f t="shared" si="253"/>
        <v>251119.99999999994</v>
      </c>
      <c r="AL150" s="28">
        <f t="shared" ref="AL150:AU151" si="256">IF($AK150=0,VLOOKUP(MID($A150,4,5),ProjectSplits,AL$23,FALSE),IF(ISNA(VLOOKUP($A150,Estimates,AL$22,FALSE)),VLOOKUP(MID($A150,4,5),ProjectSplits,AL$23,FALSE),VLOOKUP($A150,Estimates,AL$22,FALSE)))</f>
        <v>0.30232558139534887</v>
      </c>
      <c r="AM150" s="28">
        <f t="shared" si="256"/>
        <v>0</v>
      </c>
      <c r="AN150" s="28">
        <f t="shared" si="256"/>
        <v>0</v>
      </c>
      <c r="AO150" s="28">
        <f t="shared" si="256"/>
        <v>0</v>
      </c>
      <c r="AP150" s="28">
        <f t="shared" si="256"/>
        <v>0</v>
      </c>
      <c r="AQ150" s="28">
        <f t="shared" si="256"/>
        <v>0</v>
      </c>
      <c r="AR150" s="28">
        <f t="shared" si="256"/>
        <v>0</v>
      </c>
      <c r="AS150" s="28">
        <f t="shared" si="256"/>
        <v>0.69767441860465118</v>
      </c>
      <c r="AT150" s="28">
        <f t="shared" si="256"/>
        <v>0</v>
      </c>
      <c r="AU150" s="28">
        <f t="shared" si="256"/>
        <v>0</v>
      </c>
      <c r="AV150" s="28">
        <f t="shared" ref="AV150:BE151" si="257">IF($AK150=0,VLOOKUP(MID($A150,4,5),ProjectSplits,AV$23,FALSE),IF(ISNA(VLOOKUP($A150,Estimates,AV$22,FALSE)),VLOOKUP(MID($A150,4,5),ProjectSplits,AV$23,FALSE),VLOOKUP($A150,Estimates,AV$22,FALSE)))</f>
        <v>0</v>
      </c>
      <c r="AW150" s="28">
        <f t="shared" si="257"/>
        <v>0</v>
      </c>
      <c r="AX150" s="28">
        <f t="shared" si="257"/>
        <v>0</v>
      </c>
      <c r="AY150" s="28">
        <f t="shared" si="257"/>
        <v>0</v>
      </c>
      <c r="AZ150" s="28">
        <f t="shared" si="257"/>
        <v>0</v>
      </c>
      <c r="BA150" s="28">
        <f t="shared" si="257"/>
        <v>0</v>
      </c>
      <c r="BB150" s="28">
        <f t="shared" si="257"/>
        <v>0</v>
      </c>
      <c r="BC150" s="28">
        <f t="shared" si="257"/>
        <v>0</v>
      </c>
      <c r="BD150" s="28">
        <f t="shared" si="257"/>
        <v>0</v>
      </c>
      <c r="BE150" s="28">
        <f t="shared" si="257"/>
        <v>0</v>
      </c>
      <c r="BF150" s="27">
        <f t="shared" ref="BF150:BF151" si="258">SUM(AL150:BD150)</f>
        <v>1</v>
      </c>
      <c r="BG150" s="520">
        <f t="shared" si="244"/>
        <v>1.0018756098697492</v>
      </c>
      <c r="BH150" s="520">
        <f t="shared" si="231"/>
        <v>1.0035842262088148</v>
      </c>
      <c r="BI150" s="520">
        <f t="shared" si="232"/>
        <v>1.0054334103650095</v>
      </c>
      <c r="BJ150" s="520">
        <f t="shared" si="233"/>
        <v>1.007569434664183</v>
      </c>
      <c r="BK150" s="520">
        <f t="shared" si="234"/>
        <v>1.0106813639277612</v>
      </c>
      <c r="BL150" s="520">
        <f t="shared" si="235"/>
        <v>1.0141817318919957</v>
      </c>
      <c r="BM150" s="520">
        <f t="shared" si="236"/>
        <v>1.0165251332119476</v>
      </c>
      <c r="BN150" s="521" t="str">
        <f t="shared" si="237"/>
        <v>Category</v>
      </c>
      <c r="BP150" s="3"/>
    </row>
    <row r="151" spans="1:69" hidden="1" x14ac:dyDescent="0.15">
      <c r="A151" s="12" t="s">
        <v>314</v>
      </c>
      <c r="B151" s="13" t="s">
        <v>315</v>
      </c>
      <c r="C151" s="13" t="s">
        <v>27</v>
      </c>
      <c r="D151" s="13" t="s">
        <v>60</v>
      </c>
      <c r="E151" s="13" t="s">
        <v>29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5">
        <v>0</v>
      </c>
      <c r="N151" s="670"/>
      <c r="O151" s="14"/>
      <c r="P151" s="15"/>
      <c r="Q151" s="15">
        <f>IF(ISTEXT('Incurred 2.5% cpi'!Q151),"",'Incurred 2.5% cpi'!Q151/'Incurred 2.5% cpi'!Q$17*Incurred!Q$17)</f>
        <v>1122835.1100000001</v>
      </c>
      <c r="R151" s="110">
        <f>IF(ISTEXT('Incurred 2.5% cpi'!R151),"",'Incurred 2.5% cpi'!R151/'Incurred 2.5% cpi'!R$17*Incurred!R$17*BG151)</f>
        <v>817839.14333365555</v>
      </c>
      <c r="S151" s="102" t="str">
        <f>IF(ISTEXT('Incurred 2.5% cpi'!S151),"",'Incurred 2.5% cpi'!S151/'Incurred 2.5% cpi'!S$17*Incurred!S$17*BH151)</f>
        <v/>
      </c>
      <c r="T151" s="16" t="str">
        <f>IF(ISTEXT('Incurred 2.5% cpi'!T151),"",'Incurred 2.5% cpi'!T151/'Incurred 2.5% cpi'!T$17*Incurred!T$17*BI151)</f>
        <v/>
      </c>
      <c r="U151" s="16" t="str">
        <f>IF(ISTEXT('Incurred 2.5% cpi'!U151),"",'Incurred 2.5% cpi'!U151/'Incurred 2.5% cpi'!U$17*Incurred!U$17*BJ151)</f>
        <v/>
      </c>
      <c r="V151" s="16" t="str">
        <f>IF(ISTEXT('Incurred 2.5% cpi'!V151),"",'Incurred 2.5% cpi'!V151/'Incurred 2.5% cpi'!V$17*Incurred!V$17*BK151)</f>
        <v/>
      </c>
      <c r="W151" s="110" t="str">
        <f>IF(ISTEXT('Incurred 2.5% cpi'!W151),"",'Incurred 2.5% cpi'!W151/'Incurred 2.5% cpi'!W$17*Incurred!W$17*BL151)</f>
        <v/>
      </c>
      <c r="X151" s="102" t="str">
        <f>IF(ISTEXT('Incurred 2.5% cpi'!X151),"",'Incurred 2.5% cpi'!X151/'Incurred 2.5% cpi'!X$17*Incurred!X$17*BM151)</f>
        <v/>
      </c>
      <c r="Y151" s="80">
        <f t="shared" si="248"/>
        <v>1940674.2533336557</v>
      </c>
      <c r="Z151" s="80">
        <f t="shared" si="223"/>
        <v>1940674.2533336557</v>
      </c>
      <c r="AA151" s="566">
        <f t="shared" si="224"/>
        <v>2227454.4103964772</v>
      </c>
      <c r="AB151" s="566">
        <f t="shared" si="225"/>
        <v>1968745.1310836554</v>
      </c>
      <c r="AC151" s="567">
        <f t="shared" si="239"/>
        <v>1.1314082128906247</v>
      </c>
      <c r="AD151" s="568" t="str">
        <f t="shared" si="226"/>
        <v>2018</v>
      </c>
      <c r="AE151" s="569">
        <v>42835</v>
      </c>
      <c r="AF151" s="568" t="s">
        <v>3152</v>
      </c>
      <c r="AG151" s="569"/>
      <c r="AH151" s="566">
        <f t="shared" si="240"/>
        <v>1968745.1310836556</v>
      </c>
      <c r="AI151" s="80">
        <f t="shared" si="227"/>
        <v>817839.14333365555</v>
      </c>
      <c r="AJ151" s="571" t="s">
        <v>0</v>
      </c>
      <c r="AK151" s="875">
        <f t="shared" si="253"/>
        <v>1962985.0000000005</v>
      </c>
      <c r="AL151" s="28">
        <f t="shared" si="256"/>
        <v>0</v>
      </c>
      <c r="AM151" s="28">
        <f t="shared" si="256"/>
        <v>0</v>
      </c>
      <c r="AN151" s="28">
        <f t="shared" si="256"/>
        <v>0</v>
      </c>
      <c r="AO151" s="28">
        <f t="shared" si="256"/>
        <v>0</v>
      </c>
      <c r="AP151" s="28">
        <f t="shared" si="256"/>
        <v>0</v>
      </c>
      <c r="AQ151" s="28">
        <f t="shared" si="256"/>
        <v>0</v>
      </c>
      <c r="AR151" s="28">
        <f t="shared" si="256"/>
        <v>0</v>
      </c>
      <c r="AS151" s="28">
        <f t="shared" si="256"/>
        <v>0</v>
      </c>
      <c r="AT151" s="28">
        <f t="shared" si="256"/>
        <v>0</v>
      </c>
      <c r="AU151" s="28">
        <f t="shared" si="256"/>
        <v>1</v>
      </c>
      <c r="AV151" s="28">
        <f t="shared" si="257"/>
        <v>0</v>
      </c>
      <c r="AW151" s="28">
        <f t="shared" si="257"/>
        <v>0</v>
      </c>
      <c r="AX151" s="28">
        <f t="shared" si="257"/>
        <v>0</v>
      </c>
      <c r="AY151" s="28">
        <f t="shared" si="257"/>
        <v>0</v>
      </c>
      <c r="AZ151" s="28">
        <f t="shared" si="257"/>
        <v>0</v>
      </c>
      <c r="BA151" s="28">
        <f t="shared" si="257"/>
        <v>0</v>
      </c>
      <c r="BB151" s="28">
        <f t="shared" si="257"/>
        <v>0</v>
      </c>
      <c r="BC151" s="28">
        <f t="shared" si="257"/>
        <v>0</v>
      </c>
      <c r="BD151" s="28">
        <f t="shared" si="257"/>
        <v>0</v>
      </c>
      <c r="BE151" s="28">
        <f t="shared" si="257"/>
        <v>0</v>
      </c>
      <c r="BF151" s="27">
        <f t="shared" si="258"/>
        <v>1</v>
      </c>
      <c r="BG151" s="520">
        <f t="shared" si="244"/>
        <v>1.0002847743844534</v>
      </c>
      <c r="BH151" s="520">
        <f t="shared" si="231"/>
        <v>1.0005441940932489</v>
      </c>
      <c r="BI151" s="520">
        <f t="shared" si="232"/>
        <v>1.0008249562540341</v>
      </c>
      <c r="BJ151" s="520">
        <f t="shared" si="233"/>
        <v>1.0011492694359945</v>
      </c>
      <c r="BK151" s="520">
        <f t="shared" si="234"/>
        <v>1.0016217545485921</v>
      </c>
      <c r="BL151" s="520">
        <f t="shared" si="235"/>
        <v>1.0021532164205156</v>
      </c>
      <c r="BM151" s="520">
        <f t="shared" si="236"/>
        <v>1.0025090157150169</v>
      </c>
      <c r="BN151" s="521" t="str">
        <f t="shared" si="237"/>
        <v>Category</v>
      </c>
      <c r="BP151" s="3"/>
    </row>
    <row r="152" spans="1:69" hidden="1" x14ac:dyDescent="0.15">
      <c r="A152" s="12" t="s">
        <v>318</v>
      </c>
      <c r="B152" s="13" t="s">
        <v>2301</v>
      </c>
      <c r="C152" s="13" t="s">
        <v>27</v>
      </c>
      <c r="D152" s="13" t="s">
        <v>55</v>
      </c>
      <c r="E152" s="13" t="s">
        <v>29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5">
        <v>0</v>
      </c>
      <c r="N152" s="670"/>
      <c r="O152" s="14"/>
      <c r="P152" s="15"/>
      <c r="Q152" s="15">
        <f>IF(ISTEXT('Incurred 2.5% cpi'!Q152),"",'Incurred 2.5% cpi'!Q152/'Incurred 2.5% cpi'!Q$17*Incurred!Q$17)</f>
        <v>422628.44</v>
      </c>
      <c r="R152" s="110">
        <f>IF(ISTEXT('Incurred 2.5% cpi'!R152),"",'Incurred 2.5% cpi'!R152/'Incurred 2.5% cpi'!R$17*Incurred!R$17*BG152)</f>
        <v>454732.16528080462</v>
      </c>
      <c r="S152" s="102" t="str">
        <f>IF(ISTEXT('Incurred 2.5% cpi'!S152),"",'Incurred 2.5% cpi'!S152/'Incurred 2.5% cpi'!S$17*Incurred!S$17*BH152)</f>
        <v/>
      </c>
      <c r="T152" s="16" t="str">
        <f>IF(ISTEXT('Incurred 2.5% cpi'!T152),"",'Incurred 2.5% cpi'!T152/'Incurred 2.5% cpi'!T$17*Incurred!T$17*BI152)</f>
        <v/>
      </c>
      <c r="U152" s="16" t="str">
        <f>IF(ISTEXT('Incurred 2.5% cpi'!U152),"",'Incurred 2.5% cpi'!U152/'Incurred 2.5% cpi'!U$17*Incurred!U$17*BJ152)</f>
        <v/>
      </c>
      <c r="V152" s="16" t="str">
        <f>IF(ISTEXT('Incurred 2.5% cpi'!V152),"",'Incurred 2.5% cpi'!V152/'Incurred 2.5% cpi'!V$17*Incurred!V$17*BK152)</f>
        <v/>
      </c>
      <c r="W152" s="110" t="str">
        <f>IF(ISTEXT('Incurred 2.5% cpi'!W152),"",'Incurred 2.5% cpi'!W152/'Incurred 2.5% cpi'!W$17*Incurred!W$17*BL152)</f>
        <v/>
      </c>
      <c r="X152" s="102" t="str">
        <f>IF(ISTEXT('Incurred 2.5% cpi'!X152),"",'Incurred 2.5% cpi'!X152/'Incurred 2.5% cpi'!X$17*Incurred!X$17*BM152)</f>
        <v/>
      </c>
      <c r="Y152" s="80">
        <f t="shared" si="248"/>
        <v>877360.60528080468</v>
      </c>
      <c r="Z152" s="80">
        <f t="shared" si="223"/>
        <v>877360.60528080468</v>
      </c>
      <c r="AA152" s="566">
        <f t="shared" si="224"/>
        <v>1004607.1266818207</v>
      </c>
      <c r="AB152" s="566">
        <f t="shared" si="225"/>
        <v>887926.31628080457</v>
      </c>
      <c r="AC152" s="567">
        <f t="shared" si="239"/>
        <v>1.1314082128906247</v>
      </c>
      <c r="AD152" s="568" t="str">
        <f t="shared" si="226"/>
        <v>2018</v>
      </c>
      <c r="AE152" s="569">
        <v>43123</v>
      </c>
      <c r="AF152" s="568">
        <v>2018</v>
      </c>
      <c r="AG152" s="569"/>
      <c r="AH152" s="566">
        <f t="shared" si="240"/>
        <v>887926.31628080457</v>
      </c>
      <c r="AI152" s="80">
        <f t="shared" si="227"/>
        <v>454732.16528080462</v>
      </c>
      <c r="AJ152" s="571" t="s">
        <v>3035</v>
      </c>
      <c r="AK152" s="875">
        <f t="shared" si="253"/>
        <v>179280.00000000006</v>
      </c>
      <c r="AL152" s="28">
        <f t="shared" ref="AL152:AU154" si="259">IF($AK152=0,VLOOKUP(MID($A152,4,5),ProjectSplits,AL$23,FALSE),IF(ISNA(VLOOKUP($A152,Estimates,AL$22,FALSE)),VLOOKUP(MID($A152,4,5),ProjectSplits,AL$23,FALSE),VLOOKUP($A152,Estimates,AL$22,FALSE)))</f>
        <v>0</v>
      </c>
      <c r="AM152" s="28">
        <f t="shared" si="259"/>
        <v>0</v>
      </c>
      <c r="AN152" s="28">
        <f t="shared" si="259"/>
        <v>0</v>
      </c>
      <c r="AO152" s="28">
        <f t="shared" si="259"/>
        <v>1</v>
      </c>
      <c r="AP152" s="28">
        <f t="shared" si="259"/>
        <v>0</v>
      </c>
      <c r="AQ152" s="28">
        <f t="shared" si="259"/>
        <v>0</v>
      </c>
      <c r="AR152" s="28">
        <f t="shared" si="259"/>
        <v>0</v>
      </c>
      <c r="AS152" s="28">
        <f t="shared" si="259"/>
        <v>0</v>
      </c>
      <c r="AT152" s="28">
        <f t="shared" si="259"/>
        <v>0</v>
      </c>
      <c r="AU152" s="28">
        <f t="shared" si="259"/>
        <v>0</v>
      </c>
      <c r="AV152" s="28">
        <f t="shared" ref="AV152:BE154" si="260">IF($AK152=0,VLOOKUP(MID($A152,4,5),ProjectSplits,AV$23,FALSE),IF(ISNA(VLOOKUP($A152,Estimates,AV$22,FALSE)),VLOOKUP(MID($A152,4,5),ProjectSplits,AV$23,FALSE),VLOOKUP($A152,Estimates,AV$22,FALSE)))</f>
        <v>0</v>
      </c>
      <c r="AW152" s="28">
        <f t="shared" si="260"/>
        <v>0</v>
      </c>
      <c r="AX152" s="28">
        <f t="shared" si="260"/>
        <v>0</v>
      </c>
      <c r="AY152" s="28">
        <f t="shared" si="260"/>
        <v>0</v>
      </c>
      <c r="AZ152" s="28">
        <f t="shared" si="260"/>
        <v>0</v>
      </c>
      <c r="BA152" s="28">
        <f t="shared" si="260"/>
        <v>0</v>
      </c>
      <c r="BB152" s="28">
        <f t="shared" si="260"/>
        <v>0</v>
      </c>
      <c r="BC152" s="28">
        <f t="shared" si="260"/>
        <v>0</v>
      </c>
      <c r="BD152" s="28">
        <f t="shared" si="260"/>
        <v>0</v>
      </c>
      <c r="BE152" s="28">
        <f t="shared" si="260"/>
        <v>0</v>
      </c>
      <c r="BF152" s="27">
        <f t="shared" ref="BF152:BF154" si="261">SUM(AL152:BD152)</f>
        <v>1</v>
      </c>
      <c r="BG152" s="809">
        <f t="shared" ref="BG152:BI152" si="262">IF(LabIn=0,1,BN388)</f>
        <v>1.0030818160192299</v>
      </c>
      <c r="BH152" s="809">
        <f t="shared" si="262"/>
        <v>1.0097688453498526</v>
      </c>
      <c r="BI152" s="809">
        <f t="shared" si="262"/>
        <v>1.0161083275766507</v>
      </c>
      <c r="BJ152" s="809">
        <f t="shared" ref="BJ152" si="263">IF(LabIn=0,1,BQ388)</f>
        <v>1.0233030059558439</v>
      </c>
      <c r="BK152" s="809">
        <f t="shared" ref="BK152" si="264">IF(LabIn=0,1,BR388)</f>
        <v>1.0321835573610239</v>
      </c>
      <c r="BL152" s="809">
        <f t="shared" ref="BL152" si="265">IF(LabIn=0,1,BS388)</f>
        <v>1.0417658117738879</v>
      </c>
      <c r="BM152" s="520">
        <f t="shared" si="236"/>
        <v>1.0406965352376705</v>
      </c>
      <c r="BN152" s="521" t="s">
        <v>3148</v>
      </c>
      <c r="BP152" s="3"/>
    </row>
    <row r="153" spans="1:69" hidden="1" x14ac:dyDescent="0.15">
      <c r="A153" s="12" t="s">
        <v>319</v>
      </c>
      <c r="B153" s="13" t="s">
        <v>320</v>
      </c>
      <c r="C153" s="13" t="s">
        <v>27</v>
      </c>
      <c r="D153" s="13" t="s">
        <v>55</v>
      </c>
      <c r="E153" s="13" t="s">
        <v>29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5">
        <v>0</v>
      </c>
      <c r="N153" s="670"/>
      <c r="O153" s="14">
        <v>8096.17</v>
      </c>
      <c r="P153" s="15">
        <v>165269.04</v>
      </c>
      <c r="Q153" s="15">
        <f>IF(ISTEXT('Incurred 2.5% cpi'!Q153),"",'Incurred 2.5% cpi'!Q153/'Incurred 2.5% cpi'!Q$17*Incurred!Q$17)</f>
        <v>265960.96999999997</v>
      </c>
      <c r="R153" s="110">
        <f>IF(ISTEXT('Incurred 2.5% cpi'!R153),"",'Incurred 2.5% cpi'!R153/'Incurred 2.5% cpi'!R$17*Incurred!R$17*BG153)</f>
        <v>85005.139764313091</v>
      </c>
      <c r="S153" s="102" t="str">
        <f>IF(ISTEXT('Incurred 2.5% cpi'!S153),"",'Incurred 2.5% cpi'!S153/'Incurred 2.5% cpi'!S$17*Incurred!S$17*BH153)</f>
        <v/>
      </c>
      <c r="T153" s="16" t="str">
        <f>IF(ISTEXT('Incurred 2.5% cpi'!T153),"",'Incurred 2.5% cpi'!T153/'Incurred 2.5% cpi'!T$17*Incurred!T$17*BI153)</f>
        <v/>
      </c>
      <c r="U153" s="16" t="str">
        <f>IF(ISTEXT('Incurred 2.5% cpi'!U153),"",'Incurred 2.5% cpi'!U153/'Incurred 2.5% cpi'!U$17*Incurred!U$17*BJ153)</f>
        <v/>
      </c>
      <c r="V153" s="16" t="str">
        <f>IF(ISTEXT('Incurred 2.5% cpi'!V153),"",'Incurred 2.5% cpi'!V153/'Incurred 2.5% cpi'!V$17*Incurred!V$17*BK153)</f>
        <v/>
      </c>
      <c r="W153" s="110" t="str">
        <f>IF(ISTEXT('Incurred 2.5% cpi'!W153),"",'Incurred 2.5% cpi'!W153/'Incurred 2.5% cpi'!W$17*Incurred!W$17*BL153)</f>
        <v/>
      </c>
      <c r="X153" s="102" t="str">
        <f>IF(ISTEXT('Incurred 2.5% cpi'!X153),"",'Incurred 2.5% cpi'!X153/'Incurred 2.5% cpi'!X$17*Incurred!X$17*BM153)</f>
        <v/>
      </c>
      <c r="Y153" s="80">
        <f t="shared" si="248"/>
        <v>524331.31976431306</v>
      </c>
      <c r="Z153" s="80">
        <f t="shared" si="223"/>
        <v>524331.31976431306</v>
      </c>
      <c r="AA153" s="566">
        <f t="shared" si="224"/>
        <v>610058.60325958615</v>
      </c>
      <c r="AB153" s="566">
        <f t="shared" si="225"/>
        <v>539202.91218405857</v>
      </c>
      <c r="AC153" s="567">
        <f t="shared" si="239"/>
        <v>1.1314082128906247</v>
      </c>
      <c r="AD153" s="568" t="str">
        <f t="shared" si="226"/>
        <v>2018</v>
      </c>
      <c r="AE153" s="569">
        <v>42892</v>
      </c>
      <c r="AF153" s="568">
        <v>2018</v>
      </c>
      <c r="AG153" s="569"/>
      <c r="AH153" s="566">
        <f t="shared" si="240"/>
        <v>539202.91218405857</v>
      </c>
      <c r="AI153" s="80">
        <f t="shared" si="227"/>
        <v>85005.139764313091</v>
      </c>
      <c r="AJ153" s="571" t="s">
        <v>0</v>
      </c>
      <c r="AK153" s="875">
        <f t="shared" si="253"/>
        <v>1199999.9999999984</v>
      </c>
      <c r="AL153" s="28">
        <f t="shared" si="259"/>
        <v>0</v>
      </c>
      <c r="AM153" s="28">
        <f t="shared" si="259"/>
        <v>0</v>
      </c>
      <c r="AN153" s="28">
        <f t="shared" si="259"/>
        <v>0</v>
      </c>
      <c r="AO153" s="28">
        <f t="shared" si="259"/>
        <v>1</v>
      </c>
      <c r="AP153" s="28">
        <f t="shared" si="259"/>
        <v>0</v>
      </c>
      <c r="AQ153" s="28">
        <f t="shared" si="259"/>
        <v>0</v>
      </c>
      <c r="AR153" s="28">
        <f t="shared" si="259"/>
        <v>0</v>
      </c>
      <c r="AS153" s="28">
        <f t="shared" si="259"/>
        <v>0</v>
      </c>
      <c r="AT153" s="28">
        <f t="shared" si="259"/>
        <v>0</v>
      </c>
      <c r="AU153" s="28">
        <f t="shared" si="259"/>
        <v>0</v>
      </c>
      <c r="AV153" s="28">
        <f t="shared" si="260"/>
        <v>0</v>
      </c>
      <c r="AW153" s="28">
        <f t="shared" si="260"/>
        <v>0</v>
      </c>
      <c r="AX153" s="28">
        <f t="shared" si="260"/>
        <v>0</v>
      </c>
      <c r="AY153" s="28">
        <f t="shared" si="260"/>
        <v>0</v>
      </c>
      <c r="AZ153" s="28">
        <f t="shared" si="260"/>
        <v>0</v>
      </c>
      <c r="BA153" s="28">
        <f t="shared" si="260"/>
        <v>0</v>
      </c>
      <c r="BB153" s="28">
        <f t="shared" si="260"/>
        <v>0</v>
      </c>
      <c r="BC153" s="28">
        <f t="shared" si="260"/>
        <v>0</v>
      </c>
      <c r="BD153" s="28">
        <f t="shared" si="260"/>
        <v>0</v>
      </c>
      <c r="BE153" s="28">
        <f t="shared" si="260"/>
        <v>0</v>
      </c>
      <c r="BF153" s="27">
        <f t="shared" si="261"/>
        <v>1</v>
      </c>
      <c r="BG153" s="520">
        <f t="shared" si="244"/>
        <v>1.0046190746045656</v>
      </c>
      <c r="BH153" s="520">
        <f t="shared" si="231"/>
        <v>1.0088268933348963</v>
      </c>
      <c r="BI153" s="520">
        <f t="shared" si="232"/>
        <v>1.0133808891912874</v>
      </c>
      <c r="BJ153" s="520">
        <f t="shared" si="233"/>
        <v>1.018641287824382</v>
      </c>
      <c r="BK153" s="520">
        <f t="shared" si="234"/>
        <v>1.0263050529092395</v>
      </c>
      <c r="BL153" s="520">
        <f t="shared" si="235"/>
        <v>1.0349254280901359</v>
      </c>
      <c r="BM153" s="520">
        <f t="shared" si="236"/>
        <v>1.0406965352376705</v>
      </c>
      <c r="BN153" s="521" t="str">
        <f t="shared" si="237"/>
        <v>Category</v>
      </c>
      <c r="BP153" s="3"/>
    </row>
    <row r="154" spans="1:69" hidden="1" x14ac:dyDescent="0.15">
      <c r="A154" s="12" t="s">
        <v>322</v>
      </c>
      <c r="B154" s="13" t="s">
        <v>323</v>
      </c>
      <c r="C154" s="13" t="s">
        <v>27</v>
      </c>
      <c r="D154" s="13" t="s">
        <v>55</v>
      </c>
      <c r="E154" s="13" t="s">
        <v>112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5">
        <v>0</v>
      </c>
      <c r="N154" s="670"/>
      <c r="O154" s="14"/>
      <c r="P154" s="15"/>
      <c r="Q154" s="15" t="str">
        <f>IF(ISTEXT('Incurred 2.5% cpi'!Q154),"",'Incurred 2.5% cpi'!Q154/'Incurred 2.5% cpi'!Q$17*Incurred!Q$17)</f>
        <v/>
      </c>
      <c r="R154" s="110" t="str">
        <f>IF(ISTEXT('Incurred 2.5% cpi'!R154),"",'Incurred 2.5% cpi'!R154/'Incurred 2.5% cpi'!R$17*Incurred!R$17*BG154)</f>
        <v/>
      </c>
      <c r="S154" s="102" t="str">
        <f>IF(ISTEXT('Incurred 2.5% cpi'!S154),"",'Incurred 2.5% cpi'!S154/'Incurred 2.5% cpi'!S$17*Incurred!S$17*BH154)</f>
        <v/>
      </c>
      <c r="T154" s="16">
        <f>IF(ISTEXT('Incurred 2.5% cpi'!T154),"",'Incurred 2.5% cpi'!T154/'Incurred 2.5% cpi'!T$17*Incurred!T$17*BI154)</f>
        <v>236182.67448518527</v>
      </c>
      <c r="U154" s="16">
        <f>IF(ISTEXT('Incurred 2.5% cpi'!U154),"",'Incurred 2.5% cpi'!U154/'Incurred 2.5% cpi'!U$17*Incurred!U$17*BJ154)</f>
        <v>489525.51608678279</v>
      </c>
      <c r="V154" s="16">
        <f>IF(ISTEXT('Incurred 2.5% cpi'!V154),"",'Incurred 2.5% cpi'!V154/'Incurred 2.5% cpi'!V$17*Incurred!V$17*BK154)</f>
        <v>632150.79609808477</v>
      </c>
      <c r="W154" s="110">
        <f>IF(ISTEXT('Incurred 2.5% cpi'!W154),"",'Incurred 2.5% cpi'!W154/'Incurred 2.5% cpi'!W$17*Incurred!W$17*BL154)</f>
        <v>290233.40841685212</v>
      </c>
      <c r="X154" s="102" t="str">
        <f>IF(ISTEXT('Incurred 2.5% cpi'!X154),"",'Incurred 2.5% cpi'!X154/'Incurred 2.5% cpi'!X$17*Incurred!X$17*BM154)</f>
        <v/>
      </c>
      <c r="Y154" s="80">
        <f t="shared" si="248"/>
        <v>1648092.395086905</v>
      </c>
      <c r="Z154" s="80">
        <f t="shared" si="223"/>
        <v>1648092.395086905</v>
      </c>
      <c r="AA154" s="566">
        <f t="shared" si="224"/>
        <v>1706838.6276965877</v>
      </c>
      <c r="AB154" s="566">
        <f t="shared" si="225"/>
        <v>1706838.6276965877</v>
      </c>
      <c r="AC154" s="567">
        <f t="shared" si="239"/>
        <v>1</v>
      </c>
      <c r="AD154" s="568" t="str">
        <f t="shared" si="226"/>
        <v>2023</v>
      </c>
      <c r="AE154" s="569">
        <v>44886</v>
      </c>
      <c r="AF154" s="568">
        <v>2023</v>
      </c>
      <c r="AG154" s="569"/>
      <c r="AH154" s="566">
        <f t="shared" si="240"/>
        <v>1508596.6393471733</v>
      </c>
      <c r="AI154" s="80">
        <f t="shared" si="227"/>
        <v>290233.40841685212</v>
      </c>
      <c r="AJ154" s="571" t="s">
        <v>3035</v>
      </c>
      <c r="AK154" s="875">
        <f t="shared" si="253"/>
        <v>280000.00000000006</v>
      </c>
      <c r="AL154" s="28">
        <f t="shared" si="259"/>
        <v>0</v>
      </c>
      <c r="AM154" s="28">
        <f t="shared" si="259"/>
        <v>0</v>
      </c>
      <c r="AN154" s="28">
        <f t="shared" si="259"/>
        <v>0</v>
      </c>
      <c r="AO154" s="28">
        <f t="shared" si="259"/>
        <v>1</v>
      </c>
      <c r="AP154" s="28">
        <f t="shared" si="259"/>
        <v>0</v>
      </c>
      <c r="AQ154" s="28">
        <f t="shared" si="259"/>
        <v>0</v>
      </c>
      <c r="AR154" s="28">
        <f t="shared" si="259"/>
        <v>0</v>
      </c>
      <c r="AS154" s="28">
        <f t="shared" si="259"/>
        <v>0</v>
      </c>
      <c r="AT154" s="28">
        <f t="shared" si="259"/>
        <v>0</v>
      </c>
      <c r="AU154" s="28">
        <f t="shared" si="259"/>
        <v>0</v>
      </c>
      <c r="AV154" s="28">
        <f t="shared" si="260"/>
        <v>0</v>
      </c>
      <c r="AW154" s="28">
        <f t="shared" si="260"/>
        <v>0</v>
      </c>
      <c r="AX154" s="28">
        <f t="shared" si="260"/>
        <v>0</v>
      </c>
      <c r="AY154" s="28">
        <f t="shared" si="260"/>
        <v>0</v>
      </c>
      <c r="AZ154" s="28">
        <f t="shared" si="260"/>
        <v>0</v>
      </c>
      <c r="BA154" s="28">
        <f t="shared" si="260"/>
        <v>0</v>
      </c>
      <c r="BB154" s="28">
        <f t="shared" si="260"/>
        <v>0</v>
      </c>
      <c r="BC154" s="28">
        <f t="shared" si="260"/>
        <v>0</v>
      </c>
      <c r="BD154" s="28">
        <f t="shared" si="260"/>
        <v>0</v>
      </c>
      <c r="BE154" s="28">
        <f t="shared" si="260"/>
        <v>0</v>
      </c>
      <c r="BF154" s="27">
        <f t="shared" si="261"/>
        <v>1</v>
      </c>
      <c r="BG154" s="520">
        <f t="shared" si="244"/>
        <v>1.0047443590460903</v>
      </c>
      <c r="BH154" s="520">
        <f t="shared" si="231"/>
        <v>1.0090663076108137</v>
      </c>
      <c r="BI154" s="520">
        <f t="shared" si="232"/>
        <v>1.0137438227597946</v>
      </c>
      <c r="BJ154" s="520">
        <f t="shared" si="233"/>
        <v>1.0191469006439002</v>
      </c>
      <c r="BK154" s="520">
        <f t="shared" si="234"/>
        <v>1.0270185321545748</v>
      </c>
      <c r="BL154" s="520">
        <f t="shared" si="235"/>
        <v>1.0358727201622233</v>
      </c>
      <c r="BM154" s="520">
        <f t="shared" si="236"/>
        <v>1.0418003586494431</v>
      </c>
      <c r="BN154" s="521" t="str">
        <f t="shared" si="237"/>
        <v>Project</v>
      </c>
      <c r="BP154" s="3"/>
    </row>
    <row r="155" spans="1:69" hidden="1" x14ac:dyDescent="0.15">
      <c r="A155" s="12" t="s">
        <v>324</v>
      </c>
      <c r="B155" s="13" t="s">
        <v>325</v>
      </c>
      <c r="C155" s="13" t="s">
        <v>27</v>
      </c>
      <c r="D155" s="13" t="s">
        <v>40</v>
      </c>
      <c r="E155" s="13" t="s">
        <v>29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5">
        <v>3325.07</v>
      </c>
      <c r="N155" s="670">
        <v>665573.62</v>
      </c>
      <c r="O155" s="14">
        <v>655963.36</v>
      </c>
      <c r="P155" s="15">
        <v>2745396.56</v>
      </c>
      <c r="Q155" s="15">
        <f>IF(ISTEXT('Incurred 2.5% cpi'!Q155),"",'Incurred 2.5% cpi'!Q155/'Incurred 2.5% cpi'!Q$17*Incurred!Q$17)</f>
        <v>3849743.01</v>
      </c>
      <c r="R155" s="110" t="str">
        <f>IF(ISTEXT('Incurred 2.5% cpi'!R155),"",'Incurred 2.5% cpi'!R155/'Incurred 2.5% cpi'!R$17*Incurred!R$17*BG155)</f>
        <v/>
      </c>
      <c r="S155" s="102" t="str">
        <f>IF(ISTEXT('Incurred 2.5% cpi'!S155),"",'Incurred 2.5% cpi'!S155/'Incurred 2.5% cpi'!S$17*Incurred!S$17*BH155)</f>
        <v/>
      </c>
      <c r="T155" s="16" t="str">
        <f>IF(ISTEXT('Incurred 2.5% cpi'!T155),"",'Incurred 2.5% cpi'!T155/'Incurred 2.5% cpi'!T$17*Incurred!T$17*BI155)</f>
        <v/>
      </c>
      <c r="U155" s="16" t="str">
        <f>IF(ISTEXT('Incurred 2.5% cpi'!U155),"",'Incurred 2.5% cpi'!U155/'Incurred 2.5% cpi'!U$17*Incurred!U$17*BJ155)</f>
        <v/>
      </c>
      <c r="V155" s="16" t="str">
        <f>IF(ISTEXT('Incurred 2.5% cpi'!V155),"",'Incurred 2.5% cpi'!V155/'Incurred 2.5% cpi'!V$17*Incurred!V$17*BK155)</f>
        <v/>
      </c>
      <c r="W155" s="110" t="str">
        <f>IF(ISTEXT('Incurred 2.5% cpi'!W155),"",'Incurred 2.5% cpi'!W155/'Incurred 2.5% cpi'!W$17*Incurred!W$17*BL155)</f>
        <v/>
      </c>
      <c r="X155" s="102" t="str">
        <f>IF(ISTEXT('Incurred 2.5% cpi'!X155),"",'Incurred 2.5% cpi'!X155/'Incurred 2.5% cpi'!X$17*Incurred!X$17*BM155)</f>
        <v/>
      </c>
      <c r="Y155" s="80">
        <f t="shared" si="248"/>
        <v>7920001.6199999992</v>
      </c>
      <c r="Z155" s="80">
        <f t="shared" si="223"/>
        <v>7920001.6199999992</v>
      </c>
      <c r="AA155" s="566">
        <f t="shared" si="224"/>
        <v>9316459.5162425004</v>
      </c>
      <c r="AB155" s="566">
        <f t="shared" si="225"/>
        <v>8033553.8427038267</v>
      </c>
      <c r="AC155" s="567">
        <f t="shared" si="239"/>
        <v>1.1596934182128902</v>
      </c>
      <c r="AD155" s="568" t="str">
        <f t="shared" si="226"/>
        <v>2017</v>
      </c>
      <c r="AE155" s="569">
        <v>42863</v>
      </c>
      <c r="AF155" s="568">
        <v>2017</v>
      </c>
      <c r="AG155" s="569"/>
      <c r="AH155" s="566">
        <f t="shared" si="240"/>
        <v>8234392.688771422</v>
      </c>
      <c r="AI155" s="80">
        <f t="shared" si="227"/>
        <v>3849743.01</v>
      </c>
      <c r="AJ155" s="571" t="s">
        <v>3155</v>
      </c>
      <c r="AK155" s="875">
        <f t="shared" si="253"/>
        <v>8237319.3731999993</v>
      </c>
      <c r="AL155" s="876">
        <f t="shared" ref="AL155:BE155" si="266">VLOOKUP(MID($A155,4,5),ProjectSplits,AL$23,FALSE)</f>
        <v>0</v>
      </c>
      <c r="AM155" s="876">
        <f t="shared" si="266"/>
        <v>0</v>
      </c>
      <c r="AN155" s="876">
        <f t="shared" si="266"/>
        <v>0.4247799636182395</v>
      </c>
      <c r="AO155" s="876">
        <f t="shared" si="266"/>
        <v>0</v>
      </c>
      <c r="AP155" s="876">
        <f t="shared" si="266"/>
        <v>0</v>
      </c>
      <c r="AQ155" s="876">
        <f t="shared" si="266"/>
        <v>0</v>
      </c>
      <c r="AR155" s="876">
        <f t="shared" si="266"/>
        <v>0</v>
      </c>
      <c r="AS155" s="876">
        <f t="shared" si="266"/>
        <v>0</v>
      </c>
      <c r="AT155" s="876">
        <f t="shared" si="266"/>
        <v>0</v>
      </c>
      <c r="AU155" s="876">
        <f t="shared" si="266"/>
        <v>0</v>
      </c>
      <c r="AV155" s="876">
        <f t="shared" si="266"/>
        <v>0</v>
      </c>
      <c r="AW155" s="876">
        <f t="shared" si="266"/>
        <v>0.57522003638176056</v>
      </c>
      <c r="AX155" s="876">
        <f t="shared" si="266"/>
        <v>0</v>
      </c>
      <c r="AY155" s="876">
        <f t="shared" si="266"/>
        <v>0</v>
      </c>
      <c r="AZ155" s="876">
        <f t="shared" si="266"/>
        <v>0</v>
      </c>
      <c r="BA155" s="876">
        <f t="shared" si="266"/>
        <v>0</v>
      </c>
      <c r="BB155" s="876">
        <f t="shared" si="266"/>
        <v>0</v>
      </c>
      <c r="BC155" s="876">
        <f t="shared" si="266"/>
        <v>0</v>
      </c>
      <c r="BD155" s="876">
        <f t="shared" si="266"/>
        <v>0</v>
      </c>
      <c r="BE155" s="876">
        <f t="shared" si="266"/>
        <v>0</v>
      </c>
      <c r="BF155" s="27">
        <f t="shared" ref="BF155" si="267">SUM(AL155:BD155)</f>
        <v>1</v>
      </c>
      <c r="BG155" s="520">
        <f t="shared" si="244"/>
        <v>1.0034498951996242</v>
      </c>
      <c r="BH155" s="520">
        <f t="shared" si="231"/>
        <v>1.0065926315443261</v>
      </c>
      <c r="BI155" s="520">
        <f t="shared" si="232"/>
        <v>1.0099939207178206</v>
      </c>
      <c r="BJ155" s="520">
        <f t="shared" si="233"/>
        <v>1.0139228081132494</v>
      </c>
      <c r="BK155" s="520">
        <f t="shared" si="234"/>
        <v>1.0196467222390713</v>
      </c>
      <c r="BL155" s="520">
        <f t="shared" si="235"/>
        <v>1.0260851094706045</v>
      </c>
      <c r="BM155" s="520">
        <f t="shared" si="236"/>
        <v>1.0303954349252136</v>
      </c>
      <c r="BN155" s="521" t="str">
        <f t="shared" si="237"/>
        <v>Category</v>
      </c>
      <c r="BP155" s="3"/>
    </row>
    <row r="156" spans="1:69" hidden="1" x14ac:dyDescent="0.15">
      <c r="A156" s="12" t="s">
        <v>326</v>
      </c>
      <c r="B156" s="13" t="s">
        <v>2361</v>
      </c>
      <c r="C156" s="13" t="s">
        <v>27</v>
      </c>
      <c r="D156" s="13" t="s">
        <v>40</v>
      </c>
      <c r="E156" s="13" t="s">
        <v>32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15962.64</v>
      </c>
      <c r="M156" s="15">
        <v>500401.04</v>
      </c>
      <c r="N156" s="670">
        <v>4492442.0999999996</v>
      </c>
      <c r="O156" s="14">
        <v>1076465.56</v>
      </c>
      <c r="P156" s="15">
        <v>255005.82</v>
      </c>
      <c r="Q156" s="15">
        <f>IF(ISTEXT('Incurred 2.5% cpi'!Q156),"",'Incurred 2.5% cpi'!Q156/'Incurred 2.5% cpi'!Q$17*Incurred!Q$17)</f>
        <v>9399.75</v>
      </c>
      <c r="R156" s="110" t="str">
        <f>IF(ISTEXT('Incurred 2.5% cpi'!R156),"",'Incurred 2.5% cpi'!R156/'Incurred 2.5% cpi'!R$17*Incurred!R$17*BG156)</f>
        <v/>
      </c>
      <c r="S156" s="102" t="str">
        <f>IF(ISTEXT('Incurred 2.5% cpi'!S156),"",'Incurred 2.5% cpi'!S156/'Incurred 2.5% cpi'!S$17*Incurred!S$17*BH156)</f>
        <v/>
      </c>
      <c r="T156" s="16" t="str">
        <f>IF(ISTEXT('Incurred 2.5% cpi'!T156),"",'Incurred 2.5% cpi'!T156/'Incurred 2.5% cpi'!T$17*Incurred!T$17*BI156)</f>
        <v/>
      </c>
      <c r="U156" s="16" t="str">
        <f>IF(ISTEXT('Incurred 2.5% cpi'!U156),"",'Incurred 2.5% cpi'!U156/'Incurred 2.5% cpi'!U$17*Incurred!U$17*BJ156)</f>
        <v/>
      </c>
      <c r="V156" s="16" t="str">
        <f>IF(ISTEXT('Incurred 2.5% cpi'!V156),"",'Incurred 2.5% cpi'!V156/'Incurred 2.5% cpi'!V$17*Incurred!V$17*BK156)</f>
        <v/>
      </c>
      <c r="W156" s="110" t="str">
        <f>IF(ISTEXT('Incurred 2.5% cpi'!W156),"",'Incurred 2.5% cpi'!W156/'Incurred 2.5% cpi'!W$17*Incurred!W$17*BL156)</f>
        <v/>
      </c>
      <c r="X156" s="102" t="str">
        <f>IF(ISTEXT('Incurred 2.5% cpi'!X156),"",'Incurred 2.5% cpi'!X156/'Incurred 2.5% cpi'!X$17*Incurred!X$17*BM156)</f>
        <v/>
      </c>
      <c r="Y156" s="80">
        <f t="shared" si="248"/>
        <v>6349676.9100000001</v>
      </c>
      <c r="Z156" s="80">
        <f t="shared" si="223"/>
        <v>6349676.9100000001</v>
      </c>
      <c r="AA156" s="566">
        <f t="shared" si="224"/>
        <v>7713171.1417454621</v>
      </c>
      <c r="AB156" s="566">
        <f t="shared" si="225"/>
        <v>6651043.3021441195</v>
      </c>
      <c r="AC156" s="567">
        <f t="shared" si="239"/>
        <v>1.1596934182128902</v>
      </c>
      <c r="AD156" s="568" t="str">
        <f t="shared" si="226"/>
        <v>2017</v>
      </c>
      <c r="AE156" s="569">
        <v>41943</v>
      </c>
      <c r="AF156" s="568" t="s">
        <v>3152</v>
      </c>
      <c r="AG156" s="569"/>
      <c r="AH156" s="566">
        <f t="shared" si="240"/>
        <v>6817319.3846977232</v>
      </c>
      <c r="AI156" s="80">
        <f t="shared" si="227"/>
        <v>9399.75</v>
      </c>
      <c r="AJ156" s="571" t="s">
        <v>0</v>
      </c>
      <c r="AK156" s="875">
        <f t="shared" si="253"/>
        <v>3112358.7982327025</v>
      </c>
      <c r="AL156" s="28">
        <f t="shared" ref="AL156:BE156" si="268">IF($AK156=0,VLOOKUP(MID($A156,4,5),ProjectSplits,AL$23,FALSE),IF(ISNA(VLOOKUP($A156,Estimates,AL$22,FALSE)),VLOOKUP(MID($A156,4,5),ProjectSplits,AL$23,FALSE),VLOOKUP($A156,Estimates,AL$22,FALSE)))</f>
        <v>0</v>
      </c>
      <c r="AM156" s="28">
        <f t="shared" si="268"/>
        <v>0.477964238215628</v>
      </c>
      <c r="AN156" s="28">
        <f t="shared" si="268"/>
        <v>0.44244890326065239</v>
      </c>
      <c r="AO156" s="28">
        <f t="shared" si="268"/>
        <v>0</v>
      </c>
      <c r="AP156" s="28">
        <f t="shared" si="268"/>
        <v>0</v>
      </c>
      <c r="AQ156" s="28">
        <f t="shared" si="268"/>
        <v>0</v>
      </c>
      <c r="AR156" s="28">
        <f t="shared" si="268"/>
        <v>0</v>
      </c>
      <c r="AS156" s="28">
        <f t="shared" si="268"/>
        <v>0</v>
      </c>
      <c r="AT156" s="28">
        <f t="shared" si="268"/>
        <v>0</v>
      </c>
      <c r="AU156" s="28">
        <f t="shared" si="268"/>
        <v>0</v>
      </c>
      <c r="AV156" s="28">
        <f t="shared" si="268"/>
        <v>7.9586858523719647E-2</v>
      </c>
      <c r="AW156" s="28">
        <f t="shared" si="268"/>
        <v>0</v>
      </c>
      <c r="AX156" s="28">
        <f t="shared" si="268"/>
        <v>0</v>
      </c>
      <c r="AY156" s="28">
        <f t="shared" si="268"/>
        <v>0</v>
      </c>
      <c r="AZ156" s="28">
        <f t="shared" si="268"/>
        <v>0</v>
      </c>
      <c r="BA156" s="28">
        <f t="shared" si="268"/>
        <v>0</v>
      </c>
      <c r="BB156" s="28">
        <f t="shared" si="268"/>
        <v>0</v>
      </c>
      <c r="BC156" s="28">
        <f t="shared" si="268"/>
        <v>0</v>
      </c>
      <c r="BD156" s="28">
        <f t="shared" si="268"/>
        <v>0</v>
      </c>
      <c r="BE156" s="28">
        <f t="shared" si="268"/>
        <v>0</v>
      </c>
      <c r="BF156" s="27">
        <f>SUM(AL156:BD156)</f>
        <v>1</v>
      </c>
      <c r="BG156" s="520">
        <f t="shared" si="244"/>
        <v>1.0034498951996242</v>
      </c>
      <c r="BH156" s="520">
        <f t="shared" si="231"/>
        <v>1.0065926315443261</v>
      </c>
      <c r="BI156" s="520">
        <f t="shared" si="232"/>
        <v>1.0099939207178206</v>
      </c>
      <c r="BJ156" s="520">
        <f t="shared" si="233"/>
        <v>1.0139228081132494</v>
      </c>
      <c r="BK156" s="520">
        <f t="shared" si="234"/>
        <v>1.0196467222390713</v>
      </c>
      <c r="BL156" s="520">
        <f t="shared" si="235"/>
        <v>1.0260851094706045</v>
      </c>
      <c r="BM156" s="520">
        <f t="shared" si="236"/>
        <v>1.0303954349252136</v>
      </c>
      <c r="BN156" s="521" t="str">
        <f t="shared" si="237"/>
        <v>Category</v>
      </c>
      <c r="BP156" s="3"/>
    </row>
    <row r="157" spans="1:69" hidden="1" x14ac:dyDescent="0.15">
      <c r="A157" s="78" t="s">
        <v>327</v>
      </c>
      <c r="B157" s="13" t="s">
        <v>328</v>
      </c>
      <c r="C157" s="13" t="s">
        <v>27</v>
      </c>
      <c r="D157" s="13" t="s">
        <v>28</v>
      </c>
      <c r="E157" s="13" t="s">
        <v>29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5">
        <v>0</v>
      </c>
      <c r="N157" s="670">
        <v>235792.68</v>
      </c>
      <c r="O157" s="14">
        <v>351063.65</v>
      </c>
      <c r="P157" s="15">
        <v>1940704.88</v>
      </c>
      <c r="Q157" s="15">
        <f>IF(ISTEXT('Incurred 2.5% cpi'!Q157),"",'Incurred 2.5% cpi'!Q157/'Incurred 2.5% cpi'!Q$17*Incurred!Q$17)</f>
        <v>736892.78</v>
      </c>
      <c r="R157" s="110">
        <f>IF(ISTEXT('Incurred 2.5% cpi'!R157),"",'Incurred 2.5% cpi'!R157/'Incurred 2.5% cpi'!R$17*Incurred!R$17*BG157)</f>
        <v>61393.383856208071</v>
      </c>
      <c r="S157" s="102" t="str">
        <f>IF(ISTEXT('Incurred 2.5% cpi'!S157),"",'Incurred 2.5% cpi'!S157/'Incurred 2.5% cpi'!S$17*Incurred!S$17*BH157)</f>
        <v/>
      </c>
      <c r="T157" s="16" t="str">
        <f>IF(ISTEXT('Incurred 2.5% cpi'!T157),"",'Incurred 2.5% cpi'!T157/'Incurred 2.5% cpi'!T$17*Incurred!T$17*BI157)</f>
        <v/>
      </c>
      <c r="U157" s="16" t="str">
        <f>IF(ISTEXT('Incurred 2.5% cpi'!U157),"",'Incurred 2.5% cpi'!U157/'Incurred 2.5% cpi'!U$17*Incurred!U$17*BJ157)</f>
        <v/>
      </c>
      <c r="V157" s="16" t="str">
        <f>IF(ISTEXT('Incurred 2.5% cpi'!V157),"",'Incurred 2.5% cpi'!V157/'Incurred 2.5% cpi'!V$17*Incurred!V$17*BK157)</f>
        <v/>
      </c>
      <c r="W157" s="110" t="str">
        <f>IF(ISTEXT('Incurred 2.5% cpi'!W157),"",'Incurred 2.5% cpi'!W157/'Incurred 2.5% cpi'!W$17*Incurred!W$17*BL157)</f>
        <v/>
      </c>
      <c r="X157" s="102" t="str">
        <f>IF(ISTEXT('Incurred 2.5% cpi'!X157),"",'Incurred 2.5% cpi'!X157/'Incurred 2.5% cpi'!X$17*Incurred!X$17*BM157)</f>
        <v/>
      </c>
      <c r="Y157" s="80">
        <f t="shared" si="248"/>
        <v>3325847.3738562083</v>
      </c>
      <c r="Z157" s="80">
        <f t="shared" si="223"/>
        <v>3325847.3738562083</v>
      </c>
      <c r="AA157" s="566">
        <f t="shared" si="224"/>
        <v>3930403.9938366977</v>
      </c>
      <c r="AB157" s="566">
        <f t="shared" si="225"/>
        <v>3473904.4219901357</v>
      </c>
      <c r="AC157" s="567">
        <f t="shared" si="239"/>
        <v>1.1314082128906247</v>
      </c>
      <c r="AD157" s="568" t="str">
        <f t="shared" si="226"/>
        <v>2018</v>
      </c>
      <c r="AE157" s="569">
        <v>42551</v>
      </c>
      <c r="AF157" s="568" t="s">
        <v>3152</v>
      </c>
      <c r="AG157" s="569"/>
      <c r="AH157" s="566">
        <f t="shared" si="240"/>
        <v>3473904.4219901352</v>
      </c>
      <c r="AI157" s="80">
        <f t="shared" si="227"/>
        <v>61393.383856208071</v>
      </c>
      <c r="AJ157" s="571" t="s">
        <v>0</v>
      </c>
      <c r="AK157" s="875">
        <f t="shared" si="253"/>
        <v>2245065.0217359997</v>
      </c>
      <c r="AL157" s="28">
        <f t="shared" ref="AL157:BE157" si="269">IF($AK157=0,VLOOKUP(MID($A157,4,5),ProjectSplits,AL$23,FALSE),IF(ISNA(VLOOKUP($A157,Estimates,AL$22,FALSE)),VLOOKUP(MID($A157,4,5),ProjectSplits,AL$23,FALSE),VLOOKUP($A157,Estimates,AL$22,FALSE)))</f>
        <v>0</v>
      </c>
      <c r="AM157" s="28">
        <f t="shared" si="269"/>
        <v>0</v>
      </c>
      <c r="AN157" s="28">
        <f t="shared" si="269"/>
        <v>0.18262277307405861</v>
      </c>
      <c r="AO157" s="28">
        <f t="shared" si="269"/>
        <v>0</v>
      </c>
      <c r="AP157" s="28">
        <f t="shared" si="269"/>
        <v>0</v>
      </c>
      <c r="AQ157" s="28">
        <f t="shared" si="269"/>
        <v>4.4542139774052004E-3</v>
      </c>
      <c r="AR157" s="28">
        <f t="shared" si="269"/>
        <v>0</v>
      </c>
      <c r="AS157" s="28">
        <f t="shared" si="269"/>
        <v>0</v>
      </c>
      <c r="AT157" s="28">
        <f t="shared" si="269"/>
        <v>0</v>
      </c>
      <c r="AU157" s="28">
        <f t="shared" si="269"/>
        <v>0</v>
      </c>
      <c r="AV157" s="28">
        <f t="shared" si="269"/>
        <v>0</v>
      </c>
      <c r="AW157" s="28">
        <f t="shared" si="269"/>
        <v>0.16596402247935182</v>
      </c>
      <c r="AX157" s="28">
        <f t="shared" si="269"/>
        <v>0</v>
      </c>
      <c r="AY157" s="28">
        <f t="shared" si="269"/>
        <v>0</v>
      </c>
      <c r="AZ157" s="28">
        <f t="shared" si="269"/>
        <v>0.64695899046918437</v>
      </c>
      <c r="BA157" s="28">
        <f t="shared" si="269"/>
        <v>0</v>
      </c>
      <c r="BB157" s="28">
        <f t="shared" si="269"/>
        <v>0</v>
      </c>
      <c r="BC157" s="28">
        <f t="shared" si="269"/>
        <v>0</v>
      </c>
      <c r="BD157" s="28">
        <f t="shared" si="269"/>
        <v>0</v>
      </c>
      <c r="BE157" s="28">
        <f t="shared" si="269"/>
        <v>0</v>
      </c>
      <c r="BF157" s="27">
        <f>SUM(AL157:BD157)</f>
        <v>1</v>
      </c>
      <c r="BG157" s="520">
        <f t="shared" si="244"/>
        <v>1.0030444840366091</v>
      </c>
      <c r="BH157" s="520">
        <f t="shared" si="231"/>
        <v>1.0058179046998681</v>
      </c>
      <c r="BI157" s="520">
        <f t="shared" si="232"/>
        <v>1.0088194946014175</v>
      </c>
      <c r="BJ157" s="520">
        <f t="shared" si="233"/>
        <v>1.0122866825201464</v>
      </c>
      <c r="BK157" s="520">
        <f t="shared" si="234"/>
        <v>1.0173379563051834</v>
      </c>
      <c r="BL157" s="520">
        <f t="shared" si="235"/>
        <v>1.023019742566414</v>
      </c>
      <c r="BM157" s="520">
        <f t="shared" si="236"/>
        <v>1.026823544212498</v>
      </c>
      <c r="BN157" s="521" t="str">
        <f t="shared" si="237"/>
        <v>Category</v>
      </c>
      <c r="BP157" s="3">
        <f>SUMPRODUCT(F157:P157,$F$19:$P$19)/$Q$19</f>
        <v>2592386.2815940753</v>
      </c>
      <c r="BQ157" s="3"/>
    </row>
    <row r="158" spans="1:69" hidden="1" x14ac:dyDescent="0.15">
      <c r="A158" s="78" t="s">
        <v>329</v>
      </c>
      <c r="B158" s="13" t="s">
        <v>330</v>
      </c>
      <c r="C158" s="13" t="s">
        <v>27</v>
      </c>
      <c r="D158" s="13" t="s">
        <v>31</v>
      </c>
      <c r="E158" s="13" t="s">
        <v>29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68042.98</v>
      </c>
      <c r="M158" s="15">
        <v>482239.01</v>
      </c>
      <c r="N158" s="670">
        <v>984921.21</v>
      </c>
      <c r="O158" s="14">
        <v>618196.63</v>
      </c>
      <c r="P158" s="15">
        <v>2583838.58</v>
      </c>
      <c r="Q158" s="15">
        <f>IF(ISTEXT('Incurred 2.5% cpi'!Q158),"",'Incurred 2.5% cpi'!Q158/'Incurred 2.5% cpi'!Q$17*Incurred!Q$17)</f>
        <v>3107491.93</v>
      </c>
      <c r="R158" s="110">
        <f>IF(ISTEXT('Incurred 2.5% cpi'!R158),"",'Incurred 2.5% cpi'!R158/'Incurred 2.5% cpi'!R$17*Incurred!R$17*BG158)</f>
        <v>-31219.954020643367</v>
      </c>
      <c r="S158" s="102" t="str">
        <f>IF(ISTEXT('Incurred 2.5% cpi'!S158),"",'Incurred 2.5% cpi'!S158/'Incurred 2.5% cpi'!S$17*Incurred!S$17*BH158)</f>
        <v/>
      </c>
      <c r="T158" s="16" t="str">
        <f>IF(ISTEXT('Incurred 2.5% cpi'!T158),"",'Incurred 2.5% cpi'!T158/'Incurred 2.5% cpi'!T$17*Incurred!T$17*BI158)</f>
        <v/>
      </c>
      <c r="U158" s="16" t="str">
        <f>IF(ISTEXT('Incurred 2.5% cpi'!U158),"",'Incurred 2.5% cpi'!U158/'Incurred 2.5% cpi'!U$17*Incurred!U$17*BJ158)</f>
        <v/>
      </c>
      <c r="V158" s="16" t="str">
        <f>IF(ISTEXT('Incurred 2.5% cpi'!V158),"",'Incurred 2.5% cpi'!V158/'Incurred 2.5% cpi'!V$17*Incurred!V$17*BK158)</f>
        <v/>
      </c>
      <c r="W158" s="110" t="str">
        <f>IF(ISTEXT('Incurred 2.5% cpi'!W158),"",'Incurred 2.5% cpi'!W158/'Incurred 2.5% cpi'!W$17*Incurred!W$17*BL158)</f>
        <v/>
      </c>
      <c r="X158" s="102" t="str">
        <f>IF(ISTEXT('Incurred 2.5% cpi'!X158),"",'Incurred 2.5% cpi'!X158/'Incurred 2.5% cpi'!X$17*Incurred!X$17*BM158)</f>
        <v/>
      </c>
      <c r="Y158" s="80">
        <f t="shared" si="248"/>
        <v>7813510.3859793562</v>
      </c>
      <c r="Z158" s="80">
        <f t="shared" si="223"/>
        <v>7875950.2940206435</v>
      </c>
      <c r="AA158" s="566">
        <f t="shared" si="224"/>
        <v>9258570.5464173816</v>
      </c>
      <c r="AB158" s="566">
        <f t="shared" si="225"/>
        <v>8183227.2745861933</v>
      </c>
      <c r="AC158" s="567">
        <f t="shared" si="239"/>
        <v>1.1314082128906247</v>
      </c>
      <c r="AD158" s="568" t="str">
        <f t="shared" si="226"/>
        <v>2018</v>
      </c>
      <c r="AE158" s="569">
        <v>42675</v>
      </c>
      <c r="AF158" s="568" t="s">
        <v>3152</v>
      </c>
      <c r="AG158" s="569"/>
      <c r="AH158" s="566">
        <f t="shared" si="240"/>
        <v>8183227.2745861923</v>
      </c>
      <c r="AI158" s="80">
        <f t="shared" si="227"/>
        <v>-31219.954020643367</v>
      </c>
      <c r="AJ158" s="571" t="s">
        <v>0</v>
      </c>
      <c r="AK158" s="875">
        <f t="shared" si="238"/>
        <v>0</v>
      </c>
      <c r="AL158" s="28">
        <f t="shared" ref="AL158:BE158" si="270">IF($AK158=0,VLOOKUP(MID($A158,4,5),ProjectSplits,AL$23,FALSE),IF(ISNA(VLOOKUP($A158,Estimates,AL$22,FALSE)),VLOOKUP(MID($A158,4,5),ProjectSplits,AL$23,FALSE),VLOOKUP($A158,Estimates,AL$22,FALSE)))</f>
        <v>0</v>
      </c>
      <c r="AM158" s="28">
        <f t="shared" si="270"/>
        <v>0</v>
      </c>
      <c r="AN158" s="28">
        <f t="shared" si="270"/>
        <v>1.0900000170686416E-2</v>
      </c>
      <c r="AO158" s="28">
        <f t="shared" si="270"/>
        <v>0</v>
      </c>
      <c r="AP158" s="28">
        <f t="shared" si="270"/>
        <v>0</v>
      </c>
      <c r="AQ158" s="28">
        <f t="shared" si="270"/>
        <v>0</v>
      </c>
      <c r="AR158" s="28">
        <f t="shared" si="270"/>
        <v>0</v>
      </c>
      <c r="AS158" s="28">
        <f t="shared" si="270"/>
        <v>0</v>
      </c>
      <c r="AT158" s="28">
        <f t="shared" si="270"/>
        <v>0</v>
      </c>
      <c r="AU158" s="28">
        <f t="shared" si="270"/>
        <v>0.37900000064883788</v>
      </c>
      <c r="AV158" s="28">
        <f t="shared" si="270"/>
        <v>0</v>
      </c>
      <c r="AW158" s="28">
        <f t="shared" si="270"/>
        <v>0.3153999994307054</v>
      </c>
      <c r="AX158" s="28">
        <f t="shared" si="270"/>
        <v>5.5400001393790359E-2</v>
      </c>
      <c r="AY158" s="28">
        <f t="shared" si="270"/>
        <v>0</v>
      </c>
      <c r="AZ158" s="28">
        <f t="shared" si="270"/>
        <v>0.23929999835598009</v>
      </c>
      <c r="BA158" s="28">
        <f t="shared" si="270"/>
        <v>0</v>
      </c>
      <c r="BB158" s="28">
        <f t="shared" si="270"/>
        <v>0</v>
      </c>
      <c r="BC158" s="28">
        <f t="shared" si="270"/>
        <v>0</v>
      </c>
      <c r="BD158" s="28">
        <f t="shared" si="270"/>
        <v>0</v>
      </c>
      <c r="BE158" s="28">
        <f t="shared" si="270"/>
        <v>0</v>
      </c>
      <c r="BF158" s="27">
        <f>SUM(AL158:BD158)</f>
        <v>1</v>
      </c>
      <c r="BG158" s="520">
        <f t="shared" si="244"/>
        <v>1.0031222795856722</v>
      </c>
      <c r="BH158" s="520">
        <f t="shared" si="231"/>
        <v>1.005966569329106</v>
      </c>
      <c r="BI158" s="520">
        <f t="shared" si="232"/>
        <v>1.0090448587080203</v>
      </c>
      <c r="BJ158" s="520">
        <f t="shared" si="233"/>
        <v>1.012600643507074</v>
      </c>
      <c r="BK158" s="520">
        <f t="shared" si="234"/>
        <v>1.0177809922397374</v>
      </c>
      <c r="BL158" s="520">
        <f t="shared" si="235"/>
        <v>1.023607964902518</v>
      </c>
      <c r="BM158" s="520">
        <f t="shared" si="236"/>
        <v>1.0275089649027487</v>
      </c>
      <c r="BN158" s="521" t="str">
        <f t="shared" si="237"/>
        <v>Category</v>
      </c>
      <c r="BP158" s="3">
        <f>SUMPRODUCT(F158:P158,$F$19:$P$19)/$Q$19</f>
        <v>4906602.9271774013</v>
      </c>
      <c r="BQ158" s="3"/>
    </row>
    <row r="159" spans="1:69" hidden="1" x14ac:dyDescent="0.15">
      <c r="A159" s="78" t="s">
        <v>332</v>
      </c>
      <c r="B159" s="13" t="s">
        <v>333</v>
      </c>
      <c r="C159" s="13" t="s">
        <v>27</v>
      </c>
      <c r="D159" s="13" t="s">
        <v>54</v>
      </c>
      <c r="E159" s="13" t="s">
        <v>112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5">
        <v>0</v>
      </c>
      <c r="N159" s="670"/>
      <c r="O159" s="14"/>
      <c r="P159" s="15"/>
      <c r="Q159" s="15" t="str">
        <f>IF(ISTEXT('Incurred 2.5% cpi'!Q159),"",'Incurred 2.5% cpi'!Q159/'Incurred 2.5% cpi'!Q$17*Incurred!Q$17)</f>
        <v/>
      </c>
      <c r="R159" s="110">
        <f>IF(ISTEXT('Incurred 2.5% cpi'!R159),"",'Incurred 2.5% cpi'!R159/'Incurred 2.5% cpi'!R$17*Incurred!R$17*BG159)</f>
        <v>900893.94937145035</v>
      </c>
      <c r="S159" s="102">
        <f>IF(ISTEXT('Incurred 2.5% cpi'!S159),"",'Incurred 2.5% cpi'!S159/'Incurred 2.5% cpi'!S$17*Incurred!S$17*BH159)</f>
        <v>266430.63869764743</v>
      </c>
      <c r="T159" s="16" t="str">
        <f>IF(ISTEXT('Incurred 2.5% cpi'!T159),"",'Incurred 2.5% cpi'!T159/'Incurred 2.5% cpi'!T$17*Incurred!T$17*BI159)</f>
        <v/>
      </c>
      <c r="U159" s="16" t="str">
        <f>IF(ISTEXT('Incurred 2.5% cpi'!U159),"",'Incurred 2.5% cpi'!U159/'Incurred 2.5% cpi'!U$17*Incurred!U$17*BJ159)</f>
        <v/>
      </c>
      <c r="V159" s="16" t="str">
        <f>IF(ISTEXT('Incurred 2.5% cpi'!V159),"",'Incurred 2.5% cpi'!V159/'Incurred 2.5% cpi'!V$17*Incurred!V$17*BK159)</f>
        <v/>
      </c>
      <c r="W159" s="110" t="str">
        <f>IF(ISTEXT('Incurred 2.5% cpi'!W159),"",'Incurred 2.5% cpi'!W159/'Incurred 2.5% cpi'!W$17*Incurred!W$17*BL159)</f>
        <v/>
      </c>
      <c r="X159" s="102" t="str">
        <f>IF(ISTEXT('Incurred 2.5% cpi'!X159),"",'Incurred 2.5% cpi'!X159/'Incurred 2.5% cpi'!X$17*Incurred!X$17*BM159)</f>
        <v/>
      </c>
      <c r="Y159" s="80">
        <f t="shared" si="248"/>
        <v>1167324.5880690978</v>
      </c>
      <c r="Z159" s="80">
        <f t="shared" si="223"/>
        <v>1167324.5880690978</v>
      </c>
      <c r="AA159" s="566">
        <f t="shared" si="224"/>
        <v>1313368.3867142447</v>
      </c>
      <c r="AB159" s="566">
        <f t="shared" si="225"/>
        <v>1189846.936803384</v>
      </c>
      <c r="AC159" s="567">
        <f t="shared" si="239"/>
        <v>1.1038128906249998</v>
      </c>
      <c r="AD159" s="568" t="str">
        <f t="shared" si="226"/>
        <v>2019</v>
      </c>
      <c r="AE159" s="569">
        <v>43297</v>
      </c>
      <c r="AF159" s="568">
        <v>2019</v>
      </c>
      <c r="AG159" s="569"/>
      <c r="AH159" s="566">
        <f t="shared" ref="AH159:AH164" si="271">IF(ROUND(Y159,0)=0,0,SUMPRODUCT($F$19:$W$19,F159:W159))</f>
        <v>1160826.2798081795</v>
      </c>
      <c r="AI159" s="80">
        <f t="shared" si="227"/>
        <v>266430.63869764743</v>
      </c>
      <c r="AJ159" s="571" t="s">
        <v>3035</v>
      </c>
      <c r="AK159" s="875">
        <f t="shared" si="238"/>
        <v>0</v>
      </c>
      <c r="AL159" s="28">
        <f t="shared" ref="AL159:AU159" si="272">IF($AK159=0,VLOOKUP(MID($A159,4,5),ProjectSplits,AL$23,FALSE),IF(ISNA(VLOOKUP($A159,Estimates,AL$22,FALSE)),VLOOKUP(MID($A159,4,5),ProjectSplits,AL$23,FALSE),VLOOKUP($A159,Estimates,AL$22,FALSE)))</f>
        <v>0</v>
      </c>
      <c r="AM159" s="28">
        <f t="shared" si="272"/>
        <v>0</v>
      </c>
      <c r="AN159" s="28">
        <f t="shared" si="272"/>
        <v>0</v>
      </c>
      <c r="AO159" s="28">
        <f t="shared" si="272"/>
        <v>0</v>
      </c>
      <c r="AP159" s="28">
        <f t="shared" si="272"/>
        <v>0</v>
      </c>
      <c r="AQ159" s="28">
        <f t="shared" si="272"/>
        <v>0</v>
      </c>
      <c r="AR159" s="28">
        <f t="shared" si="272"/>
        <v>0</v>
      </c>
      <c r="AS159" s="28">
        <f t="shared" si="272"/>
        <v>0</v>
      </c>
      <c r="AT159" s="28">
        <f t="shared" si="272"/>
        <v>0</v>
      </c>
      <c r="AU159" s="28">
        <f t="shared" si="272"/>
        <v>0</v>
      </c>
      <c r="AV159" s="28">
        <f t="shared" ref="AV159:BE159" si="273">IF($AK159=0,VLOOKUP(MID($A159,4,5),ProjectSplits,AV$23,FALSE),IF(ISNA(VLOOKUP($A159,Estimates,AV$22,FALSE)),VLOOKUP(MID($A159,4,5),ProjectSplits,AV$23,FALSE),VLOOKUP($A159,Estimates,AV$22,FALSE)))</f>
        <v>0</v>
      </c>
      <c r="AW159" s="28">
        <f t="shared" si="273"/>
        <v>4.4818930827109207E-2</v>
      </c>
      <c r="AX159" s="28">
        <f t="shared" si="273"/>
        <v>0</v>
      </c>
      <c r="AY159" s="28">
        <f t="shared" si="273"/>
        <v>0</v>
      </c>
      <c r="AZ159" s="28">
        <f t="shared" si="273"/>
        <v>0.95518106917289081</v>
      </c>
      <c r="BA159" s="28">
        <f t="shared" si="273"/>
        <v>0</v>
      </c>
      <c r="BB159" s="28">
        <f t="shared" si="273"/>
        <v>0</v>
      </c>
      <c r="BC159" s="28">
        <f t="shared" si="273"/>
        <v>0</v>
      </c>
      <c r="BD159" s="28">
        <f t="shared" si="273"/>
        <v>0</v>
      </c>
      <c r="BE159" s="28">
        <f t="shared" si="273"/>
        <v>0</v>
      </c>
      <c r="BF159" s="27">
        <f t="shared" ref="BF159" si="274">SUM(AL159:BD159)</f>
        <v>1</v>
      </c>
      <c r="BG159" s="520">
        <f t="shared" si="244"/>
        <v>1.0030818160192299</v>
      </c>
      <c r="BH159" s="520">
        <f t="shared" si="231"/>
        <v>1.0058892448397847</v>
      </c>
      <c r="BI159" s="520">
        <f t="shared" si="232"/>
        <v>1.0089276407487533</v>
      </c>
      <c r="BJ159" s="520">
        <f t="shared" si="233"/>
        <v>1.0124373439172154</v>
      </c>
      <c r="BK159" s="520">
        <f t="shared" si="234"/>
        <v>1.0175505572831101</v>
      </c>
      <c r="BL159" s="520">
        <f t="shared" si="235"/>
        <v>1.023302014576742</v>
      </c>
      <c r="BM159" s="520">
        <f t="shared" si="236"/>
        <v>1.0271524590875074</v>
      </c>
      <c r="BN159" s="521" t="str">
        <f t="shared" si="237"/>
        <v>Category</v>
      </c>
      <c r="BP159" s="3"/>
    </row>
    <row r="160" spans="1:69" hidden="1" x14ac:dyDescent="0.15">
      <c r="A160" s="78" t="s">
        <v>334</v>
      </c>
      <c r="B160" s="13" t="s">
        <v>335</v>
      </c>
      <c r="C160" s="13" t="s">
        <v>27</v>
      </c>
      <c r="D160" s="13" t="s">
        <v>40</v>
      </c>
      <c r="E160" s="13" t="s">
        <v>29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5">
        <v>0</v>
      </c>
      <c r="N160" s="670">
        <v>553053.62</v>
      </c>
      <c r="O160" s="14">
        <v>2539573.15</v>
      </c>
      <c r="P160" s="15">
        <v>301859.86</v>
      </c>
      <c r="Q160" s="15">
        <f>IF(ISTEXT('Incurred 2.5% cpi'!Q160),"",'Incurred 2.5% cpi'!Q160/'Incurred 2.5% cpi'!Q$17*Incurred!Q$17)</f>
        <v>30966.25</v>
      </c>
      <c r="R160" s="110">
        <f>IF(ISTEXT('Incurred 2.5% cpi'!R160),"",'Incurred 2.5% cpi'!R160/'Incurred 2.5% cpi'!R$17*Incurred!R$17*BG160)</f>
        <v>31367.301860996846</v>
      </c>
      <c r="S160" s="102" t="str">
        <f>IF(ISTEXT('Incurred 2.5% cpi'!S160),"",'Incurred 2.5% cpi'!S160/'Incurred 2.5% cpi'!S$17*Incurred!S$17*BH160)</f>
        <v/>
      </c>
      <c r="T160" s="16" t="str">
        <f>IF(ISTEXT('Incurred 2.5% cpi'!T160),"",'Incurred 2.5% cpi'!T160/'Incurred 2.5% cpi'!T$17*Incurred!T$17*BI160)</f>
        <v/>
      </c>
      <c r="U160" s="16" t="str">
        <f>IF(ISTEXT('Incurred 2.5% cpi'!U160),"",'Incurred 2.5% cpi'!U160/'Incurred 2.5% cpi'!U$17*Incurred!U$17*BJ160)</f>
        <v/>
      </c>
      <c r="V160" s="16" t="str">
        <f>IF(ISTEXT('Incurred 2.5% cpi'!V160),"",'Incurred 2.5% cpi'!V160/'Incurred 2.5% cpi'!V$17*Incurred!V$17*BK160)</f>
        <v/>
      </c>
      <c r="W160" s="110" t="str">
        <f>IF(ISTEXT('Incurred 2.5% cpi'!W160),"",'Incurred 2.5% cpi'!W160/'Incurred 2.5% cpi'!W$17*Incurred!W$17*BL160)</f>
        <v/>
      </c>
      <c r="X160" s="102" t="str">
        <f>IF(ISTEXT('Incurred 2.5% cpi'!X160),"",'Incurred 2.5% cpi'!X160/'Incurred 2.5% cpi'!X$17*Incurred!X$17*BM160)</f>
        <v/>
      </c>
      <c r="Y160" s="80">
        <f t="shared" si="248"/>
        <v>3456820.1818609969</v>
      </c>
      <c r="Z160" s="80">
        <f t="shared" ref="Z160:Z187" si="275">-SUMIFS(F160:W160,F160:W160,"&lt;0")+SUMIFS(F160:W160,F160:W160,"&gt;0")</f>
        <v>3456820.1818609969</v>
      </c>
      <c r="AA160" s="566">
        <f t="shared" ref="AA160:AA187" si="276">IF(ROUND(Y160,0)=0,0,SUMPRODUCT($F$20:$W$20,F160:W160))</f>
        <v>4148471.3758898382</v>
      </c>
      <c r="AB160" s="566">
        <f t="shared" ref="AB160:AB187" si="277">IF(AC160="","",AA160/AC160)</f>
        <v>3666644.2126055863</v>
      </c>
      <c r="AC160" s="567">
        <f t="shared" si="239"/>
        <v>1.1314082128906247</v>
      </c>
      <c r="AD160" s="568" t="str">
        <f t="shared" ref="AD160:AD187" si="278">IF(AI160=0,"",INDEX($F$24:$W$24,1,MATCH(AI160,F160:W160,0)))</f>
        <v>2018</v>
      </c>
      <c r="AE160" s="569">
        <v>42186</v>
      </c>
      <c r="AF160" s="568" t="s">
        <v>3152</v>
      </c>
      <c r="AG160" s="569"/>
      <c r="AH160" s="566">
        <f t="shared" si="271"/>
        <v>3666644.2126055872</v>
      </c>
      <c r="AI160" s="80">
        <f t="shared" ref="AI160:AI187" si="279">IF(ROUND(Z160,0)=0,0,LOOKUP(2,1/(F160:W160&lt;&gt;""),F160:W160))</f>
        <v>31367.301860996846</v>
      </c>
      <c r="AJ160" s="571" t="s">
        <v>0</v>
      </c>
      <c r="AK160" s="875">
        <f t="shared" ref="AK160:AK178" si="280">IF(ISNA(VLOOKUP($A160,Estimates,71,FALSE)),0,VLOOKUP($A160,Estimates,71,FALSE))</f>
        <v>0</v>
      </c>
      <c r="AL160" s="28">
        <f t="shared" ref="AL160:BE160" si="281">IF($AK160=0,VLOOKUP(MID($A160,4,5),ProjectSplits,AL$23,FALSE),IF(ISNA(VLOOKUP($A160,Estimates,AL$22,FALSE)),VLOOKUP(MID($A160,4,5),ProjectSplits,AL$23,FALSE),VLOOKUP($A160,Estimates,AL$22,FALSE)))</f>
        <v>0</v>
      </c>
      <c r="AM160" s="28">
        <f t="shared" si="281"/>
        <v>0</v>
      </c>
      <c r="AN160" s="28">
        <f t="shared" si="281"/>
        <v>0</v>
      </c>
      <c r="AO160" s="28">
        <f t="shared" si="281"/>
        <v>0</v>
      </c>
      <c r="AP160" s="28">
        <f t="shared" si="281"/>
        <v>0</v>
      </c>
      <c r="AQ160" s="28">
        <f t="shared" si="281"/>
        <v>0</v>
      </c>
      <c r="AR160" s="28">
        <f t="shared" si="281"/>
        <v>0</v>
      </c>
      <c r="AS160" s="28">
        <f t="shared" si="281"/>
        <v>0</v>
      </c>
      <c r="AT160" s="28">
        <f t="shared" si="281"/>
        <v>0</v>
      </c>
      <c r="AU160" s="28">
        <f t="shared" si="281"/>
        <v>0</v>
      </c>
      <c r="AV160" s="28">
        <f t="shared" si="281"/>
        <v>0</v>
      </c>
      <c r="AW160" s="28">
        <f t="shared" si="281"/>
        <v>0</v>
      </c>
      <c r="AX160" s="28">
        <f t="shared" si="281"/>
        <v>0</v>
      </c>
      <c r="AY160" s="28">
        <f t="shared" si="281"/>
        <v>0</v>
      </c>
      <c r="AZ160" s="28">
        <f t="shared" si="281"/>
        <v>1</v>
      </c>
      <c r="BA160" s="28">
        <f t="shared" si="281"/>
        <v>0</v>
      </c>
      <c r="BB160" s="28">
        <f t="shared" si="281"/>
        <v>0</v>
      </c>
      <c r="BC160" s="28">
        <f t="shared" si="281"/>
        <v>0</v>
      </c>
      <c r="BD160" s="28">
        <f t="shared" si="281"/>
        <v>0</v>
      </c>
      <c r="BE160" s="28">
        <f t="shared" si="281"/>
        <v>0</v>
      </c>
      <c r="BF160" s="27">
        <f>SUM(AL160:BD160)</f>
        <v>1</v>
      </c>
      <c r="BG160" s="520">
        <f t="shared" si="244"/>
        <v>1.0034498951996242</v>
      </c>
      <c r="BH160" s="520">
        <f t="shared" ref="BH160:BH187" si="282">1+IF(ISNA(VLOOKUP($A160,ProjLabEsc,7,FALSE)),VLOOKUP($D160,CatLabEsc,4,FALSE),VLOOKUP($A160,ProjLabEsc,7,FALSE))*LabEsc19*LabIn</f>
        <v>1.0065926315443261</v>
      </c>
      <c r="BI160" s="520">
        <f t="shared" ref="BI160:BI187" si="283">1+IF(ISNA(VLOOKUP($A160,ProjLabEsc,7,FALSE)),VLOOKUP($D160,CatLabEsc,4,FALSE),VLOOKUP($A160,ProjLabEsc,7,FALSE))*LabEsc20*LabIn</f>
        <v>1.0099939207178206</v>
      </c>
      <c r="BJ160" s="520">
        <f t="shared" ref="BJ160:BJ187" si="284">1+IF(ISNA(VLOOKUP($A160,ProjLabEsc,7,FALSE)),VLOOKUP($D160,CatLabEsc,4,FALSE),VLOOKUP($A160,ProjLabEsc,7,FALSE))*LabEsc21*LabIn</f>
        <v>1.0139228081132494</v>
      </c>
      <c r="BK160" s="520">
        <f t="shared" ref="BK160:BK187" si="285">1+IF(ISNA(VLOOKUP($A160,ProjLabEsc,7,FALSE)),VLOOKUP($D160,CatLabEsc,4,FALSE),VLOOKUP($A160,ProjLabEsc,7,FALSE))*LabEsc22*LabIn</f>
        <v>1.0196467222390713</v>
      </c>
      <c r="BL160" s="520">
        <f t="shared" ref="BL160:BL187" si="286">1+IF(ISNA(VLOOKUP($A160,ProjLabEsc,7,FALSE)),VLOOKUP($D160,CatLabEsc,4,FALSE),VLOOKUP($A160,ProjLabEsc,7,FALSE))*LabEsc23*LabIn</f>
        <v>1.0260851094706045</v>
      </c>
      <c r="BM160" s="520">
        <f t="shared" ref="BM160:BM187" si="287">1+IF(ISNA(VLOOKUP($A160,ProjLabEsc,7,FALSE)),VLOOKUP($D160,CatLabEsc,4,FALSE),VLOOKUP($A160,ProjLabEsc,7,FALSE))*LabEsc24*LabIn</f>
        <v>1.0303954349252136</v>
      </c>
      <c r="BN160" s="521" t="str">
        <f t="shared" ref="BN160:BN187" si="288">IF(ISNA(VLOOKUP($A160,ProjLabEsc,7,FALSE)),"Category","Project")</f>
        <v>Category</v>
      </c>
      <c r="BP160" s="3"/>
    </row>
    <row r="161" spans="1:69" hidden="1" x14ac:dyDescent="0.15">
      <c r="A161" s="78" t="s">
        <v>336</v>
      </c>
      <c r="B161" s="13" t="s">
        <v>337</v>
      </c>
      <c r="C161" s="13" t="s">
        <v>27</v>
      </c>
      <c r="D161" s="13" t="s">
        <v>40</v>
      </c>
      <c r="E161" s="13" t="s">
        <v>112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5">
        <v>0</v>
      </c>
      <c r="N161" s="670"/>
      <c r="O161" s="14"/>
      <c r="P161" s="15"/>
      <c r="Q161" s="15" t="str">
        <f>IF(ISTEXT('Incurred 2.5% cpi'!Q161),"",'Incurred 2.5% cpi'!Q161/'Incurred 2.5% cpi'!Q$17*Incurred!Q$17)</f>
        <v/>
      </c>
      <c r="R161" s="110" t="str">
        <f>IF(ISTEXT('Incurred 2.5% cpi'!R161),"",'Incurred 2.5% cpi'!R161/'Incurred 2.5% cpi'!R$17*Incurred!R$17*BG161)</f>
        <v/>
      </c>
      <c r="S161" s="102" t="str">
        <f>IF(ISTEXT('Incurred 2.5% cpi'!S161),"",'Incurred 2.5% cpi'!S161/'Incurred 2.5% cpi'!S$17*Incurred!S$17*BH161)</f>
        <v/>
      </c>
      <c r="T161" s="16" t="str">
        <f>IF(ISTEXT('Incurred 2.5% cpi'!T161),"",'Incurred 2.5% cpi'!T161/'Incurred 2.5% cpi'!T$17*Incurred!T$17*BI161)</f>
        <v/>
      </c>
      <c r="U161" s="16">
        <f>IF(ISTEXT('Incurred 2.5% cpi'!U161),"",'Incurred 2.5% cpi'!U161/'Incurred 2.5% cpi'!U$17*Incurred!U$17*BJ161)</f>
        <v>119094.907780371</v>
      </c>
      <c r="V161" s="16">
        <f>IF(ISTEXT('Incurred 2.5% cpi'!V161),"",'Incurred 2.5% cpi'!V161/'Incurred 2.5% cpi'!V$17*Incurred!V$17*BK161)</f>
        <v>157553.26402763266</v>
      </c>
      <c r="W161" s="110">
        <f>IF(ISTEXT('Incurred 2.5% cpi'!W161),"",'Incurred 2.5% cpi'!W161/'Incurred 2.5% cpi'!W$17*Incurred!W$17*BL161)</f>
        <v>144542.36022565127</v>
      </c>
      <c r="X161" s="102" t="str">
        <f>IF(ISTEXT('Incurred 2.5% cpi'!X161),"",'Incurred 2.5% cpi'!X161/'Incurred 2.5% cpi'!X$17*Incurred!X$17*BM161)</f>
        <v/>
      </c>
      <c r="Y161" s="80">
        <f t="shared" si="248"/>
        <v>421190.53203365498</v>
      </c>
      <c r="Z161" s="80">
        <f t="shared" si="275"/>
        <v>421190.53203365498</v>
      </c>
      <c r="AA161" s="566">
        <f t="shared" si="276"/>
        <v>431158.54334072699</v>
      </c>
      <c r="AB161" s="566">
        <f t="shared" si="277"/>
        <v>431158.54334072699</v>
      </c>
      <c r="AC161" s="567">
        <f t="shared" si="239"/>
        <v>1</v>
      </c>
      <c r="AD161" s="568" t="str">
        <f t="shared" si="278"/>
        <v>2023</v>
      </c>
      <c r="AE161" s="569">
        <v>44992</v>
      </c>
      <c r="AF161" s="568">
        <v>2023</v>
      </c>
      <c r="AG161" s="569"/>
      <c r="AH161" s="566">
        <f t="shared" si="271"/>
        <v>381081.32717117539</v>
      </c>
      <c r="AI161" s="80">
        <f t="shared" si="279"/>
        <v>144542.36022565127</v>
      </c>
      <c r="AJ161" s="571" t="s">
        <v>3035</v>
      </c>
      <c r="AK161" s="875">
        <f t="shared" ref="AK161:AK174" si="289">IF(ISNA(VLOOKUP(LEFT($A161,8),Estimates,72,FALSE)),0,VLOOKUP(LEFT($A161,8),Estimates,72,FALSE))</f>
        <v>0</v>
      </c>
      <c r="AL161" s="28">
        <f t="shared" ref="AL161:BE161" si="290">IF($AK161=0,VLOOKUP(MID($A161,4,5),ProjectSplits,AL$23,FALSE),IF(ISNA(VLOOKUP($A161,Estimates,AL$22,FALSE)),VLOOKUP(MID($A161,4,5),ProjectSplits,AL$23,FALSE),VLOOKUP($A161,Estimates,AL$22,FALSE)))</f>
        <v>0</v>
      </c>
      <c r="AM161" s="28">
        <f t="shared" si="290"/>
        <v>0</v>
      </c>
      <c r="AN161" s="28">
        <f t="shared" si="290"/>
        <v>0</v>
      </c>
      <c r="AO161" s="28">
        <f t="shared" si="290"/>
        <v>1</v>
      </c>
      <c r="AP161" s="28">
        <f t="shared" si="290"/>
        <v>0</v>
      </c>
      <c r="AQ161" s="28">
        <f t="shared" si="290"/>
        <v>0</v>
      </c>
      <c r="AR161" s="28">
        <f t="shared" si="290"/>
        <v>0</v>
      </c>
      <c r="AS161" s="28">
        <f t="shared" si="290"/>
        <v>0</v>
      </c>
      <c r="AT161" s="28">
        <f t="shared" si="290"/>
        <v>0</v>
      </c>
      <c r="AU161" s="28">
        <f t="shared" si="290"/>
        <v>0</v>
      </c>
      <c r="AV161" s="28">
        <f t="shared" si="290"/>
        <v>0</v>
      </c>
      <c r="AW161" s="28">
        <f t="shared" si="290"/>
        <v>0</v>
      </c>
      <c r="AX161" s="28">
        <f t="shared" si="290"/>
        <v>0</v>
      </c>
      <c r="AY161" s="28">
        <f t="shared" si="290"/>
        <v>0</v>
      </c>
      <c r="AZ161" s="28">
        <f t="shared" si="290"/>
        <v>0</v>
      </c>
      <c r="BA161" s="28">
        <f t="shared" si="290"/>
        <v>0</v>
      </c>
      <c r="BB161" s="28">
        <f t="shared" si="290"/>
        <v>0</v>
      </c>
      <c r="BC161" s="28">
        <f t="shared" si="290"/>
        <v>0</v>
      </c>
      <c r="BD161" s="28">
        <f t="shared" si="290"/>
        <v>0</v>
      </c>
      <c r="BE161" s="28">
        <f t="shared" si="290"/>
        <v>0</v>
      </c>
      <c r="BF161" s="27">
        <f>SUM(AL161:BD161)</f>
        <v>1</v>
      </c>
      <c r="BG161" s="520">
        <f t="shared" si="244"/>
        <v>1.0059304488076128</v>
      </c>
      <c r="BH161" s="520">
        <f t="shared" si="282"/>
        <v>1.0113328845135172</v>
      </c>
      <c r="BI161" s="520">
        <f t="shared" si="283"/>
        <v>1.0171797784497432</v>
      </c>
      <c r="BJ161" s="520">
        <f t="shared" si="284"/>
        <v>1.0239336258048755</v>
      </c>
      <c r="BK161" s="520">
        <f t="shared" si="285"/>
        <v>1.0337731651932187</v>
      </c>
      <c r="BL161" s="520">
        <f t="shared" si="286"/>
        <v>1.0448409002027792</v>
      </c>
      <c r="BM161" s="520">
        <f t="shared" si="287"/>
        <v>1.052250448311804</v>
      </c>
      <c r="BN161" s="521" t="str">
        <f t="shared" si="288"/>
        <v>Project</v>
      </c>
      <c r="BP161" s="3"/>
    </row>
    <row r="162" spans="1:69" hidden="1" x14ac:dyDescent="0.15">
      <c r="A162" s="78" t="s">
        <v>338</v>
      </c>
      <c r="B162" s="13" t="s">
        <v>339</v>
      </c>
      <c r="C162" s="13" t="s">
        <v>27</v>
      </c>
      <c r="D162" s="13" t="s">
        <v>40</v>
      </c>
      <c r="E162" s="13" t="s">
        <v>29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5">
        <v>0</v>
      </c>
      <c r="N162" s="670"/>
      <c r="O162" s="14">
        <v>157936.68</v>
      </c>
      <c r="P162" s="15">
        <v>735154.39</v>
      </c>
      <c r="Q162" s="15">
        <f>IF(ISTEXT('Incurred 2.5% cpi'!Q162),"",'Incurred 2.5% cpi'!Q162/'Incurred 2.5% cpi'!Q$17*Incurred!Q$17)</f>
        <v>2776255.09</v>
      </c>
      <c r="R162" s="110">
        <f>IF(ISTEXT('Incurred 2.5% cpi'!R162),"",'Incurred 2.5% cpi'!R162/'Incurred 2.5% cpi'!R$17*Incurred!R$17*BG162)</f>
        <v>1565871.5702327657</v>
      </c>
      <c r="S162" s="102">
        <f>IF(ISTEXT('Incurred 2.5% cpi'!S162),"",'Incurred 2.5% cpi'!S162/'Incurred 2.5% cpi'!S$17*Incurred!S$17*BH162)</f>
        <v>92477.013894103511</v>
      </c>
      <c r="T162" s="16">
        <f>IF(ISTEXT('Incurred 2.5% cpi'!T162),"",'Incurred 2.5% cpi'!T162/'Incurred 2.5% cpi'!T$17*Incurred!T$17*BI162)</f>
        <v>10857.232648932426</v>
      </c>
      <c r="U162" s="16" t="str">
        <f>IF(ISTEXT('Incurred 2.5% cpi'!U162),"",'Incurred 2.5% cpi'!U162/'Incurred 2.5% cpi'!U$17*Incurred!U$17*BJ162)</f>
        <v/>
      </c>
      <c r="V162" s="16" t="str">
        <f>IF(ISTEXT('Incurred 2.5% cpi'!V162),"",'Incurred 2.5% cpi'!V162/'Incurred 2.5% cpi'!V$17*Incurred!V$17*BK162)</f>
        <v/>
      </c>
      <c r="W162" s="110" t="str">
        <f>IF(ISTEXT('Incurred 2.5% cpi'!W162),"",'Incurred 2.5% cpi'!W162/'Incurred 2.5% cpi'!W$17*Incurred!W$17*BL162)</f>
        <v/>
      </c>
      <c r="X162" s="102" t="str">
        <f>IF(ISTEXT('Incurred 2.5% cpi'!X162),"",'Incurred 2.5% cpi'!X162/'Incurred 2.5% cpi'!X$17*Incurred!X$17*BM162)</f>
        <v/>
      </c>
      <c r="Y162" s="80">
        <f t="shared" si="248"/>
        <v>5338551.9767758017</v>
      </c>
      <c r="Z162" s="80">
        <f t="shared" si="275"/>
        <v>5338551.9767758017</v>
      </c>
      <c r="AA162" s="566">
        <f t="shared" si="276"/>
        <v>6165193.9595852606</v>
      </c>
      <c r="AB162" s="566">
        <f t="shared" si="277"/>
        <v>5585361.4430018216</v>
      </c>
      <c r="AC162" s="567">
        <f t="shared" si="239"/>
        <v>1.1038128906249998</v>
      </c>
      <c r="AD162" s="568" t="str">
        <f t="shared" si="278"/>
        <v>2020</v>
      </c>
      <c r="AE162" s="569">
        <v>43312</v>
      </c>
      <c r="AF162" s="568">
        <v>2019</v>
      </c>
      <c r="AG162" s="569"/>
      <c r="AH162" s="566">
        <f t="shared" si="271"/>
        <v>5449133.1151237292</v>
      </c>
      <c r="AI162" s="80">
        <f t="shared" si="279"/>
        <v>10857.232648932426</v>
      </c>
      <c r="AJ162" s="571" t="s">
        <v>3036</v>
      </c>
      <c r="AK162" s="875">
        <f t="shared" si="289"/>
        <v>5624778.6299999971</v>
      </c>
      <c r="AL162" s="28">
        <f t="shared" ref="AL162:BE162" si="291">IF($AK162=0,VLOOKUP(MID($A162,4,5),ProjectSplits,AL$23,FALSE),IF(ISNA(VLOOKUP($A162,Estimates,AL$22,FALSE)),VLOOKUP(MID($A162,4,5),ProjectSplits,AL$23,FALSE),VLOOKUP($A162,Estimates,AL$22,FALSE)))</f>
        <v>0</v>
      </c>
      <c r="AM162" s="28">
        <f t="shared" si="291"/>
        <v>0</v>
      </c>
      <c r="AN162" s="28">
        <f t="shared" si="291"/>
        <v>1</v>
      </c>
      <c r="AO162" s="378">
        <f t="shared" si="291"/>
        <v>0</v>
      </c>
      <c r="AP162" s="28">
        <f t="shared" si="291"/>
        <v>0</v>
      </c>
      <c r="AQ162" s="28">
        <f t="shared" si="291"/>
        <v>0</v>
      </c>
      <c r="AR162" s="28">
        <f t="shared" si="291"/>
        <v>0</v>
      </c>
      <c r="AS162" s="28">
        <f t="shared" si="291"/>
        <v>0</v>
      </c>
      <c r="AT162" s="28">
        <f t="shared" si="291"/>
        <v>0</v>
      </c>
      <c r="AU162" s="28">
        <f t="shared" si="291"/>
        <v>0</v>
      </c>
      <c r="AV162" s="28">
        <f t="shared" si="291"/>
        <v>0</v>
      </c>
      <c r="AW162" s="28">
        <f t="shared" si="291"/>
        <v>0</v>
      </c>
      <c r="AX162" s="28">
        <f t="shared" si="291"/>
        <v>0</v>
      </c>
      <c r="AY162" s="28">
        <f t="shared" si="291"/>
        <v>0</v>
      </c>
      <c r="AZ162" s="28">
        <f t="shared" si="291"/>
        <v>0</v>
      </c>
      <c r="BA162" s="28">
        <f t="shared" si="291"/>
        <v>0</v>
      </c>
      <c r="BB162" s="28">
        <f t="shared" si="291"/>
        <v>0</v>
      </c>
      <c r="BC162" s="28">
        <f t="shared" si="291"/>
        <v>0</v>
      </c>
      <c r="BD162" s="28">
        <f t="shared" si="291"/>
        <v>0</v>
      </c>
      <c r="BE162" s="28">
        <f t="shared" si="291"/>
        <v>0</v>
      </c>
      <c r="BF162" s="27">
        <f>SUM(AL162:BD162)</f>
        <v>1</v>
      </c>
      <c r="BG162" s="520">
        <f t="shared" si="244"/>
        <v>1.0034498951996242</v>
      </c>
      <c r="BH162" s="520">
        <f t="shared" si="282"/>
        <v>1.0065926315443261</v>
      </c>
      <c r="BI162" s="520">
        <f t="shared" si="283"/>
        <v>1.0099939207178206</v>
      </c>
      <c r="BJ162" s="520">
        <f t="shared" si="284"/>
        <v>1.0139228081132494</v>
      </c>
      <c r="BK162" s="520">
        <f t="shared" si="285"/>
        <v>1.0196467222390713</v>
      </c>
      <c r="BL162" s="520">
        <f t="shared" si="286"/>
        <v>1.0260851094706045</v>
      </c>
      <c r="BM162" s="520">
        <f t="shared" si="287"/>
        <v>1.0303954349252136</v>
      </c>
      <c r="BN162" s="521" t="str">
        <f t="shared" si="288"/>
        <v>Category</v>
      </c>
      <c r="BP162" s="3"/>
    </row>
    <row r="163" spans="1:69" hidden="1" x14ac:dyDescent="0.15">
      <c r="A163" s="78" t="s">
        <v>340</v>
      </c>
      <c r="B163" s="13" t="s">
        <v>142</v>
      </c>
      <c r="C163" s="13" t="s">
        <v>27</v>
      </c>
      <c r="D163" s="13" t="s">
        <v>28</v>
      </c>
      <c r="E163" s="13" t="s">
        <v>29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5">
        <v>185716.89</v>
      </c>
      <c r="N163" s="670">
        <v>254436.19</v>
      </c>
      <c r="O163" s="14">
        <v>414371.98</v>
      </c>
      <c r="P163" s="15">
        <v>375632.94</v>
      </c>
      <c r="Q163" s="15">
        <f>IF(ISTEXT('Incurred 2.5% cpi'!Q163),"",'Incurred 2.5% cpi'!Q163/'Incurred 2.5% cpi'!Q$17*Incurred!Q$17)</f>
        <v>353737.62</v>
      </c>
      <c r="R163" s="110">
        <f>IF(ISTEXT('Incurred 2.5% cpi'!R163),"",'Incurred 2.5% cpi'!R163/'Incurred 2.5% cpi'!R$17*Incurred!R$17*BG163)</f>
        <v>347.79564439485358</v>
      </c>
      <c r="S163" s="102" t="str">
        <f>IF(ISTEXT('Incurred 2.5% cpi'!S163),"",'Incurred 2.5% cpi'!S163/'Incurred 2.5% cpi'!S$17*Incurred!S$17*BH163)</f>
        <v/>
      </c>
      <c r="T163" s="16" t="str">
        <f>IF(ISTEXT('Incurred 2.5% cpi'!T163),"",'Incurred 2.5% cpi'!T163/'Incurred 2.5% cpi'!T$17*Incurred!T$17*BI163)</f>
        <v/>
      </c>
      <c r="U163" s="16" t="str">
        <f>IF(ISTEXT('Incurred 2.5% cpi'!U163),"",'Incurred 2.5% cpi'!U163/'Incurred 2.5% cpi'!U$17*Incurred!U$17*BJ163)</f>
        <v/>
      </c>
      <c r="V163" s="16" t="str">
        <f>IF(ISTEXT('Incurred 2.5% cpi'!V163),"",'Incurred 2.5% cpi'!V163/'Incurred 2.5% cpi'!V$17*Incurred!V$17*BK163)</f>
        <v/>
      </c>
      <c r="W163" s="110" t="str">
        <f>IF(ISTEXT('Incurred 2.5% cpi'!W163),"",'Incurred 2.5% cpi'!W163/'Incurred 2.5% cpi'!W$17*Incurred!W$17*BL163)</f>
        <v/>
      </c>
      <c r="X163" s="102" t="str">
        <f>IF(ISTEXT('Incurred 2.5% cpi'!X163),"",'Incurred 2.5% cpi'!X163/'Incurred 2.5% cpi'!X$17*Incurred!X$17*BM163)</f>
        <v/>
      </c>
      <c r="Y163" s="80">
        <f t="shared" si="248"/>
        <v>1584243.4156443949</v>
      </c>
      <c r="Z163" s="80">
        <f t="shared" si="275"/>
        <v>1584243.4156443949</v>
      </c>
      <c r="AA163" s="566">
        <f t="shared" si="276"/>
        <v>1894448.7789901891</v>
      </c>
      <c r="AB163" s="566">
        <f t="shared" si="277"/>
        <v>1674416.6759670933</v>
      </c>
      <c r="AC163" s="567">
        <f t="shared" ref="AC163:AC192" si="292">IF(AF163="","",IF(AF163&lt;AD163,INDEX($F$20:$W$20,1,MATCH(TEXT(AF163,"000"),$F$24:$W$24)),INDEX($F$20:$W$20,1,MATCH(AD163,$F$24:$W$24))))</f>
        <v>1.1314082128906247</v>
      </c>
      <c r="AD163" s="568" t="str">
        <f t="shared" si="278"/>
        <v>2018</v>
      </c>
      <c r="AE163" s="569">
        <v>42961</v>
      </c>
      <c r="AF163" s="568">
        <v>2018</v>
      </c>
      <c r="AG163" s="569"/>
      <c r="AH163" s="566">
        <f t="shared" si="271"/>
        <v>1674416.6759670933</v>
      </c>
      <c r="AI163" s="80">
        <f t="shared" si="279"/>
        <v>347.79564439485358</v>
      </c>
      <c r="AJ163" s="571" t="s">
        <v>0</v>
      </c>
      <c r="AK163" s="875">
        <f t="shared" si="289"/>
        <v>1436800</v>
      </c>
      <c r="AL163" s="28">
        <f t="shared" ref="AL163:AU164" si="293">IF($AK163=0,VLOOKUP(MID($A163,4,5),ProjectSplits,AL$23,FALSE),IF(ISNA(VLOOKUP($A163,Estimates,AL$22,FALSE)),VLOOKUP(MID($A163,4,5),ProjectSplits,AL$23,FALSE),VLOOKUP($A163,Estimates,AL$22,FALSE)))</f>
        <v>0</v>
      </c>
      <c r="AM163" s="28">
        <f t="shared" si="293"/>
        <v>0</v>
      </c>
      <c r="AN163" s="28">
        <f t="shared" si="293"/>
        <v>1</v>
      </c>
      <c r="AO163" s="28">
        <f t="shared" si="293"/>
        <v>0</v>
      </c>
      <c r="AP163" s="28">
        <f t="shared" si="293"/>
        <v>0</v>
      </c>
      <c r="AQ163" s="28">
        <f t="shared" si="293"/>
        <v>0</v>
      </c>
      <c r="AR163" s="28">
        <f t="shared" si="293"/>
        <v>0</v>
      </c>
      <c r="AS163" s="28">
        <f t="shared" si="293"/>
        <v>0</v>
      </c>
      <c r="AT163" s="28">
        <f t="shared" si="293"/>
        <v>0</v>
      </c>
      <c r="AU163" s="28">
        <f t="shared" si="293"/>
        <v>0</v>
      </c>
      <c r="AV163" s="28">
        <f t="shared" ref="AV163:BE164" si="294">IF($AK163=0,VLOOKUP(MID($A163,4,5),ProjectSplits,AV$23,FALSE),IF(ISNA(VLOOKUP($A163,Estimates,AV$22,FALSE)),VLOOKUP(MID($A163,4,5),ProjectSplits,AV$23,FALSE),VLOOKUP($A163,Estimates,AV$22,FALSE)))</f>
        <v>0</v>
      </c>
      <c r="AW163" s="28">
        <f t="shared" si="294"/>
        <v>0</v>
      </c>
      <c r="AX163" s="28">
        <f t="shared" si="294"/>
        <v>0</v>
      </c>
      <c r="AY163" s="28">
        <f t="shared" si="294"/>
        <v>0</v>
      </c>
      <c r="AZ163" s="28">
        <f t="shared" si="294"/>
        <v>0</v>
      </c>
      <c r="BA163" s="28">
        <f t="shared" si="294"/>
        <v>0</v>
      </c>
      <c r="BB163" s="28">
        <f t="shared" si="294"/>
        <v>0</v>
      </c>
      <c r="BC163" s="28">
        <f t="shared" si="294"/>
        <v>0</v>
      </c>
      <c r="BD163" s="28">
        <f t="shared" si="294"/>
        <v>0</v>
      </c>
      <c r="BE163" s="28">
        <f t="shared" si="294"/>
        <v>0</v>
      </c>
      <c r="BF163" s="27">
        <f t="shared" ref="BF163:BF164" si="295">SUM(AL163:BD163)</f>
        <v>1</v>
      </c>
      <c r="BG163" s="520">
        <f t="shared" ref="BG163:BG193" si="296">1+IF(ISNA(VLOOKUP($A163,ProjLabEsc,7,FALSE)),VLOOKUP(D163,CatLabEsc,4,FALSE),VLOOKUP(A163,ProjLabEsc,7,FALSE))*Labesc18*LabIn</f>
        <v>1.0030444840366091</v>
      </c>
      <c r="BH163" s="520">
        <f t="shared" si="282"/>
        <v>1.0058179046998681</v>
      </c>
      <c r="BI163" s="520">
        <f t="shared" si="283"/>
        <v>1.0088194946014175</v>
      </c>
      <c r="BJ163" s="520">
        <f t="shared" si="284"/>
        <v>1.0122866825201464</v>
      </c>
      <c r="BK163" s="520">
        <f t="shared" si="285"/>
        <v>1.0173379563051834</v>
      </c>
      <c r="BL163" s="520">
        <f t="shared" si="286"/>
        <v>1.023019742566414</v>
      </c>
      <c r="BM163" s="520">
        <f t="shared" si="287"/>
        <v>1.026823544212498</v>
      </c>
      <c r="BN163" s="521" t="str">
        <f t="shared" si="288"/>
        <v>Category</v>
      </c>
      <c r="BP163" s="3"/>
    </row>
    <row r="164" spans="1:69" hidden="1" x14ac:dyDescent="0.15">
      <c r="A164" s="78" t="s">
        <v>341</v>
      </c>
      <c r="B164" s="13" t="s">
        <v>342</v>
      </c>
      <c r="C164" s="13" t="s">
        <v>27</v>
      </c>
      <c r="D164" s="13" t="s">
        <v>40</v>
      </c>
      <c r="E164" s="13" t="s">
        <v>29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5">
        <v>0</v>
      </c>
      <c r="N164" s="670"/>
      <c r="O164" s="14"/>
      <c r="P164" s="15">
        <v>21297.82</v>
      </c>
      <c r="Q164" s="15">
        <f>IF(ISTEXT('Incurred 2.5% cpi'!Q164),"",'Incurred 2.5% cpi'!Q164/'Incurred 2.5% cpi'!Q$17*Incurred!Q$17)</f>
        <v>746487.72</v>
      </c>
      <c r="R164" s="110">
        <f>IF(ISTEXT('Incurred 2.5% cpi'!R164),"",'Incurred 2.5% cpi'!R164/'Incurred 2.5% cpi'!R$17*Incurred!R$17*BG164)</f>
        <v>372704.75173569034</v>
      </c>
      <c r="S164" s="102">
        <f>IF(ISTEXT('Incurred 2.5% cpi'!S164),"",'Incurred 2.5% cpi'!S164/'Incurred 2.5% cpi'!S$17*Incurred!S$17*BH164)</f>
        <v>20719.420881771577</v>
      </c>
      <c r="T164" s="16" t="str">
        <f>IF(ISTEXT('Incurred 2.5% cpi'!T164),"",'Incurred 2.5% cpi'!T164/'Incurred 2.5% cpi'!T$17*Incurred!T$17*BI164)</f>
        <v/>
      </c>
      <c r="U164" s="16" t="str">
        <f>IF(ISTEXT('Incurred 2.5% cpi'!U164),"",'Incurred 2.5% cpi'!U164/'Incurred 2.5% cpi'!U$17*Incurred!U$17*BJ164)</f>
        <v/>
      </c>
      <c r="V164" s="16" t="str">
        <f>IF(ISTEXT('Incurred 2.5% cpi'!V164),"",'Incurred 2.5% cpi'!V164/'Incurred 2.5% cpi'!V$17*Incurred!V$17*BK164)</f>
        <v/>
      </c>
      <c r="W164" s="110" t="str">
        <f>IF(ISTEXT('Incurred 2.5% cpi'!W164),"",'Incurred 2.5% cpi'!W164/'Incurred 2.5% cpi'!W$17*Incurred!W$17*BL164)</f>
        <v/>
      </c>
      <c r="X164" s="102" t="str">
        <f>IF(ISTEXT('Incurred 2.5% cpi'!X164),"",'Incurred 2.5% cpi'!X164/'Incurred 2.5% cpi'!X$17*Incurred!X$17*BM164)</f>
        <v/>
      </c>
      <c r="Y164" s="80">
        <f t="shared" si="248"/>
        <v>1161209.7126174618</v>
      </c>
      <c r="Z164" s="80">
        <f t="shared" si="275"/>
        <v>1161209.7126174618</v>
      </c>
      <c r="AA164" s="566">
        <f t="shared" si="276"/>
        <v>1335472.4420037412</v>
      </c>
      <c r="AB164" s="566">
        <f t="shared" si="277"/>
        <v>1180363.0438493588</v>
      </c>
      <c r="AC164" s="567">
        <f t="shared" si="292"/>
        <v>1.1314082128906247</v>
      </c>
      <c r="AD164" s="568" t="str">
        <f t="shared" si="278"/>
        <v>2019</v>
      </c>
      <c r="AE164" s="569">
        <v>43040</v>
      </c>
      <c r="AF164" s="568">
        <v>2018</v>
      </c>
      <c r="AG164" s="569"/>
      <c r="AH164" s="566">
        <f t="shared" si="271"/>
        <v>1180363.043849359</v>
      </c>
      <c r="AI164" s="80">
        <f t="shared" si="279"/>
        <v>20719.420881771577</v>
      </c>
      <c r="AJ164" s="571" t="s">
        <v>0</v>
      </c>
      <c r="AK164" s="875">
        <f t="shared" si="289"/>
        <v>0</v>
      </c>
      <c r="AL164" s="28">
        <f t="shared" si="293"/>
        <v>0</v>
      </c>
      <c r="AM164" s="28">
        <f t="shared" si="293"/>
        <v>0</v>
      </c>
      <c r="AN164" s="28">
        <f t="shared" si="293"/>
        <v>0</v>
      </c>
      <c r="AO164" s="28">
        <f t="shared" si="293"/>
        <v>1</v>
      </c>
      <c r="AP164" s="28">
        <f t="shared" si="293"/>
        <v>0</v>
      </c>
      <c r="AQ164" s="28">
        <f t="shared" si="293"/>
        <v>0</v>
      </c>
      <c r="AR164" s="28">
        <f t="shared" si="293"/>
        <v>0</v>
      </c>
      <c r="AS164" s="28">
        <f t="shared" si="293"/>
        <v>0</v>
      </c>
      <c r="AT164" s="28">
        <f t="shared" si="293"/>
        <v>0</v>
      </c>
      <c r="AU164" s="28">
        <f t="shared" si="293"/>
        <v>0</v>
      </c>
      <c r="AV164" s="28">
        <f t="shared" si="294"/>
        <v>0</v>
      </c>
      <c r="AW164" s="28">
        <f t="shared" si="294"/>
        <v>0</v>
      </c>
      <c r="AX164" s="28">
        <f t="shared" si="294"/>
        <v>0</v>
      </c>
      <c r="AY164" s="28">
        <f t="shared" si="294"/>
        <v>0</v>
      </c>
      <c r="AZ164" s="28">
        <f t="shared" si="294"/>
        <v>0</v>
      </c>
      <c r="BA164" s="28">
        <f t="shared" si="294"/>
        <v>0</v>
      </c>
      <c r="BB164" s="28">
        <f t="shared" si="294"/>
        <v>0</v>
      </c>
      <c r="BC164" s="28">
        <f t="shared" si="294"/>
        <v>0</v>
      </c>
      <c r="BD164" s="28">
        <f t="shared" si="294"/>
        <v>0</v>
      </c>
      <c r="BE164" s="28">
        <f t="shared" si="294"/>
        <v>0</v>
      </c>
      <c r="BF164" s="27">
        <f t="shared" si="295"/>
        <v>1</v>
      </c>
      <c r="BG164" s="520">
        <f t="shared" si="296"/>
        <v>1.0034498951996242</v>
      </c>
      <c r="BH164" s="520">
        <f t="shared" si="282"/>
        <v>1.0065926315443261</v>
      </c>
      <c r="BI164" s="520">
        <f t="shared" si="283"/>
        <v>1.0099939207178206</v>
      </c>
      <c r="BJ164" s="520">
        <f t="shared" si="284"/>
        <v>1.0139228081132494</v>
      </c>
      <c r="BK164" s="520">
        <f t="shared" si="285"/>
        <v>1.0196467222390713</v>
      </c>
      <c r="BL164" s="520">
        <f t="shared" si="286"/>
        <v>1.0260851094706045</v>
      </c>
      <c r="BM164" s="520">
        <f t="shared" si="287"/>
        <v>1.0303954349252136</v>
      </c>
      <c r="BN164" s="521" t="str">
        <f t="shared" si="288"/>
        <v>Category</v>
      </c>
      <c r="BP164" s="3"/>
    </row>
    <row r="165" spans="1:69" hidden="1" x14ac:dyDescent="0.15">
      <c r="A165" s="78" t="s">
        <v>343</v>
      </c>
      <c r="B165" s="13" t="s">
        <v>344</v>
      </c>
      <c r="C165" s="13" t="s">
        <v>27</v>
      </c>
      <c r="D165" s="13" t="s">
        <v>40</v>
      </c>
      <c r="E165" s="13" t="s">
        <v>112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5">
        <v>0</v>
      </c>
      <c r="N165" s="670"/>
      <c r="O165" s="14"/>
      <c r="P165" s="15"/>
      <c r="Q165" s="15" t="str">
        <f>IF(ISTEXT('Incurred 2.5% cpi'!Q165),"",'Incurred 2.5% cpi'!Q165/'Incurred 2.5% cpi'!Q$17*Incurred!Q$17)</f>
        <v/>
      </c>
      <c r="R165" s="110" t="str">
        <f>IF(ISTEXT('Incurred 2.5% cpi'!R165),"",'Incurred 2.5% cpi'!R165/'Incurred 2.5% cpi'!R$17*Incurred!R$17*BG165)</f>
        <v/>
      </c>
      <c r="S165" s="102" t="str">
        <f>IF(ISTEXT('Incurred 2.5% cpi'!S165),"",'Incurred 2.5% cpi'!S165/'Incurred 2.5% cpi'!S$17*Incurred!S$17*BH165)</f>
        <v/>
      </c>
      <c r="T165" s="16">
        <f>IF(ISTEXT('Incurred 2.5% cpi'!T165),"",'Incurred 2.5% cpi'!T165/'Incurred 2.5% cpi'!T$17*Incurred!T$17*BI165)</f>
        <v>151157.86134573174</v>
      </c>
      <c r="U165" s="16">
        <f>IF(ISTEXT('Incurred 2.5% cpi'!U165),"",'Incurred 2.5% cpi'!U165/'Incurred 2.5% cpi'!U$17*Incurred!U$17*BJ165)</f>
        <v>418892.23562962445</v>
      </c>
      <c r="V165" s="16">
        <f>IF(ISTEXT('Incurred 2.5% cpi'!V165),"",'Incurred 2.5% cpi'!V165/'Incurred 2.5% cpi'!V$17*Incurred!V$17*BK165)</f>
        <v>420026.27012256504</v>
      </c>
      <c r="W165" s="110" t="str">
        <f>IF(ISTEXT('Incurred 2.5% cpi'!W165),"",'Incurred 2.5% cpi'!W165/'Incurred 2.5% cpi'!W$17*Incurred!W$17*BL165)</f>
        <v/>
      </c>
      <c r="X165" s="102" t="str">
        <f>IF(ISTEXT('Incurred 2.5% cpi'!X165),"",'Incurred 2.5% cpi'!X165/'Incurred 2.5% cpi'!X$17*Incurred!X$17*BM165)</f>
        <v/>
      </c>
      <c r="Y165" s="80">
        <f t="shared" si="248"/>
        <v>990076.3670979212</v>
      </c>
      <c r="Z165" s="80">
        <f t="shared" si="275"/>
        <v>990076.3670979212</v>
      </c>
      <c r="AA165" s="566">
        <f t="shared" si="276"/>
        <v>1033406.0657122716</v>
      </c>
      <c r="AB165" s="566">
        <f t="shared" si="277"/>
        <v>1008201.0397192895</v>
      </c>
      <c r="AC165" s="567">
        <f t="shared" si="292"/>
        <v>1.0249999999999999</v>
      </c>
      <c r="AD165" s="568" t="str">
        <f t="shared" si="278"/>
        <v>2022</v>
      </c>
      <c r="AE165" s="569">
        <v>44594</v>
      </c>
      <c r="AF165" s="568">
        <v>2022</v>
      </c>
      <c r="AG165" s="569"/>
      <c r="AH165" s="566">
        <f t="shared" ref="AH165:AH172" si="297">IF(ROUND(Y165,0)=0,0,SUMPRODUCT($F$19:$W$19,F165:W165))</f>
        <v>913380.38202147372</v>
      </c>
      <c r="AI165" s="80">
        <f t="shared" si="279"/>
        <v>420026.27012256504</v>
      </c>
      <c r="AJ165" s="571" t="s">
        <v>3035</v>
      </c>
      <c r="AK165" s="875">
        <f t="shared" si="289"/>
        <v>169999.99999999974</v>
      </c>
      <c r="AL165" s="28">
        <f t="shared" ref="AL165:AU172" si="298">IF($AK165=0,VLOOKUP(MID($A165,4,5),ProjectSplits,AL$23,FALSE),IF(ISNA(VLOOKUP($A165,Estimates,AL$22,FALSE)),VLOOKUP(MID($A165,4,5),ProjectSplits,AL$23,FALSE),VLOOKUP($A165,Estimates,AL$22,FALSE)))</f>
        <v>0</v>
      </c>
      <c r="AM165" s="28">
        <f t="shared" si="298"/>
        <v>0</v>
      </c>
      <c r="AN165" s="28">
        <f t="shared" si="298"/>
        <v>0</v>
      </c>
      <c r="AO165" s="28">
        <f t="shared" si="298"/>
        <v>1</v>
      </c>
      <c r="AP165" s="28">
        <f t="shared" si="298"/>
        <v>0</v>
      </c>
      <c r="AQ165" s="28">
        <f t="shared" si="298"/>
        <v>0</v>
      </c>
      <c r="AR165" s="28">
        <f t="shared" si="298"/>
        <v>0</v>
      </c>
      <c r="AS165" s="28">
        <f t="shared" si="298"/>
        <v>0</v>
      </c>
      <c r="AT165" s="28">
        <f t="shared" si="298"/>
        <v>0</v>
      </c>
      <c r="AU165" s="28">
        <f t="shared" si="298"/>
        <v>0</v>
      </c>
      <c r="AV165" s="28">
        <f t="shared" ref="AV165:BE172" si="299">IF($AK165=0,VLOOKUP(MID($A165,4,5),ProjectSplits,AV$23,FALSE),IF(ISNA(VLOOKUP($A165,Estimates,AV$22,FALSE)),VLOOKUP(MID($A165,4,5),ProjectSplits,AV$23,FALSE),VLOOKUP($A165,Estimates,AV$22,FALSE)))</f>
        <v>0</v>
      </c>
      <c r="AW165" s="28">
        <f t="shared" si="299"/>
        <v>0</v>
      </c>
      <c r="AX165" s="28">
        <f t="shared" si="299"/>
        <v>0</v>
      </c>
      <c r="AY165" s="28">
        <f t="shared" si="299"/>
        <v>0</v>
      </c>
      <c r="AZ165" s="28">
        <f t="shared" si="299"/>
        <v>0</v>
      </c>
      <c r="BA165" s="28">
        <f t="shared" si="299"/>
        <v>0</v>
      </c>
      <c r="BB165" s="28">
        <f t="shared" si="299"/>
        <v>0</v>
      </c>
      <c r="BC165" s="28">
        <f t="shared" si="299"/>
        <v>0</v>
      </c>
      <c r="BD165" s="28">
        <f t="shared" si="299"/>
        <v>0</v>
      </c>
      <c r="BE165" s="28">
        <f t="shared" si="299"/>
        <v>0</v>
      </c>
      <c r="BF165" s="27">
        <f t="shared" ref="BF165:BF172" si="300">SUM(AL165:BD165)</f>
        <v>1</v>
      </c>
      <c r="BG165" s="520">
        <f t="shared" si="296"/>
        <v>1.0047443590460903</v>
      </c>
      <c r="BH165" s="520">
        <f t="shared" si="282"/>
        <v>1.0090663076108137</v>
      </c>
      <c r="BI165" s="520">
        <f t="shared" si="283"/>
        <v>1.0137438227597946</v>
      </c>
      <c r="BJ165" s="520">
        <f t="shared" si="284"/>
        <v>1.0191469006439002</v>
      </c>
      <c r="BK165" s="520">
        <f t="shared" si="285"/>
        <v>1.0270185321545748</v>
      </c>
      <c r="BL165" s="520">
        <f t="shared" si="286"/>
        <v>1.0358727201622233</v>
      </c>
      <c r="BM165" s="520">
        <f t="shared" si="287"/>
        <v>1.0418003586494431</v>
      </c>
      <c r="BN165" s="521" t="str">
        <f t="shared" si="288"/>
        <v>Project</v>
      </c>
      <c r="BP165" s="3"/>
    </row>
    <row r="166" spans="1:69" hidden="1" x14ac:dyDescent="0.15">
      <c r="A166" s="12" t="s">
        <v>345</v>
      </c>
      <c r="B166" s="13" t="s">
        <v>2380</v>
      </c>
      <c r="C166" s="13" t="s">
        <v>27</v>
      </c>
      <c r="D166" s="13" t="s">
        <v>55</v>
      </c>
      <c r="E166" s="13" t="s">
        <v>29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5">
        <v>0</v>
      </c>
      <c r="N166" s="670"/>
      <c r="O166" s="14"/>
      <c r="P166" s="15"/>
      <c r="Q166" s="15">
        <f>IF(ISTEXT('Incurred 2.5% cpi'!Q166),"",'Incurred 2.5% cpi'!Q166/'Incurred 2.5% cpi'!Q$17*Incurred!Q$17)</f>
        <v>1296648.57</v>
      </c>
      <c r="R166" s="110">
        <f>IF(ISTEXT('Incurred 2.5% cpi'!R166),"",'Incurred 2.5% cpi'!R166/'Incurred 2.5% cpi'!R$17*Incurred!R$17*BG166)</f>
        <v>1991416.0862713575</v>
      </c>
      <c r="S166" s="102" t="str">
        <f>IF(ISTEXT('Incurred 2.5% cpi'!S166),"",'Incurred 2.5% cpi'!S166/'Incurred 2.5% cpi'!S$17*Incurred!S$17*BH166)</f>
        <v/>
      </c>
      <c r="T166" s="16" t="str">
        <f>IF(ISTEXT('Incurred 2.5% cpi'!T166),"",'Incurred 2.5% cpi'!T166/'Incurred 2.5% cpi'!T$17*Incurred!T$17*BI166)</f>
        <v/>
      </c>
      <c r="U166" s="16" t="str">
        <f>IF(ISTEXT('Incurred 2.5% cpi'!U166),"",'Incurred 2.5% cpi'!U166/'Incurred 2.5% cpi'!U$17*Incurred!U$17*BJ166)</f>
        <v/>
      </c>
      <c r="V166" s="16" t="str">
        <f>IF(ISTEXT('Incurred 2.5% cpi'!V166),"",'Incurred 2.5% cpi'!V166/'Incurred 2.5% cpi'!V$17*Incurred!V$17*BK166)</f>
        <v/>
      </c>
      <c r="W166" s="110" t="str">
        <f>IF(ISTEXT('Incurred 2.5% cpi'!W166),"",'Incurred 2.5% cpi'!W166/'Incurred 2.5% cpi'!W$17*Incurred!W$17*BL166)</f>
        <v/>
      </c>
      <c r="X166" s="102" t="str">
        <f>IF(ISTEXT('Incurred 2.5% cpi'!X166),"",'Incurred 2.5% cpi'!X166/'Incurred 2.5% cpi'!X$17*Incurred!X$17*BM166)</f>
        <v/>
      </c>
      <c r="Y166" s="80">
        <f t="shared" si="248"/>
        <v>3288064.6562713576</v>
      </c>
      <c r="Z166" s="80">
        <f t="shared" si="275"/>
        <v>3288064.6562713576</v>
      </c>
      <c r="AA166" s="566">
        <f t="shared" si="276"/>
        <v>3756819.3276540749</v>
      </c>
      <c r="AB166" s="566">
        <f t="shared" si="277"/>
        <v>3320480.8705213577</v>
      </c>
      <c r="AC166" s="567">
        <f t="shared" si="292"/>
        <v>1.1314082128906247</v>
      </c>
      <c r="AD166" s="568" t="str">
        <f t="shared" si="278"/>
        <v>2018</v>
      </c>
      <c r="AE166" s="569">
        <v>43042</v>
      </c>
      <c r="AF166" s="568">
        <v>2018</v>
      </c>
      <c r="AG166" s="569"/>
      <c r="AH166" s="566">
        <f t="shared" si="297"/>
        <v>3320480.8705213573</v>
      </c>
      <c r="AI166" s="80">
        <f t="shared" si="279"/>
        <v>1991416.0862713575</v>
      </c>
      <c r="AJ166" s="571" t="s">
        <v>0</v>
      </c>
      <c r="AK166" s="875">
        <f t="shared" si="289"/>
        <v>211832.99999999974</v>
      </c>
      <c r="AL166" s="28">
        <f t="shared" si="298"/>
        <v>0</v>
      </c>
      <c r="AM166" s="28">
        <f t="shared" si="298"/>
        <v>0</v>
      </c>
      <c r="AN166" s="28">
        <f t="shared" si="298"/>
        <v>0</v>
      </c>
      <c r="AO166" s="28">
        <f t="shared" si="298"/>
        <v>1</v>
      </c>
      <c r="AP166" s="28">
        <f t="shared" si="298"/>
        <v>0</v>
      </c>
      <c r="AQ166" s="28">
        <f t="shared" si="298"/>
        <v>0</v>
      </c>
      <c r="AR166" s="28">
        <f t="shared" si="298"/>
        <v>0</v>
      </c>
      <c r="AS166" s="28">
        <f t="shared" si="298"/>
        <v>0</v>
      </c>
      <c r="AT166" s="28">
        <f t="shared" si="298"/>
        <v>0</v>
      </c>
      <c r="AU166" s="28">
        <f t="shared" si="298"/>
        <v>0</v>
      </c>
      <c r="AV166" s="28">
        <f t="shared" si="299"/>
        <v>0</v>
      </c>
      <c r="AW166" s="28">
        <f t="shared" si="299"/>
        <v>0</v>
      </c>
      <c r="AX166" s="28">
        <f t="shared" si="299"/>
        <v>0</v>
      </c>
      <c r="AY166" s="28">
        <f t="shared" si="299"/>
        <v>0</v>
      </c>
      <c r="AZ166" s="28">
        <f t="shared" si="299"/>
        <v>0</v>
      </c>
      <c r="BA166" s="28">
        <f t="shared" si="299"/>
        <v>0</v>
      </c>
      <c r="BB166" s="28">
        <f t="shared" si="299"/>
        <v>0</v>
      </c>
      <c r="BC166" s="28">
        <f t="shared" si="299"/>
        <v>0</v>
      </c>
      <c r="BD166" s="28">
        <f t="shared" si="299"/>
        <v>0</v>
      </c>
      <c r="BE166" s="28">
        <f t="shared" si="299"/>
        <v>0</v>
      </c>
      <c r="BF166" s="27">
        <f t="shared" si="300"/>
        <v>1</v>
      </c>
      <c r="BG166" s="520">
        <f t="shared" si="296"/>
        <v>1.0046190746045656</v>
      </c>
      <c r="BH166" s="520">
        <f t="shared" si="282"/>
        <v>1.0088268933348963</v>
      </c>
      <c r="BI166" s="520">
        <f t="shared" si="283"/>
        <v>1.0133808891912874</v>
      </c>
      <c r="BJ166" s="520">
        <f t="shared" si="284"/>
        <v>1.018641287824382</v>
      </c>
      <c r="BK166" s="520">
        <f t="shared" si="285"/>
        <v>1.0263050529092395</v>
      </c>
      <c r="BL166" s="520">
        <f t="shared" si="286"/>
        <v>1.0349254280901359</v>
      </c>
      <c r="BM166" s="520">
        <f t="shared" si="287"/>
        <v>1.0406965352376705</v>
      </c>
      <c r="BN166" s="521" t="str">
        <f t="shared" si="288"/>
        <v>Category</v>
      </c>
      <c r="BP166" s="3"/>
    </row>
    <row r="167" spans="1:69" hidden="1" x14ac:dyDescent="0.15">
      <c r="A167" s="78" t="s">
        <v>346</v>
      </c>
      <c r="B167" s="13" t="s">
        <v>2302</v>
      </c>
      <c r="C167" s="13" t="s">
        <v>27</v>
      </c>
      <c r="D167" s="13" t="s">
        <v>55</v>
      </c>
      <c r="E167" s="13" t="s">
        <v>29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5">
        <v>0</v>
      </c>
      <c r="N167" s="670"/>
      <c r="O167" s="14"/>
      <c r="P167" s="15"/>
      <c r="Q167" s="15">
        <f>IF(ISTEXT('Incurred 2.5% cpi'!Q167),"",'Incurred 2.5% cpi'!Q167/'Incurred 2.5% cpi'!Q$17*Incurred!Q$17)</f>
        <v>1359944.46</v>
      </c>
      <c r="R167" s="110">
        <f>IF(ISTEXT('Incurred 2.5% cpi'!R167),"",'Incurred 2.5% cpi'!R167/'Incurred 2.5% cpi'!R$17*Incurred!R$17*BG167)</f>
        <v>178498.81844568808</v>
      </c>
      <c r="S167" s="102">
        <f>IF(ISTEXT('Incurred 2.5% cpi'!S167),"",'Incurred 2.5% cpi'!S167/'Incurred 2.5% cpi'!S$17*Incurred!S$17*BH167)</f>
        <v>296275.19754431408</v>
      </c>
      <c r="T167" s="16" t="str">
        <f>IF(ISTEXT('Incurred 2.5% cpi'!T167),"",'Incurred 2.5% cpi'!T167/'Incurred 2.5% cpi'!T$17*Incurred!T$17*BI167)</f>
        <v/>
      </c>
      <c r="U167" s="16" t="str">
        <f>IF(ISTEXT('Incurred 2.5% cpi'!U167),"",'Incurred 2.5% cpi'!U167/'Incurred 2.5% cpi'!U$17*Incurred!U$17*BJ167)</f>
        <v/>
      </c>
      <c r="V167" s="16" t="str">
        <f>IF(ISTEXT('Incurred 2.5% cpi'!V167),"",'Incurred 2.5% cpi'!V167/'Incurred 2.5% cpi'!V$17*Incurred!V$17*BK167)</f>
        <v/>
      </c>
      <c r="W167" s="110" t="str">
        <f>IF(ISTEXT('Incurred 2.5% cpi'!W167),"",'Incurred 2.5% cpi'!W167/'Incurred 2.5% cpi'!W$17*Incurred!W$17*BL167)</f>
        <v/>
      </c>
      <c r="X167" s="102" t="str">
        <f>IF(ISTEXT('Incurred 2.5% cpi'!X167),"",'Incurred 2.5% cpi'!X167/'Incurred 2.5% cpi'!X$17*Incurred!X$17*BM167)</f>
        <v/>
      </c>
      <c r="Y167" s="80">
        <f t="shared" si="248"/>
        <v>1834718.475990002</v>
      </c>
      <c r="Z167" s="80">
        <f t="shared" si="275"/>
        <v>1834718.475990002</v>
      </c>
      <c r="AA167" s="566">
        <f t="shared" si="276"/>
        <v>2106106.0507996893</v>
      </c>
      <c r="AB167" s="566">
        <f t="shared" si="277"/>
        <v>1908028.1347386441</v>
      </c>
      <c r="AC167" s="567">
        <f t="shared" si="292"/>
        <v>1.1038128906249998</v>
      </c>
      <c r="AD167" s="568" t="str">
        <f t="shared" si="278"/>
        <v>2019</v>
      </c>
      <c r="AE167" s="569">
        <v>43396</v>
      </c>
      <c r="AF167" s="568" t="s">
        <v>3152</v>
      </c>
      <c r="AG167" s="569"/>
      <c r="AH167" s="566">
        <f t="shared" si="297"/>
        <v>1861490.863159653</v>
      </c>
      <c r="AI167" s="80">
        <f t="shared" si="279"/>
        <v>296275.19754431408</v>
      </c>
      <c r="AJ167" s="571" t="s">
        <v>3035</v>
      </c>
      <c r="AK167" s="875">
        <f t="shared" si="289"/>
        <v>449800.00000000058</v>
      </c>
      <c r="AL167" s="28">
        <f t="shared" si="298"/>
        <v>0</v>
      </c>
      <c r="AM167" s="28">
        <f t="shared" si="298"/>
        <v>0</v>
      </c>
      <c r="AN167" s="28">
        <f t="shared" si="298"/>
        <v>0</v>
      </c>
      <c r="AO167" s="28">
        <f t="shared" si="298"/>
        <v>1</v>
      </c>
      <c r="AP167" s="28">
        <f t="shared" si="298"/>
        <v>0</v>
      </c>
      <c r="AQ167" s="28">
        <f t="shared" si="298"/>
        <v>0</v>
      </c>
      <c r="AR167" s="28">
        <f t="shared" si="298"/>
        <v>0</v>
      </c>
      <c r="AS167" s="28">
        <f t="shared" si="298"/>
        <v>0</v>
      </c>
      <c r="AT167" s="28">
        <f t="shared" si="298"/>
        <v>0</v>
      </c>
      <c r="AU167" s="28">
        <f t="shared" si="298"/>
        <v>0</v>
      </c>
      <c r="AV167" s="28">
        <f t="shared" si="299"/>
        <v>0</v>
      </c>
      <c r="AW167" s="28">
        <f t="shared" si="299"/>
        <v>0</v>
      </c>
      <c r="AX167" s="28">
        <f t="shared" si="299"/>
        <v>0</v>
      </c>
      <c r="AY167" s="28">
        <f t="shared" si="299"/>
        <v>0</v>
      </c>
      <c r="AZ167" s="28">
        <f t="shared" si="299"/>
        <v>0</v>
      </c>
      <c r="BA167" s="28">
        <f t="shared" si="299"/>
        <v>0</v>
      </c>
      <c r="BB167" s="28">
        <f t="shared" si="299"/>
        <v>0</v>
      </c>
      <c r="BC167" s="28">
        <f t="shared" si="299"/>
        <v>0</v>
      </c>
      <c r="BD167" s="28">
        <f t="shared" si="299"/>
        <v>0</v>
      </c>
      <c r="BE167" s="28">
        <f t="shared" si="299"/>
        <v>0</v>
      </c>
      <c r="BF167" s="27">
        <f t="shared" si="300"/>
        <v>1</v>
      </c>
      <c r="BG167" s="520">
        <f t="shared" si="296"/>
        <v>1.0046190746045656</v>
      </c>
      <c r="BH167" s="520">
        <f t="shared" si="282"/>
        <v>1.0088268933348963</v>
      </c>
      <c r="BI167" s="520">
        <f t="shared" si="283"/>
        <v>1.0133808891912874</v>
      </c>
      <c r="BJ167" s="520">
        <f t="shared" si="284"/>
        <v>1.018641287824382</v>
      </c>
      <c r="BK167" s="520">
        <f t="shared" si="285"/>
        <v>1.0263050529092395</v>
      </c>
      <c r="BL167" s="520">
        <f t="shared" si="286"/>
        <v>1.0349254280901359</v>
      </c>
      <c r="BM167" s="520">
        <f t="shared" si="287"/>
        <v>1.0406965352376705</v>
      </c>
      <c r="BN167" s="521" t="str">
        <f t="shared" si="288"/>
        <v>Category</v>
      </c>
      <c r="BP167" s="3"/>
      <c r="BQ167" s="3">
        <f>ROUND(Q167*Q$19,2)</f>
        <v>1393943.07</v>
      </c>
    </row>
    <row r="168" spans="1:69" hidden="1" x14ac:dyDescent="0.15">
      <c r="A168" s="12" t="s">
        <v>347</v>
      </c>
      <c r="B168" s="13" t="s">
        <v>2303</v>
      </c>
      <c r="C168" s="13" t="s">
        <v>27</v>
      </c>
      <c r="D168" s="13" t="s">
        <v>55</v>
      </c>
      <c r="E168" s="13" t="s">
        <v>112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5">
        <v>0</v>
      </c>
      <c r="N168" s="670"/>
      <c r="O168" s="14"/>
      <c r="P168" s="15"/>
      <c r="Q168" s="15">
        <f>IF(ISTEXT('Incurred 2.5% cpi'!Q168),"",'Incurred 2.5% cpi'!Q168/'Incurred 2.5% cpi'!Q$17*Incurred!Q$17)</f>
        <v>12916.74</v>
      </c>
      <c r="R168" s="110">
        <f>IF(ISTEXT('Incurred 2.5% cpi'!R168),"",'Incurred 2.5% cpi'!R168/'Incurred 2.5% cpi'!R$17*Incurred!R$17*BG168)</f>
        <v>285079.79036622599</v>
      </c>
      <c r="S168" s="102">
        <f>IF(ISTEXT('Incurred 2.5% cpi'!S168),"",'Incurred 2.5% cpi'!S168/'Incurred 2.5% cpi'!S$17*Incurred!S$17*BH168)</f>
        <v>647392.74707754643</v>
      </c>
      <c r="T168" s="16">
        <f>IF(ISTEXT('Incurred 2.5% cpi'!T168),"",'Incurred 2.5% cpi'!T168/'Incurred 2.5% cpi'!T$17*Incurred!T$17*BI168)</f>
        <v>15701.252560467563</v>
      </c>
      <c r="U168" s="16" t="str">
        <f>IF(ISTEXT('Incurred 2.5% cpi'!U168),"",'Incurred 2.5% cpi'!U168/'Incurred 2.5% cpi'!U$17*Incurred!U$17*BJ168)</f>
        <v/>
      </c>
      <c r="V168" s="16" t="str">
        <f>IF(ISTEXT('Incurred 2.5% cpi'!V168),"",'Incurred 2.5% cpi'!V168/'Incurred 2.5% cpi'!V$17*Incurred!V$17*BK168)</f>
        <v/>
      </c>
      <c r="W168" s="110" t="str">
        <f>IF(ISTEXT('Incurred 2.5% cpi'!W168),"",'Incurred 2.5% cpi'!W168/'Incurred 2.5% cpi'!W$17*Incurred!W$17*BL168)</f>
        <v/>
      </c>
      <c r="X168" s="102" t="str">
        <f>IF(ISTEXT('Incurred 2.5% cpi'!X168),"",'Incurred 2.5% cpi'!X168/'Incurred 2.5% cpi'!X$17*Incurred!X$17*BM168)</f>
        <v/>
      </c>
      <c r="Y168" s="80">
        <f t="shared" si="248"/>
        <v>961090.53000423999</v>
      </c>
      <c r="Z168" s="80">
        <f t="shared" si="275"/>
        <v>961090.53000423999</v>
      </c>
      <c r="AA168" s="566">
        <f t="shared" si="276"/>
        <v>1069030.0657167037</v>
      </c>
      <c r="AB168" s="566">
        <f t="shared" si="277"/>
        <v>968488.47734637221</v>
      </c>
      <c r="AC168" s="567">
        <f t="shared" si="292"/>
        <v>1.1038128906249998</v>
      </c>
      <c r="AD168" s="568" t="str">
        <f t="shared" si="278"/>
        <v>2020</v>
      </c>
      <c r="AE168" s="569">
        <v>43600</v>
      </c>
      <c r="AF168" s="568">
        <v>2019</v>
      </c>
      <c r="AG168" s="569"/>
      <c r="AH168" s="566">
        <f t="shared" si="297"/>
        <v>944866.80716719234</v>
      </c>
      <c r="AI168" s="80">
        <f t="shared" si="279"/>
        <v>15701.252560467563</v>
      </c>
      <c r="AJ168" s="571" t="s">
        <v>3035</v>
      </c>
      <c r="AK168" s="875">
        <f t="shared" si="289"/>
        <v>242337</v>
      </c>
      <c r="AL168" s="28">
        <f t="shared" si="298"/>
        <v>0</v>
      </c>
      <c r="AM168" s="28">
        <f t="shared" si="298"/>
        <v>0</v>
      </c>
      <c r="AN168" s="28">
        <f t="shared" si="298"/>
        <v>0</v>
      </c>
      <c r="AO168" s="28">
        <f t="shared" si="298"/>
        <v>1</v>
      </c>
      <c r="AP168" s="28">
        <f t="shared" si="298"/>
        <v>0</v>
      </c>
      <c r="AQ168" s="28">
        <f t="shared" si="298"/>
        <v>0</v>
      </c>
      <c r="AR168" s="28">
        <f t="shared" si="298"/>
        <v>0</v>
      </c>
      <c r="AS168" s="28">
        <f t="shared" si="298"/>
        <v>0</v>
      </c>
      <c r="AT168" s="28">
        <f t="shared" si="298"/>
        <v>0</v>
      </c>
      <c r="AU168" s="28">
        <f t="shared" si="298"/>
        <v>0</v>
      </c>
      <c r="AV168" s="28">
        <f t="shared" si="299"/>
        <v>0</v>
      </c>
      <c r="AW168" s="28">
        <f t="shared" si="299"/>
        <v>0</v>
      </c>
      <c r="AX168" s="28">
        <f t="shared" si="299"/>
        <v>0</v>
      </c>
      <c r="AY168" s="28">
        <f t="shared" si="299"/>
        <v>0</v>
      </c>
      <c r="AZ168" s="28">
        <f t="shared" si="299"/>
        <v>0</v>
      </c>
      <c r="BA168" s="28">
        <f t="shared" si="299"/>
        <v>0</v>
      </c>
      <c r="BB168" s="28">
        <f t="shared" si="299"/>
        <v>0</v>
      </c>
      <c r="BC168" s="28">
        <f t="shared" si="299"/>
        <v>0</v>
      </c>
      <c r="BD168" s="28">
        <f t="shared" si="299"/>
        <v>0</v>
      </c>
      <c r="BE168" s="28">
        <f t="shared" si="299"/>
        <v>0</v>
      </c>
      <c r="BF168" s="27">
        <f t="shared" si="300"/>
        <v>1</v>
      </c>
      <c r="BG168" s="520">
        <f t="shared" si="296"/>
        <v>1.0046190746045656</v>
      </c>
      <c r="BH168" s="520">
        <f t="shared" si="282"/>
        <v>1.0088268933348963</v>
      </c>
      <c r="BI168" s="520">
        <f t="shared" si="283"/>
        <v>1.0133808891912874</v>
      </c>
      <c r="BJ168" s="520">
        <f t="shared" si="284"/>
        <v>1.018641287824382</v>
      </c>
      <c r="BK168" s="520">
        <f t="shared" si="285"/>
        <v>1.0263050529092395</v>
      </c>
      <c r="BL168" s="520">
        <f t="shared" si="286"/>
        <v>1.0349254280901359</v>
      </c>
      <c r="BM168" s="520">
        <f t="shared" si="287"/>
        <v>1.0406965352376705</v>
      </c>
      <c r="BN168" s="521" t="str">
        <f t="shared" si="288"/>
        <v>Category</v>
      </c>
      <c r="BP168" s="3"/>
    </row>
    <row r="169" spans="1:69" hidden="1" x14ac:dyDescent="0.15">
      <c r="A169" s="12" t="s">
        <v>348</v>
      </c>
      <c r="B169" s="13" t="s">
        <v>349</v>
      </c>
      <c r="C169" s="13" t="s">
        <v>27</v>
      </c>
      <c r="D169" s="13" t="s">
        <v>40</v>
      </c>
      <c r="E169" s="13" t="s">
        <v>29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5">
        <v>0</v>
      </c>
      <c r="N169" s="670"/>
      <c r="O169" s="14"/>
      <c r="P169" s="15"/>
      <c r="Q169" s="15">
        <f>IF(ISTEXT('Incurred 2.5% cpi'!Q169),"",'Incurred 2.5% cpi'!Q169/'Incurred 2.5% cpi'!Q$17*Incurred!Q$17)</f>
        <v>89704.41</v>
      </c>
      <c r="R169" s="110">
        <f>IF(ISTEXT('Incurred 2.5% cpi'!R169),"",'Incurred 2.5% cpi'!R169/'Incurred 2.5% cpi'!R$17*Incurred!R$17*BG169)</f>
        <v>441249.85214483528</v>
      </c>
      <c r="S169" s="102">
        <f>IF(ISTEXT('Incurred 2.5% cpi'!S169),"",'Incurred 2.5% cpi'!S169/'Incurred 2.5% cpi'!S$17*Incurred!S$17*BH169)</f>
        <v>739217.57104225911</v>
      </c>
      <c r="T169" s="16" t="str">
        <f>IF(ISTEXT('Incurred 2.5% cpi'!T169),"",'Incurred 2.5% cpi'!T169/'Incurred 2.5% cpi'!T$17*Incurred!T$17*BI169)</f>
        <v/>
      </c>
      <c r="U169" s="16" t="str">
        <f>IF(ISTEXT('Incurred 2.5% cpi'!U169),"",'Incurred 2.5% cpi'!U169/'Incurred 2.5% cpi'!U$17*Incurred!U$17*BJ169)</f>
        <v/>
      </c>
      <c r="V169" s="16" t="str">
        <f>IF(ISTEXT('Incurred 2.5% cpi'!V169),"",'Incurred 2.5% cpi'!V169/'Incurred 2.5% cpi'!V$17*Incurred!V$17*BK169)</f>
        <v/>
      </c>
      <c r="W169" s="110" t="str">
        <f>IF(ISTEXT('Incurred 2.5% cpi'!W169),"",'Incurred 2.5% cpi'!W169/'Incurred 2.5% cpi'!W$17*Incurred!W$17*BL169)</f>
        <v/>
      </c>
      <c r="X169" s="102" t="str">
        <f>IF(ISTEXT('Incurred 2.5% cpi'!X169),"",'Incurred 2.5% cpi'!X169/'Incurred 2.5% cpi'!X$17*Incurred!X$17*BM169)</f>
        <v/>
      </c>
      <c r="Y169" s="80">
        <f t="shared" si="248"/>
        <v>1270171.8331870944</v>
      </c>
      <c r="Z169" s="80">
        <f t="shared" si="275"/>
        <v>1270171.8331870944</v>
      </c>
      <c r="AA169" s="566">
        <f t="shared" si="276"/>
        <v>1419221.204408058</v>
      </c>
      <c r="AB169" s="566">
        <f t="shared" si="277"/>
        <v>1285744.3652469651</v>
      </c>
      <c r="AC169" s="567">
        <f t="shared" si="292"/>
        <v>1.1038128906249998</v>
      </c>
      <c r="AD169" s="568" t="str">
        <f t="shared" si="278"/>
        <v>2019</v>
      </c>
      <c r="AE169" s="569">
        <v>43409</v>
      </c>
      <c r="AF169" s="568">
        <v>2019</v>
      </c>
      <c r="AG169" s="569"/>
      <c r="AH169" s="566">
        <f t="shared" si="297"/>
        <v>1254384.7465824052</v>
      </c>
      <c r="AI169" s="80">
        <f t="shared" si="279"/>
        <v>739217.57104225911</v>
      </c>
      <c r="AJ169" s="571" t="s">
        <v>3035</v>
      </c>
      <c r="AK169" s="875">
        <f t="shared" si="289"/>
        <v>210000.00000000023</v>
      </c>
      <c r="AL169" s="28">
        <f t="shared" si="298"/>
        <v>0</v>
      </c>
      <c r="AM169" s="28">
        <f t="shared" si="298"/>
        <v>0</v>
      </c>
      <c r="AN169" s="28">
        <f t="shared" si="298"/>
        <v>0</v>
      </c>
      <c r="AO169" s="28">
        <f t="shared" si="298"/>
        <v>1</v>
      </c>
      <c r="AP169" s="28">
        <f t="shared" si="298"/>
        <v>0</v>
      </c>
      <c r="AQ169" s="28">
        <f t="shared" si="298"/>
        <v>0</v>
      </c>
      <c r="AR169" s="28">
        <f t="shared" si="298"/>
        <v>0</v>
      </c>
      <c r="AS169" s="28">
        <f t="shared" si="298"/>
        <v>0</v>
      </c>
      <c r="AT169" s="28">
        <f t="shared" si="298"/>
        <v>0</v>
      </c>
      <c r="AU169" s="28">
        <f t="shared" si="298"/>
        <v>0</v>
      </c>
      <c r="AV169" s="28">
        <f t="shared" si="299"/>
        <v>0</v>
      </c>
      <c r="AW169" s="28">
        <f t="shared" si="299"/>
        <v>0</v>
      </c>
      <c r="AX169" s="28">
        <f t="shared" si="299"/>
        <v>0</v>
      </c>
      <c r="AY169" s="28">
        <f t="shared" si="299"/>
        <v>0</v>
      </c>
      <c r="AZ169" s="28">
        <f t="shared" si="299"/>
        <v>0</v>
      </c>
      <c r="BA169" s="28">
        <f t="shared" si="299"/>
        <v>0</v>
      </c>
      <c r="BB169" s="28">
        <f t="shared" si="299"/>
        <v>0</v>
      </c>
      <c r="BC169" s="28">
        <f t="shared" si="299"/>
        <v>0</v>
      </c>
      <c r="BD169" s="28">
        <f t="shared" si="299"/>
        <v>0</v>
      </c>
      <c r="BE169" s="28">
        <f t="shared" si="299"/>
        <v>0</v>
      </c>
      <c r="BF169" s="27">
        <f t="shared" si="300"/>
        <v>1</v>
      </c>
      <c r="BG169" s="520">
        <f t="shared" si="296"/>
        <v>1.0034498951996242</v>
      </c>
      <c r="BH169" s="520">
        <f t="shared" si="282"/>
        <v>1.0065926315443261</v>
      </c>
      <c r="BI169" s="520">
        <f t="shared" si="283"/>
        <v>1.0099939207178206</v>
      </c>
      <c r="BJ169" s="520">
        <f t="shared" si="284"/>
        <v>1.0139228081132494</v>
      </c>
      <c r="BK169" s="520">
        <f t="shared" si="285"/>
        <v>1.0196467222390713</v>
      </c>
      <c r="BL169" s="520">
        <f t="shared" si="286"/>
        <v>1.0260851094706045</v>
      </c>
      <c r="BM169" s="520">
        <f t="shared" si="287"/>
        <v>1.0303954349252136</v>
      </c>
      <c r="BN169" s="521" t="str">
        <f t="shared" si="288"/>
        <v>Category</v>
      </c>
      <c r="BP169" s="3"/>
    </row>
    <row r="170" spans="1:69" hidden="1" x14ac:dyDescent="0.15">
      <c r="A170" s="12" t="s">
        <v>352</v>
      </c>
      <c r="B170" s="13" t="s">
        <v>353</v>
      </c>
      <c r="C170" s="13" t="s">
        <v>27</v>
      </c>
      <c r="D170" s="13" t="s">
        <v>36</v>
      </c>
      <c r="E170" s="13" t="s">
        <v>112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5">
        <v>0</v>
      </c>
      <c r="N170" s="670"/>
      <c r="O170" s="14"/>
      <c r="P170" s="15"/>
      <c r="Q170" s="15" t="str">
        <f>IF(ISTEXT('Incurred 2.5% cpi'!Q170),"",'Incurred 2.5% cpi'!Q170/'Incurred 2.5% cpi'!Q$17*Incurred!Q$17)</f>
        <v/>
      </c>
      <c r="R170" s="110">
        <f>IF(ISTEXT('Incurred 2.5% cpi'!R170),"",'Incurred 2.5% cpi'!R170/'Incurred 2.5% cpi'!R$17*Incurred!R$17*BG170)</f>
        <v>130160.11255710668</v>
      </c>
      <c r="S170" s="102" t="str">
        <f>IF(ISTEXT('Incurred 2.5% cpi'!S170),"",'Incurred 2.5% cpi'!S170/'Incurred 2.5% cpi'!S$17*Incurred!S$17*BH170)</f>
        <v/>
      </c>
      <c r="T170" s="16" t="str">
        <f>IF(ISTEXT('Incurred 2.5% cpi'!T170),"",'Incurred 2.5% cpi'!T170/'Incurred 2.5% cpi'!T$17*Incurred!T$17*BI170)</f>
        <v/>
      </c>
      <c r="U170" s="16" t="str">
        <f>IF(ISTEXT('Incurred 2.5% cpi'!U170),"",'Incurred 2.5% cpi'!U170/'Incurred 2.5% cpi'!U$17*Incurred!U$17*BJ170)</f>
        <v/>
      </c>
      <c r="V170" s="16" t="str">
        <f>IF(ISTEXT('Incurred 2.5% cpi'!V170),"",'Incurred 2.5% cpi'!V170/'Incurred 2.5% cpi'!V$17*Incurred!V$17*BK170)</f>
        <v/>
      </c>
      <c r="W170" s="110" t="str">
        <f>IF(ISTEXT('Incurred 2.5% cpi'!W170),"",'Incurred 2.5% cpi'!W170/'Incurred 2.5% cpi'!W$17*Incurred!W$17*BL170)</f>
        <v/>
      </c>
      <c r="X170" s="102" t="str">
        <f>IF(ISTEXT('Incurred 2.5% cpi'!X170),"",'Incurred 2.5% cpi'!X170/'Incurred 2.5% cpi'!X$17*Incurred!X$17*BM170)</f>
        <v/>
      </c>
      <c r="Y170" s="80">
        <f t="shared" si="248"/>
        <v>130160.11255710668</v>
      </c>
      <c r="Z170" s="80">
        <f t="shared" si="275"/>
        <v>130160.11255710668</v>
      </c>
      <c r="AA170" s="566">
        <f t="shared" si="276"/>
        <v>147264.22033787862</v>
      </c>
      <c r="AB170" s="566">
        <f t="shared" si="277"/>
        <v>130160.11255710668</v>
      </c>
      <c r="AC170" s="567">
        <f t="shared" si="292"/>
        <v>1.1314082128906247</v>
      </c>
      <c r="AD170" s="568" t="str">
        <f t="shared" si="278"/>
        <v>2018</v>
      </c>
      <c r="AE170" s="569">
        <v>43116</v>
      </c>
      <c r="AF170" s="568">
        <v>2018</v>
      </c>
      <c r="AG170" s="569"/>
      <c r="AH170" s="566">
        <f t="shared" si="297"/>
        <v>130160.11255710668</v>
      </c>
      <c r="AI170" s="80">
        <f t="shared" si="279"/>
        <v>130160.11255710668</v>
      </c>
      <c r="AJ170" s="571" t="s">
        <v>0</v>
      </c>
      <c r="AK170" s="875">
        <f t="shared" si="289"/>
        <v>100499.99999999997</v>
      </c>
      <c r="AL170" s="28">
        <f t="shared" si="298"/>
        <v>1</v>
      </c>
      <c r="AM170" s="28">
        <f t="shared" si="298"/>
        <v>0</v>
      </c>
      <c r="AN170" s="28">
        <f t="shared" si="298"/>
        <v>0</v>
      </c>
      <c r="AO170" s="28">
        <f t="shared" si="298"/>
        <v>0</v>
      </c>
      <c r="AP170" s="28">
        <f t="shared" si="298"/>
        <v>0</v>
      </c>
      <c r="AQ170" s="28">
        <f t="shared" si="298"/>
        <v>0</v>
      </c>
      <c r="AR170" s="28">
        <f t="shared" si="298"/>
        <v>0</v>
      </c>
      <c r="AS170" s="28">
        <f t="shared" si="298"/>
        <v>0</v>
      </c>
      <c r="AT170" s="28">
        <f t="shared" si="298"/>
        <v>0</v>
      </c>
      <c r="AU170" s="28">
        <f t="shared" si="298"/>
        <v>0</v>
      </c>
      <c r="AV170" s="28">
        <f t="shared" si="299"/>
        <v>0</v>
      </c>
      <c r="AW170" s="28">
        <f t="shared" si="299"/>
        <v>0</v>
      </c>
      <c r="AX170" s="28">
        <f t="shared" si="299"/>
        <v>0</v>
      </c>
      <c r="AY170" s="28">
        <f t="shared" si="299"/>
        <v>0</v>
      </c>
      <c r="AZ170" s="28">
        <f t="shared" si="299"/>
        <v>0</v>
      </c>
      <c r="BA170" s="28">
        <f t="shared" si="299"/>
        <v>0</v>
      </c>
      <c r="BB170" s="28">
        <f t="shared" si="299"/>
        <v>0</v>
      </c>
      <c r="BC170" s="28">
        <f t="shared" si="299"/>
        <v>0</v>
      </c>
      <c r="BD170" s="28">
        <f t="shared" si="299"/>
        <v>0</v>
      </c>
      <c r="BE170" s="28">
        <f t="shared" si="299"/>
        <v>0</v>
      </c>
      <c r="BF170" s="27">
        <f t="shared" si="300"/>
        <v>1</v>
      </c>
      <c r="BG170" s="520">
        <f t="shared" si="296"/>
        <v>1.0018756098697492</v>
      </c>
      <c r="BH170" s="520">
        <f t="shared" si="282"/>
        <v>1.0035842262088148</v>
      </c>
      <c r="BI170" s="520">
        <f t="shared" si="283"/>
        <v>1.0054334103650095</v>
      </c>
      <c r="BJ170" s="520">
        <f t="shared" si="284"/>
        <v>1.007569434664183</v>
      </c>
      <c r="BK170" s="520">
        <f t="shared" si="285"/>
        <v>1.0106813639277612</v>
      </c>
      <c r="BL170" s="520">
        <f t="shared" si="286"/>
        <v>1.0141817318919957</v>
      </c>
      <c r="BM170" s="520">
        <f t="shared" si="287"/>
        <v>1.0165251332119476</v>
      </c>
      <c r="BN170" s="521" t="str">
        <f t="shared" si="288"/>
        <v>Category</v>
      </c>
      <c r="BP170" s="3"/>
    </row>
    <row r="171" spans="1:69" hidden="1" x14ac:dyDescent="0.15">
      <c r="A171" s="12" t="s">
        <v>354</v>
      </c>
      <c r="B171" s="13" t="s">
        <v>355</v>
      </c>
      <c r="C171" s="13" t="s">
        <v>27</v>
      </c>
      <c r="D171" s="13" t="s">
        <v>36</v>
      </c>
      <c r="E171" s="13" t="s">
        <v>112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5">
        <v>0</v>
      </c>
      <c r="N171" s="670"/>
      <c r="O171" s="14"/>
      <c r="P171" s="15"/>
      <c r="Q171" s="15" t="str">
        <f>IF(ISTEXT('Incurred 2.5% cpi'!Q171),"",'Incurred 2.5% cpi'!Q171/'Incurred 2.5% cpi'!Q$17*Incurred!Q$17)</f>
        <v/>
      </c>
      <c r="R171" s="110">
        <f>IF(ISTEXT('Incurred 2.5% cpi'!R171),"",'Incurred 2.5% cpi'!R171/'Incurred 2.5% cpi'!R$17*Incurred!R$17*BG171)</f>
        <v>236328.56035356494</v>
      </c>
      <c r="S171" s="102" t="str">
        <f>IF(ISTEXT('Incurred 2.5% cpi'!S171),"",'Incurred 2.5% cpi'!S171/'Incurred 2.5% cpi'!S$17*Incurred!S$17*BH171)</f>
        <v/>
      </c>
      <c r="T171" s="16" t="str">
        <f>IF(ISTEXT('Incurred 2.5% cpi'!T171),"",'Incurred 2.5% cpi'!T171/'Incurred 2.5% cpi'!T$17*Incurred!T$17*BI171)</f>
        <v/>
      </c>
      <c r="U171" s="16" t="str">
        <f>IF(ISTEXT('Incurred 2.5% cpi'!U171),"",'Incurred 2.5% cpi'!U171/'Incurred 2.5% cpi'!U$17*Incurred!U$17*BJ171)</f>
        <v/>
      </c>
      <c r="V171" s="16" t="str">
        <f>IF(ISTEXT('Incurred 2.5% cpi'!V171),"",'Incurred 2.5% cpi'!V171/'Incurred 2.5% cpi'!V$17*Incurred!V$17*BK171)</f>
        <v/>
      </c>
      <c r="W171" s="110" t="str">
        <f>IF(ISTEXT('Incurred 2.5% cpi'!W171),"",'Incurred 2.5% cpi'!W171/'Incurred 2.5% cpi'!W$17*Incurred!W$17*BL171)</f>
        <v/>
      </c>
      <c r="X171" s="102" t="str">
        <f>IF(ISTEXT('Incurred 2.5% cpi'!X171),"",'Incurred 2.5% cpi'!X171/'Incurred 2.5% cpi'!X$17*Incurred!X$17*BM171)</f>
        <v/>
      </c>
      <c r="Y171" s="80">
        <f t="shared" si="248"/>
        <v>236328.56035356494</v>
      </c>
      <c r="Z171" s="80">
        <f t="shared" si="275"/>
        <v>236328.56035356494</v>
      </c>
      <c r="AA171" s="566">
        <f t="shared" si="276"/>
        <v>267384.07412464102</v>
      </c>
      <c r="AB171" s="566">
        <f t="shared" si="277"/>
        <v>236328.56035356491</v>
      </c>
      <c r="AC171" s="567">
        <f t="shared" si="292"/>
        <v>1.1314082128906247</v>
      </c>
      <c r="AD171" s="568" t="str">
        <f t="shared" si="278"/>
        <v>2018</v>
      </c>
      <c r="AE171" s="569">
        <v>43168</v>
      </c>
      <c r="AF171" s="568">
        <v>2018</v>
      </c>
      <c r="AG171" s="569"/>
      <c r="AH171" s="566">
        <f t="shared" si="297"/>
        <v>236328.56035356494</v>
      </c>
      <c r="AI171" s="80">
        <f t="shared" si="279"/>
        <v>236328.56035356494</v>
      </c>
      <c r="AJ171" s="571" t="s">
        <v>0</v>
      </c>
      <c r="AK171" s="875">
        <f t="shared" si="289"/>
        <v>173719.99999999994</v>
      </c>
      <c r="AL171" s="28">
        <f t="shared" si="298"/>
        <v>0.30232558139534887</v>
      </c>
      <c r="AM171" s="28">
        <f t="shared" si="298"/>
        <v>0</v>
      </c>
      <c r="AN171" s="28">
        <f t="shared" si="298"/>
        <v>0</v>
      </c>
      <c r="AO171" s="28">
        <f t="shared" si="298"/>
        <v>0</v>
      </c>
      <c r="AP171" s="28">
        <f t="shared" si="298"/>
        <v>0</v>
      </c>
      <c r="AQ171" s="28">
        <f t="shared" si="298"/>
        <v>0</v>
      </c>
      <c r="AR171" s="28">
        <f t="shared" si="298"/>
        <v>0</v>
      </c>
      <c r="AS171" s="28">
        <f t="shared" si="298"/>
        <v>0.69767441860465118</v>
      </c>
      <c r="AT171" s="28">
        <f t="shared" si="298"/>
        <v>0</v>
      </c>
      <c r="AU171" s="28">
        <f t="shared" si="298"/>
        <v>0</v>
      </c>
      <c r="AV171" s="28">
        <f t="shared" si="299"/>
        <v>0</v>
      </c>
      <c r="AW171" s="28">
        <f t="shared" si="299"/>
        <v>0</v>
      </c>
      <c r="AX171" s="28">
        <f t="shared" si="299"/>
        <v>0</v>
      </c>
      <c r="AY171" s="28">
        <f t="shared" si="299"/>
        <v>0</v>
      </c>
      <c r="AZ171" s="28">
        <f t="shared" si="299"/>
        <v>0</v>
      </c>
      <c r="BA171" s="28">
        <f t="shared" si="299"/>
        <v>0</v>
      </c>
      <c r="BB171" s="28">
        <f t="shared" si="299"/>
        <v>0</v>
      </c>
      <c r="BC171" s="28">
        <f t="shared" si="299"/>
        <v>0</v>
      </c>
      <c r="BD171" s="28">
        <f t="shared" si="299"/>
        <v>0</v>
      </c>
      <c r="BE171" s="28">
        <f t="shared" si="299"/>
        <v>0</v>
      </c>
      <c r="BF171" s="27">
        <f t="shared" si="300"/>
        <v>1</v>
      </c>
      <c r="BG171" s="520">
        <f t="shared" si="296"/>
        <v>1.0018756098697492</v>
      </c>
      <c r="BH171" s="520">
        <f t="shared" si="282"/>
        <v>1.0035842262088148</v>
      </c>
      <c r="BI171" s="520">
        <f t="shared" si="283"/>
        <v>1.0054334103650095</v>
      </c>
      <c r="BJ171" s="520">
        <f t="shared" si="284"/>
        <v>1.007569434664183</v>
      </c>
      <c r="BK171" s="520">
        <f t="shared" si="285"/>
        <v>1.0106813639277612</v>
      </c>
      <c r="BL171" s="520">
        <f t="shared" si="286"/>
        <v>1.0141817318919957</v>
      </c>
      <c r="BM171" s="520">
        <f t="shared" si="287"/>
        <v>1.0165251332119476</v>
      </c>
      <c r="BN171" s="521" t="str">
        <f t="shared" si="288"/>
        <v>Category</v>
      </c>
      <c r="BP171" s="3"/>
    </row>
    <row r="172" spans="1:69" hidden="1" x14ac:dyDescent="0.15">
      <c r="A172" s="12" t="s">
        <v>356</v>
      </c>
      <c r="B172" s="13" t="s">
        <v>357</v>
      </c>
      <c r="C172" s="13" t="s">
        <v>27</v>
      </c>
      <c r="D172" s="13" t="s">
        <v>36</v>
      </c>
      <c r="E172" s="13" t="s">
        <v>112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5">
        <v>0</v>
      </c>
      <c r="N172" s="670"/>
      <c r="O172" s="14"/>
      <c r="P172" s="15"/>
      <c r="Q172" s="15" t="str">
        <f>IF(ISTEXT('Incurred 2.5% cpi'!Q172),"",'Incurred 2.5% cpi'!Q172/'Incurred 2.5% cpi'!Q$17*Incurred!Q$17)</f>
        <v/>
      </c>
      <c r="R172" s="110">
        <f>IF(ISTEXT('Incurred 2.5% cpi'!R172),"",'Incurred 2.5% cpi'!R172/'Incurred 2.5% cpi'!R$17*Incurred!R$17*BG172)</f>
        <v>145271.37232450381</v>
      </c>
      <c r="S172" s="102" t="str">
        <f>IF(ISTEXT('Incurred 2.5% cpi'!S172),"",'Incurred 2.5% cpi'!S172/'Incurred 2.5% cpi'!S$17*Incurred!S$17*BH172)</f>
        <v/>
      </c>
      <c r="T172" s="16" t="str">
        <f>IF(ISTEXT('Incurred 2.5% cpi'!T172),"",'Incurred 2.5% cpi'!T172/'Incurred 2.5% cpi'!T$17*Incurred!T$17*BI172)</f>
        <v/>
      </c>
      <c r="U172" s="16" t="str">
        <f>IF(ISTEXT('Incurred 2.5% cpi'!U172),"",'Incurred 2.5% cpi'!U172/'Incurred 2.5% cpi'!U$17*Incurred!U$17*BJ172)</f>
        <v/>
      </c>
      <c r="V172" s="16" t="str">
        <f>IF(ISTEXT('Incurred 2.5% cpi'!V172),"",'Incurred 2.5% cpi'!V172/'Incurred 2.5% cpi'!V$17*Incurred!V$17*BK172)</f>
        <v/>
      </c>
      <c r="W172" s="110" t="str">
        <f>IF(ISTEXT('Incurred 2.5% cpi'!W172),"",'Incurred 2.5% cpi'!W172/'Incurred 2.5% cpi'!W$17*Incurred!W$17*BL172)</f>
        <v/>
      </c>
      <c r="X172" s="102" t="str">
        <f>IF(ISTEXT('Incurred 2.5% cpi'!X172),"",'Incurred 2.5% cpi'!X172/'Incurred 2.5% cpi'!X$17*Incurred!X$17*BM172)</f>
        <v/>
      </c>
      <c r="Y172" s="80">
        <f t="shared" si="248"/>
        <v>145271.37232450381</v>
      </c>
      <c r="Z172" s="80">
        <f t="shared" si="275"/>
        <v>145271.37232450381</v>
      </c>
      <c r="AA172" s="566">
        <f t="shared" si="276"/>
        <v>164361.22374583542</v>
      </c>
      <c r="AB172" s="566">
        <f t="shared" si="277"/>
        <v>145271.37232450381</v>
      </c>
      <c r="AC172" s="567">
        <f t="shared" si="292"/>
        <v>1.1314082128906247</v>
      </c>
      <c r="AD172" s="568" t="str">
        <f t="shared" si="278"/>
        <v>2018</v>
      </c>
      <c r="AE172" s="569">
        <v>43116</v>
      </c>
      <c r="AF172" s="568">
        <v>2018</v>
      </c>
      <c r="AG172" s="569"/>
      <c r="AH172" s="566">
        <f t="shared" si="297"/>
        <v>145271.37232450381</v>
      </c>
      <c r="AI172" s="80">
        <f t="shared" si="279"/>
        <v>145271.37232450381</v>
      </c>
      <c r="AJ172" s="571" t="s">
        <v>0</v>
      </c>
      <c r="AK172" s="875">
        <f t="shared" si="289"/>
        <v>106639.99999999997</v>
      </c>
      <c r="AL172" s="28">
        <f t="shared" si="298"/>
        <v>0.65116279069767447</v>
      </c>
      <c r="AM172" s="28">
        <f t="shared" si="298"/>
        <v>0</v>
      </c>
      <c r="AN172" s="28">
        <f t="shared" si="298"/>
        <v>0</v>
      </c>
      <c r="AO172" s="28">
        <f t="shared" si="298"/>
        <v>0</v>
      </c>
      <c r="AP172" s="28">
        <f t="shared" si="298"/>
        <v>0</v>
      </c>
      <c r="AQ172" s="28">
        <f t="shared" si="298"/>
        <v>0</v>
      </c>
      <c r="AR172" s="28">
        <f t="shared" si="298"/>
        <v>0</v>
      </c>
      <c r="AS172" s="28">
        <f t="shared" si="298"/>
        <v>0.34883720930232559</v>
      </c>
      <c r="AT172" s="28">
        <f t="shared" si="298"/>
        <v>0</v>
      </c>
      <c r="AU172" s="28">
        <f t="shared" si="298"/>
        <v>0</v>
      </c>
      <c r="AV172" s="28">
        <f t="shared" si="299"/>
        <v>0</v>
      </c>
      <c r="AW172" s="28">
        <f t="shared" si="299"/>
        <v>0</v>
      </c>
      <c r="AX172" s="28">
        <f t="shared" si="299"/>
        <v>0</v>
      </c>
      <c r="AY172" s="28">
        <f t="shared" si="299"/>
        <v>0</v>
      </c>
      <c r="AZ172" s="28">
        <f t="shared" si="299"/>
        <v>0</v>
      </c>
      <c r="BA172" s="28">
        <f t="shared" si="299"/>
        <v>0</v>
      </c>
      <c r="BB172" s="28">
        <f t="shared" si="299"/>
        <v>0</v>
      </c>
      <c r="BC172" s="28">
        <f t="shared" si="299"/>
        <v>0</v>
      </c>
      <c r="BD172" s="28">
        <f t="shared" si="299"/>
        <v>0</v>
      </c>
      <c r="BE172" s="28">
        <f t="shared" si="299"/>
        <v>0</v>
      </c>
      <c r="BF172" s="27">
        <f t="shared" si="300"/>
        <v>1</v>
      </c>
      <c r="BG172" s="520">
        <f t="shared" si="296"/>
        <v>1.0018756098697492</v>
      </c>
      <c r="BH172" s="520">
        <f t="shared" si="282"/>
        <v>1.0035842262088148</v>
      </c>
      <c r="BI172" s="520">
        <f t="shared" si="283"/>
        <v>1.0054334103650095</v>
      </c>
      <c r="BJ172" s="520">
        <f t="shared" si="284"/>
        <v>1.007569434664183</v>
      </c>
      <c r="BK172" s="520">
        <f t="shared" si="285"/>
        <v>1.0106813639277612</v>
      </c>
      <c r="BL172" s="520">
        <f t="shared" si="286"/>
        <v>1.0141817318919957</v>
      </c>
      <c r="BM172" s="520">
        <f t="shared" si="287"/>
        <v>1.0165251332119476</v>
      </c>
      <c r="BN172" s="521" t="str">
        <f t="shared" si="288"/>
        <v>Category</v>
      </c>
      <c r="BP172" s="3"/>
    </row>
    <row r="173" spans="1:69" hidden="1" x14ac:dyDescent="0.15">
      <c r="A173" s="511" t="s">
        <v>358</v>
      </c>
      <c r="B173" s="512" t="s">
        <v>359</v>
      </c>
      <c r="C173" s="512" t="s">
        <v>27</v>
      </c>
      <c r="D173" s="512" t="s">
        <v>40</v>
      </c>
      <c r="E173" s="512" t="s">
        <v>29</v>
      </c>
      <c r="F173" s="518">
        <v>0</v>
      </c>
      <c r="G173" s="518">
        <v>0</v>
      </c>
      <c r="H173" s="518">
        <v>0</v>
      </c>
      <c r="I173" s="518">
        <v>0</v>
      </c>
      <c r="J173" s="518">
        <v>0</v>
      </c>
      <c r="K173" s="518">
        <v>0</v>
      </c>
      <c r="L173" s="518">
        <v>0</v>
      </c>
      <c r="M173" s="513">
        <v>0</v>
      </c>
      <c r="N173" s="671">
        <v>1609920.14</v>
      </c>
      <c r="O173" s="518">
        <v>9232886.5999999996</v>
      </c>
      <c r="P173" s="513">
        <v>14013854.380000001</v>
      </c>
      <c r="Q173" s="513" t="str">
        <f>IF(ISTEXT('Incurred 2.5% cpi'!Q173),"",'Incurred 2.5% cpi'!Q173/'Incurred 2.5% cpi'!Q$17*Incurred!Q$17)</f>
        <v/>
      </c>
      <c r="R173" s="514">
        <f>IF(ISTEXT('Incurred 2.5% cpi'!R173),"",'Incurred 2.5% cpi'!R173/'Incurred 2.5% cpi'!R$17*Incurred!R$17*BG173)</f>
        <v>6255011.8354966352</v>
      </c>
      <c r="S173" s="515" t="str">
        <f>IF(ISTEXT('Incurred 2.5% cpi'!S173),"",'Incurred 2.5% cpi'!S173/'Incurred 2.5% cpi'!S$17*Incurred!S$17*BH173)</f>
        <v/>
      </c>
      <c r="T173" s="513" t="str">
        <f>IF(ISTEXT('Incurred 2.5% cpi'!T173),"",'Incurred 2.5% cpi'!T173/'Incurred 2.5% cpi'!T$17*Incurred!T$17*BI173)</f>
        <v/>
      </c>
      <c r="U173" s="513" t="str">
        <f>IF(ISTEXT('Incurred 2.5% cpi'!U173),"",'Incurred 2.5% cpi'!U173/'Incurred 2.5% cpi'!U$17*Incurred!U$17*BJ173)</f>
        <v/>
      </c>
      <c r="V173" s="513" t="str">
        <f>IF(ISTEXT('Incurred 2.5% cpi'!V173),"",'Incurred 2.5% cpi'!V173/'Incurred 2.5% cpi'!V$17*Incurred!V$17*BK173)</f>
        <v/>
      </c>
      <c r="W173" s="514" t="str">
        <f>IF(ISTEXT('Incurred 2.5% cpi'!W173),"",'Incurred 2.5% cpi'!W173/'Incurred 2.5% cpi'!W$17*Incurred!W$17*BL173)</f>
        <v/>
      </c>
      <c r="X173" s="515" t="str">
        <f>IF(ISTEXT('Incurred 2.5% cpi'!X173),"",'Incurred 2.5% cpi'!X173/'Incurred 2.5% cpi'!X$17*Incurred!X$17*BM173)</f>
        <v/>
      </c>
      <c r="Y173" s="80">
        <f t="shared" si="248"/>
        <v>31111672.955496635</v>
      </c>
      <c r="Z173" s="80">
        <f t="shared" si="275"/>
        <v>31111672.955496635</v>
      </c>
      <c r="AA173" s="566">
        <f t="shared" si="276"/>
        <v>36709826.70594155</v>
      </c>
      <c r="AB173" s="566">
        <f t="shared" si="277"/>
        <v>32446137.731448799</v>
      </c>
      <c r="AC173" s="567">
        <f t="shared" si="292"/>
        <v>1.1314082128906247</v>
      </c>
      <c r="AD173" s="568" t="str">
        <f t="shared" si="278"/>
        <v>2018</v>
      </c>
      <c r="AE173" s="569">
        <v>43174</v>
      </c>
      <c r="AF173" s="568">
        <v>2018</v>
      </c>
      <c r="AG173" s="569"/>
      <c r="AH173" s="566">
        <f t="shared" ref="AH173:AH195" si="301">IF(ROUND(Y173,0)=0,0,SUMPRODUCT($F$19:$W$19,F173:W173))</f>
        <v>32446137.731448799</v>
      </c>
      <c r="AI173" s="80">
        <f t="shared" si="279"/>
        <v>6255011.8354966352</v>
      </c>
      <c r="AJ173" s="571" t="s">
        <v>3036</v>
      </c>
      <c r="AK173" s="875">
        <f t="shared" si="289"/>
        <v>49095474.99999994</v>
      </c>
      <c r="AL173" s="28">
        <f t="shared" ref="AL173:BE173" si="302">IF($AK173=0,VLOOKUP(MID($A173,4,5),ProjectSplits,AL$23,FALSE),IF(ISNA(VLOOKUP($A173,Estimates,AL$22,FALSE)),VLOOKUP(MID($A173,4,5),ProjectSplits,AL$23,FALSE),VLOOKUP($A173,Estimates,AL$22,FALSE)))</f>
        <v>0</v>
      </c>
      <c r="AM173" s="28">
        <f t="shared" si="302"/>
        <v>0</v>
      </c>
      <c r="AN173" s="28">
        <f t="shared" si="302"/>
        <v>0</v>
      </c>
      <c r="AO173" s="28">
        <f t="shared" si="302"/>
        <v>0</v>
      </c>
      <c r="AP173" s="28">
        <f t="shared" si="302"/>
        <v>0</v>
      </c>
      <c r="AQ173" s="28">
        <f t="shared" si="302"/>
        <v>0</v>
      </c>
      <c r="AR173" s="28">
        <f t="shared" si="302"/>
        <v>0</v>
      </c>
      <c r="AS173" s="28">
        <f t="shared" si="302"/>
        <v>0</v>
      </c>
      <c r="AT173" s="28">
        <f t="shared" si="302"/>
        <v>0</v>
      </c>
      <c r="AU173" s="28">
        <f t="shared" si="302"/>
        <v>1</v>
      </c>
      <c r="AV173" s="28">
        <f t="shared" si="302"/>
        <v>0</v>
      </c>
      <c r="AW173" s="28">
        <f t="shared" si="302"/>
        <v>0</v>
      </c>
      <c r="AX173" s="28">
        <f t="shared" si="302"/>
        <v>0</v>
      </c>
      <c r="AY173" s="28">
        <f t="shared" si="302"/>
        <v>0</v>
      </c>
      <c r="AZ173" s="28">
        <f t="shared" si="302"/>
        <v>0</v>
      </c>
      <c r="BA173" s="28">
        <f t="shared" si="302"/>
        <v>0</v>
      </c>
      <c r="BB173" s="28">
        <f t="shared" si="302"/>
        <v>0</v>
      </c>
      <c r="BC173" s="28">
        <f t="shared" si="302"/>
        <v>0</v>
      </c>
      <c r="BD173" s="28">
        <f t="shared" si="302"/>
        <v>0</v>
      </c>
      <c r="BE173" s="28">
        <f t="shared" si="302"/>
        <v>0</v>
      </c>
      <c r="BF173" s="27">
        <f>SUM(AL173:BD173)</f>
        <v>1</v>
      </c>
      <c r="BG173" s="520">
        <f t="shared" si="296"/>
        <v>1.0034498951996242</v>
      </c>
      <c r="BH173" s="520">
        <f t="shared" si="282"/>
        <v>1.0065926315443261</v>
      </c>
      <c r="BI173" s="520">
        <f t="shared" si="283"/>
        <v>1.0099939207178206</v>
      </c>
      <c r="BJ173" s="520">
        <f t="shared" si="284"/>
        <v>1.0139228081132494</v>
      </c>
      <c r="BK173" s="520">
        <f t="shared" si="285"/>
        <v>1.0196467222390713</v>
      </c>
      <c r="BL173" s="520">
        <f t="shared" si="286"/>
        <v>1.0260851094706045</v>
      </c>
      <c r="BM173" s="520">
        <f t="shared" si="287"/>
        <v>1.0303954349252136</v>
      </c>
      <c r="BN173" s="521" t="str">
        <f t="shared" si="288"/>
        <v>Category</v>
      </c>
      <c r="BP173" s="3"/>
    </row>
    <row r="174" spans="1:69" hidden="1" x14ac:dyDescent="0.15">
      <c r="A174" s="12" t="s">
        <v>360</v>
      </c>
      <c r="B174" s="13" t="s">
        <v>361</v>
      </c>
      <c r="C174" s="13" t="s">
        <v>27</v>
      </c>
      <c r="D174" s="13" t="s">
        <v>60</v>
      </c>
      <c r="E174" s="13" t="s">
        <v>112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5">
        <v>0</v>
      </c>
      <c r="N174" s="670"/>
      <c r="O174" s="14"/>
      <c r="P174" s="15"/>
      <c r="Q174" s="15" t="str">
        <f>IF(ISTEXT('Incurred 2.5% cpi'!Q174),"",'Incurred 2.5% cpi'!Q174/'Incurred 2.5% cpi'!Q$17*Incurred!Q$17)</f>
        <v/>
      </c>
      <c r="R174" s="110">
        <f>IF(ISTEXT('Incurred 2.5% cpi'!R174),"",'Incurred 2.5% cpi'!R174/'Incurred 2.5% cpi'!R$17*Incurred!R$17*BG174)</f>
        <v>449292.65061235166</v>
      </c>
      <c r="S174" s="102" t="str">
        <f>IF(ISTEXT('Incurred 2.5% cpi'!S174),"",'Incurred 2.5% cpi'!S174/'Incurred 2.5% cpi'!S$17*Incurred!S$17*BH174)</f>
        <v/>
      </c>
      <c r="T174" s="16" t="str">
        <f>IF(ISTEXT('Incurred 2.5% cpi'!T174),"",'Incurred 2.5% cpi'!T174/'Incurred 2.5% cpi'!T$17*Incurred!T$17*BI174)</f>
        <v/>
      </c>
      <c r="U174" s="16" t="str">
        <f>IF(ISTEXT('Incurred 2.5% cpi'!U174),"",'Incurred 2.5% cpi'!U174/'Incurred 2.5% cpi'!U$17*Incurred!U$17*BJ174)</f>
        <v/>
      </c>
      <c r="V174" s="16" t="str">
        <f>IF(ISTEXT('Incurred 2.5% cpi'!V174),"",'Incurred 2.5% cpi'!V174/'Incurred 2.5% cpi'!V$17*Incurred!V$17*BK174)</f>
        <v/>
      </c>
      <c r="W174" s="110" t="str">
        <f>IF(ISTEXT('Incurred 2.5% cpi'!W174),"",'Incurred 2.5% cpi'!W174/'Incurred 2.5% cpi'!W$17*Incurred!W$17*BL174)</f>
        <v/>
      </c>
      <c r="X174" s="102" t="str">
        <f>IF(ISTEXT('Incurred 2.5% cpi'!X174),"",'Incurred 2.5% cpi'!X174/'Incurred 2.5% cpi'!X$17*Incurred!X$17*BM174)</f>
        <v/>
      </c>
      <c r="Y174" s="80">
        <f t="shared" si="248"/>
        <v>449292.65061235166</v>
      </c>
      <c r="Z174" s="80">
        <f t="shared" si="275"/>
        <v>449292.65061235166</v>
      </c>
      <c r="AA174" s="566">
        <f t="shared" si="276"/>
        <v>508333.3948942126</v>
      </c>
      <c r="AB174" s="566">
        <f t="shared" si="277"/>
        <v>449292.65061235166</v>
      </c>
      <c r="AC174" s="567">
        <f t="shared" si="292"/>
        <v>1.1314082128906247</v>
      </c>
      <c r="AD174" s="568" t="str">
        <f t="shared" si="278"/>
        <v>2018</v>
      </c>
      <c r="AE174" s="569">
        <v>43210</v>
      </c>
      <c r="AF174" s="568">
        <v>2018</v>
      </c>
      <c r="AG174" s="569"/>
      <c r="AH174" s="566">
        <f t="shared" si="301"/>
        <v>449292.65061235166</v>
      </c>
      <c r="AI174" s="80">
        <f t="shared" si="279"/>
        <v>449292.65061235166</v>
      </c>
      <c r="AJ174" s="571" t="s">
        <v>0</v>
      </c>
      <c r="AK174" s="875">
        <f t="shared" si="289"/>
        <v>1962985.0000000005</v>
      </c>
      <c r="AL174" s="28">
        <f t="shared" ref="AL174:AU175" si="303">IF($AK174=0,VLOOKUP(MID($A174,4,5),ProjectSplits,AL$23,FALSE),IF(ISNA(VLOOKUP($A174,Estimates,AL$22,FALSE)),VLOOKUP(MID($A174,4,5),ProjectSplits,AL$23,FALSE),VLOOKUP($A174,Estimates,AL$22,FALSE)))</f>
        <v>0</v>
      </c>
      <c r="AM174" s="28">
        <f t="shared" si="303"/>
        <v>0</v>
      </c>
      <c r="AN174" s="28">
        <f t="shared" si="303"/>
        <v>0</v>
      </c>
      <c r="AO174" s="28">
        <f t="shared" si="303"/>
        <v>0</v>
      </c>
      <c r="AP174" s="28">
        <f t="shared" si="303"/>
        <v>0</v>
      </c>
      <c r="AQ174" s="28">
        <f t="shared" si="303"/>
        <v>0</v>
      </c>
      <c r="AR174" s="28">
        <f t="shared" si="303"/>
        <v>0</v>
      </c>
      <c r="AS174" s="28">
        <f t="shared" si="303"/>
        <v>0</v>
      </c>
      <c r="AT174" s="28">
        <f t="shared" si="303"/>
        <v>0</v>
      </c>
      <c r="AU174" s="28">
        <f t="shared" si="303"/>
        <v>1</v>
      </c>
      <c r="AV174" s="28">
        <f t="shared" ref="AV174:BE175" si="304">IF($AK174=0,VLOOKUP(MID($A174,4,5),ProjectSplits,AV$23,FALSE),IF(ISNA(VLOOKUP($A174,Estimates,AV$22,FALSE)),VLOOKUP(MID($A174,4,5),ProjectSplits,AV$23,FALSE),VLOOKUP($A174,Estimates,AV$22,FALSE)))</f>
        <v>0</v>
      </c>
      <c r="AW174" s="28">
        <f t="shared" si="304"/>
        <v>0</v>
      </c>
      <c r="AX174" s="28">
        <f t="shared" si="304"/>
        <v>0</v>
      </c>
      <c r="AY174" s="28">
        <f t="shared" si="304"/>
        <v>0</v>
      </c>
      <c r="AZ174" s="28">
        <f t="shared" si="304"/>
        <v>0</v>
      </c>
      <c r="BA174" s="28">
        <f t="shared" si="304"/>
        <v>0</v>
      </c>
      <c r="BB174" s="28">
        <f t="shared" si="304"/>
        <v>0</v>
      </c>
      <c r="BC174" s="28">
        <f t="shared" si="304"/>
        <v>0</v>
      </c>
      <c r="BD174" s="28">
        <f t="shared" si="304"/>
        <v>0</v>
      </c>
      <c r="BE174" s="28">
        <f t="shared" si="304"/>
        <v>0</v>
      </c>
      <c r="BF174" s="27">
        <f t="shared" ref="BF174" si="305">SUM(AL174:BD174)</f>
        <v>1</v>
      </c>
      <c r="BG174" s="520">
        <f t="shared" si="296"/>
        <v>1.0002847743844534</v>
      </c>
      <c r="BH174" s="520">
        <f t="shared" si="282"/>
        <v>1.0005441940932489</v>
      </c>
      <c r="BI174" s="520">
        <f t="shared" si="283"/>
        <v>1.0008249562540341</v>
      </c>
      <c r="BJ174" s="520">
        <f t="shared" si="284"/>
        <v>1.0011492694359945</v>
      </c>
      <c r="BK174" s="520">
        <f t="shared" si="285"/>
        <v>1.0016217545485921</v>
      </c>
      <c r="BL174" s="520">
        <f t="shared" si="286"/>
        <v>1.0021532164205156</v>
      </c>
      <c r="BM174" s="520">
        <f t="shared" si="287"/>
        <v>1.0025090157150169</v>
      </c>
      <c r="BN174" s="521" t="str">
        <f t="shared" si="288"/>
        <v>Category</v>
      </c>
      <c r="BP174" s="3"/>
    </row>
    <row r="175" spans="1:69" hidden="1" x14ac:dyDescent="0.15">
      <c r="A175" s="12" t="s">
        <v>362</v>
      </c>
      <c r="B175" s="13" t="s">
        <v>363</v>
      </c>
      <c r="C175" s="13" t="s">
        <v>27</v>
      </c>
      <c r="D175" s="13" t="s">
        <v>40</v>
      </c>
      <c r="E175" s="13" t="s">
        <v>29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5">
        <v>0</v>
      </c>
      <c r="N175" s="670"/>
      <c r="O175" s="14">
        <v>1049455.56</v>
      </c>
      <c r="P175" s="15">
        <v>1220165.2</v>
      </c>
      <c r="Q175" s="15">
        <f>IF(ISTEXT('Incurred 2.5% cpi'!Q175),"",'Incurred 2.5% cpi'!Q175/'Incurred 2.5% cpi'!Q$17*Incurred!Q$17)</f>
        <v>782146.92</v>
      </c>
      <c r="R175" s="110">
        <f>IF(ISTEXT('Incurred 2.5% cpi'!R175),"",'Incurred 2.5% cpi'!R175/'Incurred 2.5% cpi'!R$17*Incurred!R$17*BG175)</f>
        <v>68093.788784280026</v>
      </c>
      <c r="S175" s="102" t="str">
        <f>IF(ISTEXT('Incurred 2.5% cpi'!S175),"",'Incurred 2.5% cpi'!S175/'Incurred 2.5% cpi'!S$17*Incurred!S$17*BH175)</f>
        <v/>
      </c>
      <c r="T175" s="16" t="str">
        <f>IF(ISTEXT('Incurred 2.5% cpi'!T175),"",'Incurred 2.5% cpi'!T175/'Incurred 2.5% cpi'!T$17*Incurred!T$17*BI175)</f>
        <v/>
      </c>
      <c r="U175" s="16" t="str">
        <f>IF(ISTEXT('Incurred 2.5% cpi'!U175),"",'Incurred 2.5% cpi'!U175/'Incurred 2.5% cpi'!U$17*Incurred!U$17*BJ175)</f>
        <v/>
      </c>
      <c r="V175" s="16" t="str">
        <f>IF(ISTEXT('Incurred 2.5% cpi'!V175),"",'Incurred 2.5% cpi'!V175/'Incurred 2.5% cpi'!V$17*Incurred!V$17*BK175)</f>
        <v/>
      </c>
      <c r="W175" s="110" t="str">
        <f>IF(ISTEXT('Incurred 2.5% cpi'!W175),"",'Incurred 2.5% cpi'!W175/'Incurred 2.5% cpi'!W$17*Incurred!W$17*BL175)</f>
        <v/>
      </c>
      <c r="X175" s="102" t="str">
        <f>IF(ISTEXT('Incurred 2.5% cpi'!X175),"",'Incurred 2.5% cpi'!X175/'Incurred 2.5% cpi'!X$17*Incurred!X$17*BM175)</f>
        <v/>
      </c>
      <c r="Y175" s="80">
        <f t="shared" si="248"/>
        <v>3119861.4687842797</v>
      </c>
      <c r="Z175" s="80">
        <f t="shared" si="275"/>
        <v>3119861.4687842797</v>
      </c>
      <c r="AA175" s="566">
        <f t="shared" si="276"/>
        <v>3688399.2987042484</v>
      </c>
      <c r="AB175" s="566">
        <f t="shared" si="277"/>
        <v>3260007.5345756863</v>
      </c>
      <c r="AC175" s="567">
        <f t="shared" si="292"/>
        <v>1.1314082128906247</v>
      </c>
      <c r="AD175" s="568" t="str">
        <f t="shared" si="278"/>
        <v>2018</v>
      </c>
      <c r="AE175" s="569">
        <v>42825</v>
      </c>
      <c r="AF175" s="568">
        <v>2018</v>
      </c>
      <c r="AG175" s="569"/>
      <c r="AH175" s="566">
        <f t="shared" si="301"/>
        <v>3260007.5345756859</v>
      </c>
      <c r="AI175" s="80">
        <f t="shared" si="279"/>
        <v>68093.788784280026</v>
      </c>
      <c r="AJ175" s="571" t="s">
        <v>0</v>
      </c>
      <c r="AK175" s="875">
        <f t="shared" si="280"/>
        <v>0</v>
      </c>
      <c r="AL175" s="28">
        <f t="shared" si="303"/>
        <v>0</v>
      </c>
      <c r="AM175" s="28">
        <f t="shared" si="303"/>
        <v>1.2598210977913676E-2</v>
      </c>
      <c r="AN175" s="28">
        <f t="shared" si="303"/>
        <v>4.0410234138469919E-2</v>
      </c>
      <c r="AO175" s="28">
        <f t="shared" si="303"/>
        <v>1.9519967422123616E-2</v>
      </c>
      <c r="AP175" s="28">
        <f t="shared" si="303"/>
        <v>0</v>
      </c>
      <c r="AQ175" s="28">
        <f t="shared" si="303"/>
        <v>5.2750171450762124E-4</v>
      </c>
      <c r="AR175" s="28">
        <f t="shared" si="303"/>
        <v>0</v>
      </c>
      <c r="AS175" s="28">
        <f t="shared" si="303"/>
        <v>0</v>
      </c>
      <c r="AT175" s="28">
        <f t="shared" si="303"/>
        <v>0</v>
      </c>
      <c r="AU175" s="28">
        <f t="shared" si="303"/>
        <v>0.20535383112557634</v>
      </c>
      <c r="AV175" s="28">
        <f t="shared" si="304"/>
        <v>6.9132359534140365E-4</v>
      </c>
      <c r="AW175" s="28">
        <f t="shared" si="304"/>
        <v>0.10775079637737764</v>
      </c>
      <c r="AX175" s="28">
        <f t="shared" si="304"/>
        <v>8.184812382001588E-3</v>
      </c>
      <c r="AY175" s="28">
        <f t="shared" si="304"/>
        <v>0</v>
      </c>
      <c r="AZ175" s="28">
        <f t="shared" si="304"/>
        <v>0.13438161930988823</v>
      </c>
      <c r="BA175" s="28">
        <f t="shared" si="304"/>
        <v>0.29999201374783002</v>
      </c>
      <c r="BB175" s="28">
        <f t="shared" si="304"/>
        <v>1.6595559557543139E-4</v>
      </c>
      <c r="BC175" s="28">
        <f t="shared" si="304"/>
        <v>0</v>
      </c>
      <c r="BD175" s="28">
        <f t="shared" si="304"/>
        <v>0.17042373361339447</v>
      </c>
      <c r="BE175" s="28">
        <f t="shared" si="304"/>
        <v>0</v>
      </c>
      <c r="BF175" s="27">
        <f>SUM(AL175:BE175)</f>
        <v>0.99999999999999989</v>
      </c>
      <c r="BG175" s="520">
        <f t="shared" si="296"/>
        <v>1.0034498951996242</v>
      </c>
      <c r="BH175" s="520">
        <f t="shared" si="282"/>
        <v>1.0065926315443261</v>
      </c>
      <c r="BI175" s="520">
        <f t="shared" si="283"/>
        <v>1.0099939207178206</v>
      </c>
      <c r="BJ175" s="520">
        <f t="shared" si="284"/>
        <v>1.0139228081132494</v>
      </c>
      <c r="BK175" s="520">
        <f t="shared" si="285"/>
        <v>1.0196467222390713</v>
      </c>
      <c r="BL175" s="520">
        <f t="shared" si="286"/>
        <v>1.0260851094706045</v>
      </c>
      <c r="BM175" s="520">
        <f t="shared" si="287"/>
        <v>1.0303954349252136</v>
      </c>
      <c r="BN175" s="521" t="str">
        <f t="shared" si="288"/>
        <v>Category</v>
      </c>
      <c r="BP175" s="3"/>
    </row>
    <row r="176" spans="1:69" hidden="1" x14ac:dyDescent="0.15">
      <c r="A176" s="12" t="s">
        <v>364</v>
      </c>
      <c r="B176" s="13" t="s">
        <v>365</v>
      </c>
      <c r="C176" s="13" t="s">
        <v>27</v>
      </c>
      <c r="D176" s="13" t="s">
        <v>36</v>
      </c>
      <c r="E176" s="13" t="s">
        <v>112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5">
        <v>0</v>
      </c>
      <c r="N176" s="670"/>
      <c r="O176" s="14"/>
      <c r="P176" s="15"/>
      <c r="Q176" s="15" t="str">
        <f>IF(ISTEXT('Incurred 2.5% cpi'!Q176),"",'Incurred 2.5% cpi'!Q176/'Incurred 2.5% cpi'!Q$17*Incurred!Q$17)</f>
        <v/>
      </c>
      <c r="R176" s="110">
        <f>IF(ISTEXT('Incurred 2.5% cpi'!R176),"",'Incurred 2.5% cpi'!R176/'Incurred 2.5% cpi'!R$17*Incurred!R$17*BG176)</f>
        <v>220411.61225822277</v>
      </c>
      <c r="S176" s="102" t="str">
        <f>IF(ISTEXT('Incurred 2.5% cpi'!S176),"",'Incurred 2.5% cpi'!S176/'Incurred 2.5% cpi'!S$17*Incurred!S$17*BH176)</f>
        <v/>
      </c>
      <c r="T176" s="16" t="str">
        <f>IF(ISTEXT('Incurred 2.5% cpi'!T176),"",'Incurred 2.5% cpi'!T176/'Incurred 2.5% cpi'!T$17*Incurred!T$17*BI176)</f>
        <v/>
      </c>
      <c r="U176" s="16" t="str">
        <f>IF(ISTEXT('Incurred 2.5% cpi'!U176),"",'Incurred 2.5% cpi'!U176/'Incurred 2.5% cpi'!U$17*Incurred!U$17*BJ176)</f>
        <v/>
      </c>
      <c r="V176" s="16" t="str">
        <f>IF(ISTEXT('Incurred 2.5% cpi'!V176),"",'Incurred 2.5% cpi'!V176/'Incurred 2.5% cpi'!V$17*Incurred!V$17*BK176)</f>
        <v/>
      </c>
      <c r="W176" s="110" t="str">
        <f>IF(ISTEXT('Incurred 2.5% cpi'!W176),"",'Incurred 2.5% cpi'!W176/'Incurred 2.5% cpi'!W$17*Incurred!W$17*BL176)</f>
        <v/>
      </c>
      <c r="X176" s="102" t="str">
        <f>IF(ISTEXT('Incurred 2.5% cpi'!X176),"",'Incurred 2.5% cpi'!X176/'Incurred 2.5% cpi'!X$17*Incurred!X$17*BM176)</f>
        <v/>
      </c>
      <c r="Y176" s="80">
        <f t="shared" si="248"/>
        <v>220411.61225822277</v>
      </c>
      <c r="Z176" s="80">
        <f t="shared" si="275"/>
        <v>220411.61225822277</v>
      </c>
      <c r="AA176" s="566">
        <f t="shared" si="276"/>
        <v>249375.50832541712</v>
      </c>
      <c r="AB176" s="566">
        <f t="shared" si="277"/>
        <v>220411.61225822277</v>
      </c>
      <c r="AC176" s="567">
        <f t="shared" si="292"/>
        <v>1.1314082128906247</v>
      </c>
      <c r="AD176" s="568" t="str">
        <f t="shared" si="278"/>
        <v>2018</v>
      </c>
      <c r="AE176" s="569">
        <v>43112</v>
      </c>
      <c r="AF176" s="568">
        <v>2018</v>
      </c>
      <c r="AG176" s="569"/>
      <c r="AH176" s="566">
        <f t="shared" si="301"/>
        <v>220411.61225822277</v>
      </c>
      <c r="AI176" s="80">
        <f t="shared" si="279"/>
        <v>220411.61225822277</v>
      </c>
      <c r="AJ176" s="571" t="s">
        <v>0</v>
      </c>
      <c r="AK176" s="875">
        <f>IF(ISNA(VLOOKUP(LEFT($A176,8),Estimates,72,FALSE)),0,VLOOKUP(LEFT($A176,8),Estimates,72,FALSE))</f>
        <v>130559.99999999997</v>
      </c>
      <c r="AL176" s="28">
        <f t="shared" ref="AL176:AU177" si="306">IF($AK176=0,VLOOKUP(MID($A176,4,5),ProjectSplits,AL$23,FALSE),IF(ISNA(VLOOKUP($A176,Estimates,AL$22,FALSE)),VLOOKUP(MID($A176,4,5),ProjectSplits,AL$23,FALSE),VLOOKUP($A176,Estimates,AL$22,FALSE)))</f>
        <v>0</v>
      </c>
      <c r="AM176" s="28">
        <f t="shared" si="306"/>
        <v>0</v>
      </c>
      <c r="AN176" s="28">
        <f t="shared" si="306"/>
        <v>0</v>
      </c>
      <c r="AO176" s="28">
        <f t="shared" si="306"/>
        <v>0</v>
      </c>
      <c r="AP176" s="28">
        <f t="shared" si="306"/>
        <v>0</v>
      </c>
      <c r="AQ176" s="28">
        <f t="shared" si="306"/>
        <v>0</v>
      </c>
      <c r="AR176" s="28">
        <f t="shared" si="306"/>
        <v>0</v>
      </c>
      <c r="AS176" s="28">
        <f t="shared" si="306"/>
        <v>1</v>
      </c>
      <c r="AT176" s="28">
        <f t="shared" si="306"/>
        <v>0</v>
      </c>
      <c r="AU176" s="28">
        <f t="shared" si="306"/>
        <v>0</v>
      </c>
      <c r="AV176" s="28">
        <f t="shared" ref="AV176:BE177" si="307">IF($AK176=0,VLOOKUP(MID($A176,4,5),ProjectSplits,AV$23,FALSE),IF(ISNA(VLOOKUP($A176,Estimates,AV$22,FALSE)),VLOOKUP(MID($A176,4,5),ProjectSplits,AV$23,FALSE),VLOOKUP($A176,Estimates,AV$22,FALSE)))</f>
        <v>0</v>
      </c>
      <c r="AW176" s="28">
        <f t="shared" si="307"/>
        <v>0</v>
      </c>
      <c r="AX176" s="28">
        <f t="shared" si="307"/>
        <v>0</v>
      </c>
      <c r="AY176" s="28">
        <f t="shared" si="307"/>
        <v>0</v>
      </c>
      <c r="AZ176" s="28">
        <f t="shared" si="307"/>
        <v>0</v>
      </c>
      <c r="BA176" s="28">
        <f t="shared" si="307"/>
        <v>0</v>
      </c>
      <c r="BB176" s="28">
        <f t="shared" si="307"/>
        <v>0</v>
      </c>
      <c r="BC176" s="28">
        <f t="shared" si="307"/>
        <v>0</v>
      </c>
      <c r="BD176" s="28">
        <f t="shared" si="307"/>
        <v>0</v>
      </c>
      <c r="BE176" s="28">
        <f t="shared" si="307"/>
        <v>0</v>
      </c>
      <c r="BF176" s="27">
        <f t="shared" ref="BF176:BF177" si="308">SUM(AL176:BD176)</f>
        <v>1</v>
      </c>
      <c r="BG176" s="520">
        <f t="shared" si="296"/>
        <v>1.0018756098697492</v>
      </c>
      <c r="BH176" s="520">
        <f t="shared" si="282"/>
        <v>1.0035842262088148</v>
      </c>
      <c r="BI176" s="520">
        <f t="shared" si="283"/>
        <v>1.0054334103650095</v>
      </c>
      <c r="BJ176" s="520">
        <f t="shared" si="284"/>
        <v>1.007569434664183</v>
      </c>
      <c r="BK176" s="520">
        <f t="shared" si="285"/>
        <v>1.0106813639277612</v>
      </c>
      <c r="BL176" s="520">
        <f t="shared" si="286"/>
        <v>1.0141817318919957</v>
      </c>
      <c r="BM176" s="520">
        <f t="shared" si="287"/>
        <v>1.0165251332119476</v>
      </c>
      <c r="BN176" s="521" t="str">
        <f t="shared" si="288"/>
        <v>Category</v>
      </c>
      <c r="BP176" s="3"/>
    </row>
    <row r="177" spans="1:68" hidden="1" x14ac:dyDescent="0.15">
      <c r="A177" s="12" t="s">
        <v>366</v>
      </c>
      <c r="B177" s="13" t="s">
        <v>2381</v>
      </c>
      <c r="C177" s="13" t="s">
        <v>27</v>
      </c>
      <c r="D177" s="13" t="s">
        <v>55</v>
      </c>
      <c r="E177" s="13" t="s">
        <v>29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5">
        <v>0</v>
      </c>
      <c r="N177" s="670"/>
      <c r="O177" s="14"/>
      <c r="P177" s="15"/>
      <c r="Q177" s="15">
        <f>IF(ISTEXT('Incurred 2.5% cpi'!Q177),"",'Incurred 2.5% cpi'!Q177/'Incurred 2.5% cpi'!Q$17*Incurred!Q$17)</f>
        <v>278733.82</v>
      </c>
      <c r="R177" s="110">
        <f>IF(ISTEXT('Incurred 2.5% cpi'!R177),"",'Incurred 2.5% cpi'!R177/'Incurred 2.5% cpi'!R$17*Incurred!R$17*BG177)</f>
        <v>1276992.3123147134</v>
      </c>
      <c r="S177" s="102" t="str">
        <f>IF(ISTEXT('Incurred 2.5% cpi'!S177),"",'Incurred 2.5% cpi'!S177/'Incurred 2.5% cpi'!S$17*Incurred!S$17*BH177)</f>
        <v/>
      </c>
      <c r="T177" s="16" t="str">
        <f>IF(ISTEXT('Incurred 2.5% cpi'!T177),"",'Incurred 2.5% cpi'!T177/'Incurred 2.5% cpi'!T$17*Incurred!T$17*BI177)</f>
        <v/>
      </c>
      <c r="U177" s="16" t="str">
        <f>IF(ISTEXT('Incurred 2.5% cpi'!U177),"",'Incurred 2.5% cpi'!U177/'Incurred 2.5% cpi'!U$17*Incurred!U$17*BJ177)</f>
        <v/>
      </c>
      <c r="V177" s="16" t="str">
        <f>IF(ISTEXT('Incurred 2.5% cpi'!V177),"",'Incurred 2.5% cpi'!V177/'Incurred 2.5% cpi'!V$17*Incurred!V$17*BK177)</f>
        <v/>
      </c>
      <c r="W177" s="110" t="str">
        <f>IF(ISTEXT('Incurred 2.5% cpi'!W177),"",'Incurred 2.5% cpi'!W177/'Incurred 2.5% cpi'!W$17*Incurred!W$17*BL177)</f>
        <v/>
      </c>
      <c r="X177" s="102" t="str">
        <f>IF(ISTEXT('Incurred 2.5% cpi'!X177),"",'Incurred 2.5% cpi'!X177/'Incurred 2.5% cpi'!X$17*Incurred!X$17*BM177)</f>
        <v/>
      </c>
      <c r="Y177" s="80">
        <f t="shared" si="248"/>
        <v>1555726.1323147134</v>
      </c>
      <c r="Z177" s="80">
        <f t="shared" si="275"/>
        <v>1555726.1323147134</v>
      </c>
      <c r="AA177" s="566">
        <f t="shared" si="276"/>
        <v>1768045.3664383928</v>
      </c>
      <c r="AB177" s="566">
        <f t="shared" si="277"/>
        <v>1562694.4778147135</v>
      </c>
      <c r="AC177" s="567">
        <f t="shared" si="292"/>
        <v>1.1314082128906247</v>
      </c>
      <c r="AD177" s="568" t="str">
        <f t="shared" si="278"/>
        <v>2018</v>
      </c>
      <c r="AE177" s="569">
        <v>42928</v>
      </c>
      <c r="AF177" s="568">
        <v>2018</v>
      </c>
      <c r="AG177" s="569"/>
      <c r="AH177" s="566">
        <f t="shared" si="301"/>
        <v>1562694.4778147135</v>
      </c>
      <c r="AI177" s="80">
        <f t="shared" si="279"/>
        <v>1276992.3123147134</v>
      </c>
      <c r="AJ177" s="571" t="s">
        <v>0</v>
      </c>
      <c r="AK177" s="875">
        <f>IF(ISNA(VLOOKUP(LEFT($A177,8),Estimates,72,FALSE)),0,VLOOKUP(LEFT($A177,8),Estimates,72,FALSE))</f>
        <v>37400.000000000029</v>
      </c>
      <c r="AL177" s="28">
        <f t="shared" si="306"/>
        <v>0</v>
      </c>
      <c r="AM177" s="28">
        <f t="shared" si="306"/>
        <v>0</v>
      </c>
      <c r="AN177" s="28">
        <f t="shared" si="306"/>
        <v>0</v>
      </c>
      <c r="AO177" s="28">
        <f t="shared" si="306"/>
        <v>1</v>
      </c>
      <c r="AP177" s="28">
        <f t="shared" si="306"/>
        <v>0</v>
      </c>
      <c r="AQ177" s="28">
        <f t="shared" si="306"/>
        <v>0</v>
      </c>
      <c r="AR177" s="28">
        <f t="shared" si="306"/>
        <v>0</v>
      </c>
      <c r="AS177" s="28">
        <f t="shared" si="306"/>
        <v>0</v>
      </c>
      <c r="AT177" s="28">
        <f t="shared" si="306"/>
        <v>0</v>
      </c>
      <c r="AU177" s="28">
        <f t="shared" si="306"/>
        <v>0</v>
      </c>
      <c r="AV177" s="28">
        <f t="shared" si="307"/>
        <v>0</v>
      </c>
      <c r="AW177" s="28">
        <f t="shared" si="307"/>
        <v>0</v>
      </c>
      <c r="AX177" s="28">
        <f t="shared" si="307"/>
        <v>0</v>
      </c>
      <c r="AY177" s="28">
        <f t="shared" si="307"/>
        <v>0</v>
      </c>
      <c r="AZ177" s="28">
        <f t="shared" si="307"/>
        <v>0</v>
      </c>
      <c r="BA177" s="28">
        <f t="shared" si="307"/>
        <v>0</v>
      </c>
      <c r="BB177" s="28">
        <f t="shared" si="307"/>
        <v>0</v>
      </c>
      <c r="BC177" s="28">
        <f t="shared" si="307"/>
        <v>0</v>
      </c>
      <c r="BD177" s="28">
        <f t="shared" si="307"/>
        <v>0</v>
      </c>
      <c r="BE177" s="28">
        <f t="shared" si="307"/>
        <v>0</v>
      </c>
      <c r="BF177" s="27">
        <f t="shared" si="308"/>
        <v>1</v>
      </c>
      <c r="BG177" s="520">
        <f t="shared" si="296"/>
        <v>1.0046190746045656</v>
      </c>
      <c r="BH177" s="520">
        <f t="shared" si="282"/>
        <v>1.0088268933348963</v>
      </c>
      <c r="BI177" s="520">
        <f t="shared" si="283"/>
        <v>1.0133808891912874</v>
      </c>
      <c r="BJ177" s="520">
        <f t="shared" si="284"/>
        <v>1.018641287824382</v>
      </c>
      <c r="BK177" s="520">
        <f t="shared" si="285"/>
        <v>1.0263050529092395</v>
      </c>
      <c r="BL177" s="520">
        <f t="shared" si="286"/>
        <v>1.0349254280901359</v>
      </c>
      <c r="BM177" s="520">
        <f t="shared" si="287"/>
        <v>1.0406965352376705</v>
      </c>
      <c r="BN177" s="521" t="str">
        <f t="shared" si="288"/>
        <v>Category</v>
      </c>
      <c r="BP177" s="3"/>
    </row>
    <row r="178" spans="1:68" hidden="1" x14ac:dyDescent="0.15">
      <c r="A178" s="12" t="s">
        <v>368</v>
      </c>
      <c r="B178" s="13" t="s">
        <v>369</v>
      </c>
      <c r="C178" s="13" t="s">
        <v>27</v>
      </c>
      <c r="D178" s="13" t="s">
        <v>44</v>
      </c>
      <c r="E178" s="13" t="s">
        <v>45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5">
        <v>3436.96</v>
      </c>
      <c r="N178" s="670"/>
      <c r="O178" s="14"/>
      <c r="P178" s="15"/>
      <c r="Q178" s="15">
        <f>IF(ISTEXT('Incurred 2.5% cpi'!Q178),"",'Incurred 2.5% cpi'!Q178/'Incurred 2.5% cpi'!Q$17*Incurred!Q$17)</f>
        <v>-3436.96</v>
      </c>
      <c r="R178" s="110" t="str">
        <f>IF(ISTEXT('Incurred 2.5% cpi'!R178),"",'Incurred 2.5% cpi'!R178/'Incurred 2.5% cpi'!R$17*Incurred!R$17*BG178)</f>
        <v/>
      </c>
      <c r="S178" s="102" t="str">
        <f>IF(ISTEXT('Incurred 2.5% cpi'!S178),"",'Incurred 2.5% cpi'!S178/'Incurred 2.5% cpi'!S$17*Incurred!S$17*BH178)</f>
        <v/>
      </c>
      <c r="T178" s="16" t="str">
        <f>IF(ISTEXT('Incurred 2.5% cpi'!T178),"",'Incurred 2.5% cpi'!T178/'Incurred 2.5% cpi'!T$17*Incurred!T$17*BI178)</f>
        <v/>
      </c>
      <c r="U178" s="16" t="str">
        <f>IF(ISTEXT('Incurred 2.5% cpi'!U178),"",'Incurred 2.5% cpi'!U178/'Incurred 2.5% cpi'!U$17*Incurred!U$17*BJ178)</f>
        <v/>
      </c>
      <c r="V178" s="16" t="str">
        <f>IF(ISTEXT('Incurred 2.5% cpi'!V178),"",'Incurred 2.5% cpi'!V178/'Incurred 2.5% cpi'!V$17*Incurred!V$17*BK178)</f>
        <v/>
      </c>
      <c r="W178" s="110" t="str">
        <f>IF(ISTEXT('Incurred 2.5% cpi'!W178),"",'Incurred 2.5% cpi'!W178/'Incurred 2.5% cpi'!W$17*Incurred!W$17*BL178)</f>
        <v/>
      </c>
      <c r="X178" s="102">
        <f>IF(ISTEXT('Incurred 2.5% cpi'!X178),"",'Incurred 2.5% cpi'!X178/'Incurred 2.5% cpi'!X$17*Incurred!X$17*BM178)</f>
        <v>666307.44652623439</v>
      </c>
      <c r="Y178" s="80">
        <f t="shared" si="248"/>
        <v>0</v>
      </c>
      <c r="Z178" s="80">
        <f t="shared" si="275"/>
        <v>6873.92</v>
      </c>
      <c r="AA178" s="566">
        <f t="shared" si="276"/>
        <v>0</v>
      </c>
      <c r="AB178" s="566" t="str">
        <f t="shared" si="277"/>
        <v/>
      </c>
      <c r="AC178" s="567" t="str">
        <f t="shared" si="292"/>
        <v/>
      </c>
      <c r="AD178" s="568" t="str">
        <f t="shared" si="278"/>
        <v>2017</v>
      </c>
      <c r="AE178" s="569" t="s">
        <v>0</v>
      </c>
      <c r="AF178" s="568" t="s">
        <v>0</v>
      </c>
      <c r="AG178" s="569"/>
      <c r="AH178" s="566">
        <f t="shared" si="301"/>
        <v>0</v>
      </c>
      <c r="AI178" s="80">
        <f t="shared" si="279"/>
        <v>-3436.96</v>
      </c>
      <c r="AJ178" s="571" t="s">
        <v>0</v>
      </c>
      <c r="AK178" s="875">
        <f t="shared" si="280"/>
        <v>0</v>
      </c>
      <c r="AL178" s="28">
        <f t="shared" ref="AL178:BE178" si="309">IF($AK178=0,VLOOKUP(MID($A178,4,5),ProjectSplits,AL$23,FALSE),IF(ISNA(VLOOKUP($A178,Estimates,AL$22,FALSE)),VLOOKUP(MID($A178,4,5),ProjectSplits,AL$23,FALSE),VLOOKUP($A178,Estimates,AL$22,FALSE)))</f>
        <v>0</v>
      </c>
      <c r="AM178" s="28">
        <f t="shared" si="309"/>
        <v>0</v>
      </c>
      <c r="AN178" s="28">
        <f t="shared" si="309"/>
        <v>0</v>
      </c>
      <c r="AO178" s="28">
        <f t="shared" si="309"/>
        <v>0</v>
      </c>
      <c r="AP178" s="28">
        <f t="shared" si="309"/>
        <v>0</v>
      </c>
      <c r="AQ178" s="28">
        <f t="shared" si="309"/>
        <v>1</v>
      </c>
      <c r="AR178" s="28">
        <f t="shared" si="309"/>
        <v>0</v>
      </c>
      <c r="AS178" s="28">
        <f t="shared" si="309"/>
        <v>0</v>
      </c>
      <c r="AT178" s="28">
        <f t="shared" si="309"/>
        <v>0</v>
      </c>
      <c r="AU178" s="28">
        <f t="shared" si="309"/>
        <v>0</v>
      </c>
      <c r="AV178" s="28">
        <f t="shared" si="309"/>
        <v>0</v>
      </c>
      <c r="AW178" s="28">
        <f t="shared" si="309"/>
        <v>0</v>
      </c>
      <c r="AX178" s="28">
        <f t="shared" si="309"/>
        <v>0</v>
      </c>
      <c r="AY178" s="28">
        <f t="shared" si="309"/>
        <v>0</v>
      </c>
      <c r="AZ178" s="28">
        <f t="shared" si="309"/>
        <v>0</v>
      </c>
      <c r="BA178" s="28">
        <f t="shared" si="309"/>
        <v>0</v>
      </c>
      <c r="BB178" s="28">
        <f t="shared" si="309"/>
        <v>0</v>
      </c>
      <c r="BC178" s="28">
        <f t="shared" si="309"/>
        <v>0</v>
      </c>
      <c r="BD178" s="28">
        <f t="shared" si="309"/>
        <v>0</v>
      </c>
      <c r="BE178" s="28">
        <f t="shared" si="309"/>
        <v>0</v>
      </c>
      <c r="BF178" s="27">
        <f>SUM(AL178:BD178)</f>
        <v>1</v>
      </c>
      <c r="BG178" s="520">
        <f t="shared" si="296"/>
        <v>1.0013788876313259</v>
      </c>
      <c r="BH178" s="520">
        <f t="shared" si="282"/>
        <v>1.0026350070272714</v>
      </c>
      <c r="BI178" s="520">
        <f t="shared" si="283"/>
        <v>1.0039944673298349</v>
      </c>
      <c r="BJ178" s="520">
        <f t="shared" si="284"/>
        <v>1.0055648032156956</v>
      </c>
      <c r="BK178" s="520">
        <f t="shared" si="285"/>
        <v>1.0078525928249935</v>
      </c>
      <c r="BL178" s="520">
        <f t="shared" si="286"/>
        <v>1.0104259499867456</v>
      </c>
      <c r="BM178" s="520">
        <f t="shared" si="287"/>
        <v>1.0121487427420144</v>
      </c>
      <c r="BN178" s="521" t="str">
        <f t="shared" si="288"/>
        <v>Category</v>
      </c>
      <c r="BP178" s="3"/>
    </row>
    <row r="179" spans="1:68" hidden="1" x14ac:dyDescent="0.15">
      <c r="A179" s="12" t="s">
        <v>371</v>
      </c>
      <c r="B179" s="13" t="s">
        <v>2304</v>
      </c>
      <c r="C179" s="13" t="s">
        <v>27</v>
      </c>
      <c r="D179" s="13" t="s">
        <v>55</v>
      </c>
      <c r="E179" s="13" t="s">
        <v>112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5">
        <v>0</v>
      </c>
      <c r="N179" s="670"/>
      <c r="O179" s="14"/>
      <c r="P179" s="15"/>
      <c r="Q179" s="15" t="str">
        <f>IF(ISTEXT('Incurred 2.5% cpi'!Q179),"",'Incurred 2.5% cpi'!Q179/'Incurred 2.5% cpi'!Q$17*Incurred!Q$17)</f>
        <v/>
      </c>
      <c r="R179" s="110" t="str">
        <f>IF(ISTEXT('Incurred 2.5% cpi'!R179),"",'Incurred 2.5% cpi'!R179/'Incurred 2.5% cpi'!R$17*Incurred!R$17*BG179)</f>
        <v/>
      </c>
      <c r="S179" s="102">
        <f>IF(ISTEXT('Incurred 2.5% cpi'!S179),"",'Incurred 2.5% cpi'!S179/'Incurred 2.5% cpi'!S$17*Incurred!S$17*BH179)</f>
        <v>215843.59161447175</v>
      </c>
      <c r="T179" s="16">
        <f>IF(ISTEXT('Incurred 2.5% cpi'!T179),"",'Incurred 2.5% cpi'!T179/'Incurred 2.5% cpi'!T$17*Incurred!T$17*BI179)</f>
        <v>58804.717247154949</v>
      </c>
      <c r="U179" s="16" t="str">
        <f>IF(ISTEXT('Incurred 2.5% cpi'!U179),"",'Incurred 2.5% cpi'!U179/'Incurred 2.5% cpi'!U$17*Incurred!U$17*BJ179)</f>
        <v/>
      </c>
      <c r="V179" s="16" t="str">
        <f>IF(ISTEXT('Incurred 2.5% cpi'!V179),"",'Incurred 2.5% cpi'!V179/'Incurred 2.5% cpi'!V$17*Incurred!V$17*BK179)</f>
        <v/>
      </c>
      <c r="W179" s="110" t="str">
        <f>IF(ISTEXT('Incurred 2.5% cpi'!W179),"",'Incurred 2.5% cpi'!W179/'Incurred 2.5% cpi'!W$17*Incurred!W$17*BL179)</f>
        <v/>
      </c>
      <c r="X179" s="102" t="str">
        <f>IF(ISTEXT('Incurred 2.5% cpi'!X179),"",'Incurred 2.5% cpi'!X179/'Incurred 2.5% cpi'!X$17*Incurred!X$17*BM179)</f>
        <v/>
      </c>
      <c r="Y179" s="80">
        <f t="shared" si="248"/>
        <v>274648.30886162672</v>
      </c>
      <c r="Z179" s="80">
        <f t="shared" si="275"/>
        <v>274648.30886162672</v>
      </c>
      <c r="AA179" s="566">
        <f t="shared" si="276"/>
        <v>301577.187492089</v>
      </c>
      <c r="AB179" s="566">
        <f t="shared" si="277"/>
        <v>280044.39865198848</v>
      </c>
      <c r="AC179" s="567">
        <f t="shared" si="292"/>
        <v>1.0768906249999999</v>
      </c>
      <c r="AD179" s="568" t="str">
        <f t="shared" si="278"/>
        <v>2020</v>
      </c>
      <c r="AE179" s="569">
        <v>43635</v>
      </c>
      <c r="AF179" s="568">
        <v>2020</v>
      </c>
      <c r="AG179" s="569"/>
      <c r="AH179" s="566">
        <f t="shared" si="301"/>
        <v>266550.2902101021</v>
      </c>
      <c r="AI179" s="80">
        <f t="shared" si="279"/>
        <v>58804.717247154949</v>
      </c>
      <c r="AJ179" s="571" t="s">
        <v>3035</v>
      </c>
      <c r="AK179" s="875">
        <f t="shared" ref="AK179:AK223" si="310">IF(ISNA(VLOOKUP(LEFT($A179,8),Estimates,72,FALSE)),0,VLOOKUP(LEFT($A179,8),Estimates,72,FALSE))</f>
        <v>12500.000000000002</v>
      </c>
      <c r="AL179" s="28">
        <f t="shared" ref="AL179:BE179" si="311">IF($AK179=0,VLOOKUP(MID($A179,4,5),ProjectSplits,AL$23,FALSE),IF(ISNA(VLOOKUP($A179,Estimates,AL$22,FALSE)),VLOOKUP(MID($A179,4,5),ProjectSplits,AL$23,FALSE),VLOOKUP($A179,Estimates,AL$22,FALSE)))</f>
        <v>0</v>
      </c>
      <c r="AM179" s="28">
        <f t="shared" si="311"/>
        <v>0</v>
      </c>
      <c r="AN179" s="28">
        <f t="shared" si="311"/>
        <v>0</v>
      </c>
      <c r="AO179" s="28">
        <f t="shared" si="311"/>
        <v>1</v>
      </c>
      <c r="AP179" s="28">
        <f t="shared" si="311"/>
        <v>0</v>
      </c>
      <c r="AQ179" s="28">
        <f t="shared" si="311"/>
        <v>0</v>
      </c>
      <c r="AR179" s="28">
        <f t="shared" si="311"/>
        <v>0</v>
      </c>
      <c r="AS179" s="28">
        <f t="shared" si="311"/>
        <v>0</v>
      </c>
      <c r="AT179" s="28">
        <f t="shared" si="311"/>
        <v>0</v>
      </c>
      <c r="AU179" s="28">
        <f t="shared" si="311"/>
        <v>0</v>
      </c>
      <c r="AV179" s="28">
        <f t="shared" si="311"/>
        <v>0</v>
      </c>
      <c r="AW179" s="28">
        <f t="shared" si="311"/>
        <v>0</v>
      </c>
      <c r="AX179" s="28">
        <f t="shared" si="311"/>
        <v>0</v>
      </c>
      <c r="AY179" s="28">
        <f t="shared" si="311"/>
        <v>0</v>
      </c>
      <c r="AZ179" s="28">
        <f t="shared" si="311"/>
        <v>0</v>
      </c>
      <c r="BA179" s="28">
        <f t="shared" si="311"/>
        <v>0</v>
      </c>
      <c r="BB179" s="28">
        <f t="shared" si="311"/>
        <v>0</v>
      </c>
      <c r="BC179" s="28">
        <f t="shared" si="311"/>
        <v>0</v>
      </c>
      <c r="BD179" s="28">
        <f t="shared" si="311"/>
        <v>0</v>
      </c>
      <c r="BE179" s="28">
        <f t="shared" si="311"/>
        <v>0</v>
      </c>
      <c r="BF179" s="27">
        <f>SUM(AL179:BD179)</f>
        <v>1</v>
      </c>
      <c r="BG179" s="520">
        <f t="shared" si="296"/>
        <v>1.0056339263672323</v>
      </c>
      <c r="BH179" s="520">
        <f t="shared" si="282"/>
        <v>1.0107662402878415</v>
      </c>
      <c r="BI179" s="520">
        <f t="shared" si="283"/>
        <v>1.0163207895272559</v>
      </c>
      <c r="BJ179" s="520">
        <f t="shared" si="284"/>
        <v>1.0227369445146317</v>
      </c>
      <c r="BK179" s="520">
        <f t="shared" si="285"/>
        <v>1.0320845069335576</v>
      </c>
      <c r="BL179" s="520">
        <f t="shared" si="286"/>
        <v>1.0425988551926402</v>
      </c>
      <c r="BM179" s="520">
        <f t="shared" si="287"/>
        <v>1.0496379258962139</v>
      </c>
      <c r="BN179" s="521" t="str">
        <f t="shared" si="288"/>
        <v>Project</v>
      </c>
      <c r="BP179" s="3"/>
    </row>
    <row r="180" spans="1:68" hidden="1" x14ac:dyDescent="0.15">
      <c r="A180" s="78" t="s">
        <v>372</v>
      </c>
      <c r="B180" s="13" t="s">
        <v>373</v>
      </c>
      <c r="C180" s="13" t="s">
        <v>27</v>
      </c>
      <c r="D180" s="13" t="s">
        <v>36</v>
      </c>
      <c r="E180" s="13" t="s">
        <v>112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5">
        <v>0</v>
      </c>
      <c r="N180" s="670"/>
      <c r="O180" s="14"/>
      <c r="P180" s="15"/>
      <c r="Q180" s="15" t="str">
        <f>IF(ISTEXT('Incurred 2.5% cpi'!Q180),"",'Incurred 2.5% cpi'!Q180/'Incurred 2.5% cpi'!Q$17*Incurred!Q$17)</f>
        <v/>
      </c>
      <c r="R180" s="110" t="str">
        <f>IF(ISTEXT('Incurred 2.5% cpi'!R180),"",'Incurred 2.5% cpi'!R180/'Incurred 2.5% cpi'!R$17*Incurred!R$17*BG180)</f>
        <v/>
      </c>
      <c r="S180" s="102">
        <f>IF(ISTEXT('Incurred 2.5% cpi'!S180),"",'Incurred 2.5% cpi'!S180/'Incurred 2.5% cpi'!S$17*Incurred!S$17*BH180)</f>
        <v>357049.44100164593</v>
      </c>
      <c r="T180" s="16" t="str">
        <f>IF(ISTEXT('Incurred 2.5% cpi'!T180),"",'Incurred 2.5% cpi'!T180/'Incurred 2.5% cpi'!T$17*Incurred!T$17*BI180)</f>
        <v/>
      </c>
      <c r="U180" s="16" t="str">
        <f>IF(ISTEXT('Incurred 2.5% cpi'!U180),"",'Incurred 2.5% cpi'!U180/'Incurred 2.5% cpi'!U$17*Incurred!U$17*BJ180)</f>
        <v/>
      </c>
      <c r="V180" s="16" t="str">
        <f>IF(ISTEXT('Incurred 2.5% cpi'!V180),"",'Incurred 2.5% cpi'!V180/'Incurred 2.5% cpi'!V$17*Incurred!V$17*BK180)</f>
        <v/>
      </c>
      <c r="W180" s="110" t="str">
        <f>IF(ISTEXT('Incurred 2.5% cpi'!W180),"",'Incurred 2.5% cpi'!W180/'Incurred 2.5% cpi'!W$17*Incurred!W$17*BL180)</f>
        <v/>
      </c>
      <c r="X180" s="102" t="str">
        <f>IF(ISTEXT('Incurred 2.5% cpi'!X180),"",'Incurred 2.5% cpi'!X180/'Incurred 2.5% cpi'!X$17*Incurred!X$17*BM180)</f>
        <v/>
      </c>
      <c r="Y180" s="80">
        <f t="shared" si="248"/>
        <v>357049.44100164593</v>
      </c>
      <c r="Z180" s="80">
        <f t="shared" si="275"/>
        <v>357049.44100164593</v>
      </c>
      <c r="AA180" s="566">
        <f t="shared" si="276"/>
        <v>394115.7755680671</v>
      </c>
      <c r="AB180" s="566">
        <f t="shared" si="277"/>
        <v>357049.44100164593</v>
      </c>
      <c r="AC180" s="567">
        <f t="shared" si="292"/>
        <v>1.1038128906249998</v>
      </c>
      <c r="AD180" s="568" t="str">
        <f t="shared" si="278"/>
        <v>2019</v>
      </c>
      <c r="AE180" s="569">
        <v>43571</v>
      </c>
      <c r="AF180" s="568">
        <v>2019</v>
      </c>
      <c r="AG180" s="569"/>
      <c r="AH180" s="566">
        <f t="shared" si="301"/>
        <v>348340.9180503863</v>
      </c>
      <c r="AI180" s="80">
        <f t="shared" si="279"/>
        <v>357049.44100164593</v>
      </c>
      <c r="AJ180" s="571" t="s">
        <v>3035</v>
      </c>
      <c r="AK180" s="875">
        <f t="shared" si="310"/>
        <v>235500.00000000009</v>
      </c>
      <c r="AL180" s="28">
        <f t="shared" ref="AL180:AU182" si="312">IF($AK180=0,VLOOKUP(MID($A180,4,5),ProjectSplits,AL$23,FALSE),IF(ISNA(VLOOKUP($A180,Estimates,AL$22,FALSE)),VLOOKUP(MID($A180,4,5),ProjectSplits,AL$23,FALSE),VLOOKUP($A180,Estimates,AL$22,FALSE)))</f>
        <v>0.69851380042462841</v>
      </c>
      <c r="AM180" s="28">
        <f t="shared" si="312"/>
        <v>0</v>
      </c>
      <c r="AN180" s="28">
        <f t="shared" si="312"/>
        <v>0</v>
      </c>
      <c r="AO180" s="28">
        <f t="shared" si="312"/>
        <v>0</v>
      </c>
      <c r="AP180" s="28">
        <f t="shared" si="312"/>
        <v>0</v>
      </c>
      <c r="AQ180" s="28">
        <f t="shared" si="312"/>
        <v>0</v>
      </c>
      <c r="AR180" s="28">
        <f t="shared" si="312"/>
        <v>0</v>
      </c>
      <c r="AS180" s="28">
        <f t="shared" si="312"/>
        <v>0.30148619957537154</v>
      </c>
      <c r="AT180" s="28">
        <f t="shared" si="312"/>
        <v>0</v>
      </c>
      <c r="AU180" s="28">
        <f t="shared" si="312"/>
        <v>0</v>
      </c>
      <c r="AV180" s="28">
        <f t="shared" ref="AV180:BE182" si="313">IF($AK180=0,VLOOKUP(MID($A180,4,5),ProjectSplits,AV$23,FALSE),IF(ISNA(VLOOKUP($A180,Estimates,AV$22,FALSE)),VLOOKUP(MID($A180,4,5),ProjectSplits,AV$23,FALSE),VLOOKUP($A180,Estimates,AV$22,FALSE)))</f>
        <v>0</v>
      </c>
      <c r="AW180" s="28">
        <f t="shared" si="313"/>
        <v>0</v>
      </c>
      <c r="AX180" s="28">
        <f t="shared" si="313"/>
        <v>0</v>
      </c>
      <c r="AY180" s="28">
        <f t="shared" si="313"/>
        <v>0</v>
      </c>
      <c r="AZ180" s="28">
        <f t="shared" si="313"/>
        <v>0</v>
      </c>
      <c r="BA180" s="28">
        <f t="shared" si="313"/>
        <v>0</v>
      </c>
      <c r="BB180" s="28">
        <f t="shared" si="313"/>
        <v>0</v>
      </c>
      <c r="BC180" s="28">
        <f t="shared" si="313"/>
        <v>0</v>
      </c>
      <c r="BD180" s="28">
        <f t="shared" si="313"/>
        <v>0</v>
      </c>
      <c r="BE180" s="28">
        <f t="shared" si="313"/>
        <v>0</v>
      </c>
      <c r="BF180" s="27">
        <f t="shared" ref="BF180:BF182" si="314">SUM(AL180:BD180)</f>
        <v>1</v>
      </c>
      <c r="BG180" s="520">
        <f t="shared" si="296"/>
        <v>1.0023482442089442</v>
      </c>
      <c r="BH180" s="520">
        <f t="shared" si="282"/>
        <v>1.0044874142401059</v>
      </c>
      <c r="BI180" s="520">
        <f t="shared" si="283"/>
        <v>1.0068025737282764</v>
      </c>
      <c r="BJ180" s="520">
        <f t="shared" si="284"/>
        <v>1.0094768541165371</v>
      </c>
      <c r="BK180" s="520">
        <f t="shared" si="285"/>
        <v>1.0133729574532182</v>
      </c>
      <c r="BL180" s="520">
        <f t="shared" si="286"/>
        <v>1.0177553820361549</v>
      </c>
      <c r="BM180" s="520">
        <f t="shared" si="287"/>
        <v>1.0206892963152185</v>
      </c>
      <c r="BN180" s="521" t="str">
        <f t="shared" si="288"/>
        <v>Project</v>
      </c>
      <c r="BP180" s="3"/>
    </row>
    <row r="181" spans="1:68" hidden="1" x14ac:dyDescent="0.15">
      <c r="A181" s="78" t="s">
        <v>374</v>
      </c>
      <c r="B181" s="13" t="s">
        <v>375</v>
      </c>
      <c r="C181" s="13" t="s">
        <v>27</v>
      </c>
      <c r="D181" s="13" t="s">
        <v>36</v>
      </c>
      <c r="E181" s="13" t="s">
        <v>112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5">
        <v>0</v>
      </c>
      <c r="N181" s="670"/>
      <c r="O181" s="14"/>
      <c r="P181" s="15"/>
      <c r="Q181" s="15" t="str">
        <f>IF(ISTEXT('Incurred 2.5% cpi'!Q181),"",'Incurred 2.5% cpi'!Q181/'Incurred 2.5% cpi'!Q$17*Incurred!Q$17)</f>
        <v/>
      </c>
      <c r="R181" s="110" t="str">
        <f>IF(ISTEXT('Incurred 2.5% cpi'!R181),"",'Incurred 2.5% cpi'!R181/'Incurred 2.5% cpi'!R$17*Incurred!R$17*BG181)</f>
        <v/>
      </c>
      <c r="S181" s="102">
        <f>IF(ISTEXT('Incurred 2.5% cpi'!S181),"",'Incurred 2.5% cpi'!S181/'Incurred 2.5% cpi'!S$17*Incurred!S$17*BH181)</f>
        <v>150149.58517432027</v>
      </c>
      <c r="T181" s="16" t="str">
        <f>IF(ISTEXT('Incurred 2.5% cpi'!T181),"",'Incurred 2.5% cpi'!T181/'Incurred 2.5% cpi'!T$17*Incurred!T$17*BI181)</f>
        <v/>
      </c>
      <c r="U181" s="16" t="str">
        <f>IF(ISTEXT('Incurred 2.5% cpi'!U181),"",'Incurred 2.5% cpi'!U181/'Incurred 2.5% cpi'!U$17*Incurred!U$17*BJ181)</f>
        <v/>
      </c>
      <c r="V181" s="16" t="str">
        <f>IF(ISTEXT('Incurred 2.5% cpi'!V181),"",'Incurred 2.5% cpi'!V181/'Incurred 2.5% cpi'!V$17*Incurred!V$17*BK181)</f>
        <v/>
      </c>
      <c r="W181" s="110" t="str">
        <f>IF(ISTEXT('Incurred 2.5% cpi'!W181),"",'Incurred 2.5% cpi'!W181/'Incurred 2.5% cpi'!W$17*Incurred!W$17*BL181)</f>
        <v/>
      </c>
      <c r="X181" s="102" t="str">
        <f>IF(ISTEXT('Incurred 2.5% cpi'!X181),"",'Incurred 2.5% cpi'!X181/'Incurred 2.5% cpi'!X$17*Incurred!X$17*BM181)</f>
        <v/>
      </c>
      <c r="Y181" s="80">
        <f t="shared" si="248"/>
        <v>150149.58517432027</v>
      </c>
      <c r="Z181" s="80">
        <f t="shared" si="275"/>
        <v>150149.58517432027</v>
      </c>
      <c r="AA181" s="566">
        <f t="shared" si="276"/>
        <v>165737.04763741107</v>
      </c>
      <c r="AB181" s="566">
        <f t="shared" si="277"/>
        <v>150149.58517432027</v>
      </c>
      <c r="AC181" s="567">
        <f t="shared" si="292"/>
        <v>1.1038128906249998</v>
      </c>
      <c r="AD181" s="568" t="str">
        <f t="shared" si="278"/>
        <v>2019</v>
      </c>
      <c r="AE181" s="569">
        <v>43480</v>
      </c>
      <c r="AF181" s="568">
        <v>2019</v>
      </c>
      <c r="AG181" s="569"/>
      <c r="AH181" s="566">
        <f t="shared" si="301"/>
        <v>146487.40017006858</v>
      </c>
      <c r="AI181" s="80">
        <f t="shared" si="279"/>
        <v>150149.58517432027</v>
      </c>
      <c r="AJ181" s="571" t="s">
        <v>3035</v>
      </c>
      <c r="AK181" s="875">
        <f t="shared" si="310"/>
        <v>122000.0000000001</v>
      </c>
      <c r="AL181" s="28">
        <f t="shared" si="312"/>
        <v>0</v>
      </c>
      <c r="AM181" s="28">
        <f t="shared" si="312"/>
        <v>0</v>
      </c>
      <c r="AN181" s="28">
        <f t="shared" si="312"/>
        <v>0</v>
      </c>
      <c r="AO181" s="28">
        <f t="shared" si="312"/>
        <v>0</v>
      </c>
      <c r="AP181" s="28">
        <f t="shared" si="312"/>
        <v>0</v>
      </c>
      <c r="AQ181" s="28">
        <f t="shared" si="312"/>
        <v>0</v>
      </c>
      <c r="AR181" s="28">
        <f t="shared" si="312"/>
        <v>0</v>
      </c>
      <c r="AS181" s="28">
        <f t="shared" si="312"/>
        <v>1</v>
      </c>
      <c r="AT181" s="28">
        <f t="shared" si="312"/>
        <v>0</v>
      </c>
      <c r="AU181" s="28">
        <f t="shared" si="312"/>
        <v>0</v>
      </c>
      <c r="AV181" s="28">
        <f t="shared" si="313"/>
        <v>0</v>
      </c>
      <c r="AW181" s="28">
        <f t="shared" si="313"/>
        <v>0</v>
      </c>
      <c r="AX181" s="28">
        <f t="shared" si="313"/>
        <v>0</v>
      </c>
      <c r="AY181" s="28">
        <f t="shared" si="313"/>
        <v>0</v>
      </c>
      <c r="AZ181" s="28">
        <f t="shared" si="313"/>
        <v>0</v>
      </c>
      <c r="BA181" s="28">
        <f t="shared" si="313"/>
        <v>0</v>
      </c>
      <c r="BB181" s="28">
        <f t="shared" si="313"/>
        <v>0</v>
      </c>
      <c r="BC181" s="28">
        <f t="shared" si="313"/>
        <v>0</v>
      </c>
      <c r="BD181" s="28">
        <f t="shared" si="313"/>
        <v>0</v>
      </c>
      <c r="BE181" s="28">
        <f t="shared" si="313"/>
        <v>0</v>
      </c>
      <c r="BF181" s="27">
        <f t="shared" si="314"/>
        <v>1</v>
      </c>
      <c r="BG181" s="520">
        <f t="shared" si="296"/>
        <v>1.000745054832479</v>
      </c>
      <c r="BH181" s="520">
        <f t="shared" si="282"/>
        <v>1.0014237742617191</v>
      </c>
      <c r="BI181" s="520">
        <f t="shared" si="283"/>
        <v>1.0021583319189045</v>
      </c>
      <c r="BJ181" s="520">
        <f t="shared" si="284"/>
        <v>1.0030068320532126</v>
      </c>
      <c r="BK181" s="520">
        <f t="shared" si="285"/>
        <v>1.0042429942069508</v>
      </c>
      <c r="BL181" s="520">
        <f t="shared" si="286"/>
        <v>1.005633457175434</v>
      </c>
      <c r="BM181" s="520">
        <f t="shared" si="287"/>
        <v>1.0065643343829107</v>
      </c>
      <c r="BN181" s="521" t="str">
        <f t="shared" si="288"/>
        <v>Project</v>
      </c>
      <c r="BP181" s="3"/>
    </row>
    <row r="182" spans="1:68" hidden="1" x14ac:dyDescent="0.15">
      <c r="A182" s="78" t="s">
        <v>376</v>
      </c>
      <c r="B182" s="13" t="s">
        <v>377</v>
      </c>
      <c r="C182" s="13" t="s">
        <v>27</v>
      </c>
      <c r="D182" s="13" t="s">
        <v>40</v>
      </c>
      <c r="E182" s="13" t="s">
        <v>112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5">
        <v>0</v>
      </c>
      <c r="N182" s="670"/>
      <c r="O182" s="14"/>
      <c r="P182" s="15"/>
      <c r="Q182" s="15" t="str">
        <f>IF(ISTEXT('Incurred 2.5% cpi'!Q182),"",'Incurred 2.5% cpi'!Q182/'Incurred 2.5% cpi'!Q$17*Incurred!Q$17)</f>
        <v/>
      </c>
      <c r="R182" s="110" t="str">
        <f>IF(ISTEXT('Incurred 2.5% cpi'!R182),"",'Incurred 2.5% cpi'!R182/'Incurred 2.5% cpi'!R$17*Incurred!R$17*BG182)</f>
        <v/>
      </c>
      <c r="S182" s="102">
        <f>IF(ISTEXT('Incurred 2.5% cpi'!S182),"",'Incurred 2.5% cpi'!S182/'Incurred 2.5% cpi'!S$17*Incurred!S$17*BH182)</f>
        <v>93306.239404920881</v>
      </c>
      <c r="T182" s="16">
        <f>IF(ISTEXT('Incurred 2.5% cpi'!T182),"",'Incurred 2.5% cpi'!T182/'Incurred 2.5% cpi'!T$17*Incurred!T$17*BI182)</f>
        <v>573139.8534985499</v>
      </c>
      <c r="U182" s="16">
        <f>IF(ISTEXT('Incurred 2.5% cpi'!U182),"",'Incurred 2.5% cpi'!U182/'Incurred 2.5% cpi'!U$17*Incurred!U$17*BJ182)</f>
        <v>589475.65992569702</v>
      </c>
      <c r="V182" s="16">
        <f>IF(ISTEXT('Incurred 2.5% cpi'!V182),"",'Incurred 2.5% cpi'!V182/'Incurred 2.5% cpi'!V$17*Incurred!V$17*BK182)</f>
        <v>610399.65624912083</v>
      </c>
      <c r="W182" s="110">
        <f>IF(ISTEXT('Incurred 2.5% cpi'!W182),"",'Incurred 2.5% cpi'!W182/'Incurred 2.5% cpi'!W$17*Incurred!W$17*BL182)</f>
        <v>504724.41860783321</v>
      </c>
      <c r="X182" s="102" t="str">
        <f>IF(ISTEXT('Incurred 2.5% cpi'!X182),"",'Incurred 2.5% cpi'!X182/'Incurred 2.5% cpi'!X$17*Incurred!X$17*BM182)</f>
        <v/>
      </c>
      <c r="Y182" s="80">
        <f t="shared" si="248"/>
        <v>2371045.8276861217</v>
      </c>
      <c r="Z182" s="80">
        <f t="shared" si="275"/>
        <v>2371045.8276861217</v>
      </c>
      <c r="AA182" s="566">
        <f t="shared" si="276"/>
        <v>2469903.4963499731</v>
      </c>
      <c r="AB182" s="566">
        <f t="shared" si="277"/>
        <v>2469903.4963499731</v>
      </c>
      <c r="AC182" s="567">
        <f t="shared" si="292"/>
        <v>1</v>
      </c>
      <c r="AD182" s="568" t="str">
        <f t="shared" si="278"/>
        <v>2023</v>
      </c>
      <c r="AE182" s="569">
        <v>44957</v>
      </c>
      <c r="AF182" s="568">
        <v>2023</v>
      </c>
      <c r="AG182" s="569"/>
      <c r="AH182" s="566">
        <f t="shared" si="301"/>
        <v>2183034.7952306611</v>
      </c>
      <c r="AI182" s="80">
        <f t="shared" si="279"/>
        <v>504724.41860783321</v>
      </c>
      <c r="AJ182" s="571" t="s">
        <v>3035</v>
      </c>
      <c r="AK182" s="875">
        <f t="shared" si="310"/>
        <v>0</v>
      </c>
      <c r="AL182" s="28">
        <f t="shared" si="312"/>
        <v>0</v>
      </c>
      <c r="AM182" s="28">
        <f t="shared" si="312"/>
        <v>0</v>
      </c>
      <c r="AN182" s="28">
        <f t="shared" si="312"/>
        <v>0</v>
      </c>
      <c r="AO182" s="28">
        <f t="shared" si="312"/>
        <v>0</v>
      </c>
      <c r="AP182" s="28">
        <f t="shared" si="312"/>
        <v>0</v>
      </c>
      <c r="AQ182" s="28">
        <f t="shared" si="312"/>
        <v>0</v>
      </c>
      <c r="AR182" s="28">
        <f t="shared" si="312"/>
        <v>0</v>
      </c>
      <c r="AS182" s="28">
        <f t="shared" si="312"/>
        <v>1</v>
      </c>
      <c r="AT182" s="28">
        <f t="shared" si="312"/>
        <v>0</v>
      </c>
      <c r="AU182" s="28">
        <f t="shared" si="312"/>
        <v>0</v>
      </c>
      <c r="AV182" s="28">
        <f t="shared" si="313"/>
        <v>0</v>
      </c>
      <c r="AW182" s="28">
        <f t="shared" si="313"/>
        <v>0</v>
      </c>
      <c r="AX182" s="28">
        <f t="shared" si="313"/>
        <v>0</v>
      </c>
      <c r="AY182" s="28">
        <f t="shared" si="313"/>
        <v>0</v>
      </c>
      <c r="AZ182" s="28">
        <f t="shared" si="313"/>
        <v>0</v>
      </c>
      <c r="BA182" s="28">
        <f t="shared" si="313"/>
        <v>0</v>
      </c>
      <c r="BB182" s="28">
        <f t="shared" si="313"/>
        <v>0</v>
      </c>
      <c r="BC182" s="28">
        <f t="shared" si="313"/>
        <v>0</v>
      </c>
      <c r="BD182" s="28">
        <f t="shared" si="313"/>
        <v>0</v>
      </c>
      <c r="BE182" s="28">
        <f t="shared" si="313"/>
        <v>0</v>
      </c>
      <c r="BF182" s="27">
        <f t="shared" si="314"/>
        <v>1</v>
      </c>
      <c r="BG182" s="520">
        <f t="shared" si="296"/>
        <v>1.0059304488076128</v>
      </c>
      <c r="BH182" s="520">
        <f t="shared" si="282"/>
        <v>1.0113328845135172</v>
      </c>
      <c r="BI182" s="520">
        <f t="shared" si="283"/>
        <v>1.0171797784497432</v>
      </c>
      <c r="BJ182" s="520">
        <f t="shared" si="284"/>
        <v>1.0239336258048755</v>
      </c>
      <c r="BK182" s="520">
        <f t="shared" si="285"/>
        <v>1.0337731651932187</v>
      </c>
      <c r="BL182" s="520">
        <f t="shared" si="286"/>
        <v>1.0448409002027792</v>
      </c>
      <c r="BM182" s="520">
        <f t="shared" si="287"/>
        <v>1.052250448311804</v>
      </c>
      <c r="BN182" s="521" t="str">
        <f t="shared" si="288"/>
        <v>Project</v>
      </c>
      <c r="BP182" s="3"/>
    </row>
    <row r="183" spans="1:68" hidden="1" x14ac:dyDescent="0.15">
      <c r="A183" s="78" t="s">
        <v>379</v>
      </c>
      <c r="B183" s="13" t="s">
        <v>380</v>
      </c>
      <c r="C183" s="13" t="s">
        <v>27</v>
      </c>
      <c r="D183" s="13" t="s">
        <v>60</v>
      </c>
      <c r="E183" s="13" t="s">
        <v>112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5">
        <v>0</v>
      </c>
      <c r="N183" s="670"/>
      <c r="O183" s="14"/>
      <c r="P183" s="15"/>
      <c r="Q183" s="15" t="str">
        <f>IF(ISTEXT('Incurred 2.5% cpi'!Q183),"",'Incurred 2.5% cpi'!Q183/'Incurred 2.5% cpi'!Q$17*Incurred!Q$17)</f>
        <v/>
      </c>
      <c r="R183" s="110" t="str">
        <f>IF(ISTEXT('Incurred 2.5% cpi'!R183),"",'Incurred 2.5% cpi'!R183/'Incurred 2.5% cpi'!R$17*Incurred!R$17*BG183)</f>
        <v/>
      </c>
      <c r="S183" s="102">
        <f>IF(ISTEXT('Incurred 2.5% cpi'!S183),"",'Incurred 2.5% cpi'!S183/'Incurred 2.5% cpi'!S$17*Incurred!S$17*BH183)</f>
        <v>2372450.391277032</v>
      </c>
      <c r="T183" s="16" t="str">
        <f>IF(ISTEXT('Incurred 2.5% cpi'!T183),"",'Incurred 2.5% cpi'!T183/'Incurred 2.5% cpi'!T$17*Incurred!T$17*BI183)</f>
        <v/>
      </c>
      <c r="U183" s="16" t="str">
        <f>IF(ISTEXT('Incurred 2.5% cpi'!U183),"",'Incurred 2.5% cpi'!U183/'Incurred 2.5% cpi'!U$17*Incurred!U$17*BJ183)</f>
        <v/>
      </c>
      <c r="V183" s="16" t="str">
        <f>IF(ISTEXT('Incurred 2.5% cpi'!V183),"",'Incurred 2.5% cpi'!V183/'Incurred 2.5% cpi'!V$17*Incurred!V$17*BK183)</f>
        <v/>
      </c>
      <c r="W183" s="110" t="str">
        <f>IF(ISTEXT('Incurred 2.5% cpi'!W183),"",'Incurred 2.5% cpi'!W183/'Incurred 2.5% cpi'!W$17*Incurred!W$17*BL183)</f>
        <v/>
      </c>
      <c r="X183" s="102" t="str">
        <f>IF(ISTEXT('Incurred 2.5% cpi'!X183),"",'Incurred 2.5% cpi'!X183/'Incurred 2.5% cpi'!X$17*Incurred!X$17*BM183)</f>
        <v/>
      </c>
      <c r="Y183" s="80">
        <f t="shared" si="248"/>
        <v>2372450.391277032</v>
      </c>
      <c r="Z183" s="80">
        <f t="shared" si="275"/>
        <v>2372450.391277032</v>
      </c>
      <c r="AA183" s="566">
        <f t="shared" si="276"/>
        <v>2618741.3242599126</v>
      </c>
      <c r="AB183" s="566">
        <f t="shared" si="277"/>
        <v>2372450.391277032</v>
      </c>
      <c r="AC183" s="567">
        <f t="shared" si="292"/>
        <v>1.1038128906249998</v>
      </c>
      <c r="AD183" s="568" t="str">
        <f t="shared" si="278"/>
        <v>2019</v>
      </c>
      <c r="AE183" s="569">
        <v>43572</v>
      </c>
      <c r="AF183" s="568">
        <v>2019</v>
      </c>
      <c r="AG183" s="569"/>
      <c r="AH183" s="566">
        <f t="shared" si="301"/>
        <v>2314585.7475873483</v>
      </c>
      <c r="AI183" s="80">
        <f t="shared" si="279"/>
        <v>2372450.391277032</v>
      </c>
      <c r="AJ183" s="571" t="s">
        <v>3035</v>
      </c>
      <c r="AK183" s="875">
        <f t="shared" si="310"/>
        <v>2094358.0000000002</v>
      </c>
      <c r="AL183" s="28">
        <f t="shared" ref="AL183:BE183" si="315">IF($AK183=0,VLOOKUP(MID($A183,4,5),ProjectSplits,AL$23,FALSE),IF(ISNA(VLOOKUP($A183,Estimates,AL$22,FALSE)),VLOOKUP(MID($A183,4,5),ProjectSplits,AL$23,FALSE),VLOOKUP($A183,Estimates,AL$22,FALSE)))</f>
        <v>0</v>
      </c>
      <c r="AM183" s="28">
        <f t="shared" si="315"/>
        <v>0</v>
      </c>
      <c r="AN183" s="28">
        <f t="shared" si="315"/>
        <v>0</v>
      </c>
      <c r="AO183" s="28">
        <f t="shared" si="315"/>
        <v>0</v>
      </c>
      <c r="AP183" s="28">
        <f t="shared" si="315"/>
        <v>0</v>
      </c>
      <c r="AQ183" s="28">
        <f t="shared" si="315"/>
        <v>0</v>
      </c>
      <c r="AR183" s="28">
        <f t="shared" si="315"/>
        <v>0</v>
      </c>
      <c r="AS183" s="28">
        <f t="shared" si="315"/>
        <v>0</v>
      </c>
      <c r="AT183" s="28">
        <f t="shared" si="315"/>
        <v>0</v>
      </c>
      <c r="AU183" s="28">
        <f t="shared" si="315"/>
        <v>1</v>
      </c>
      <c r="AV183" s="28">
        <f t="shared" si="315"/>
        <v>0</v>
      </c>
      <c r="AW183" s="28">
        <f t="shared" si="315"/>
        <v>0</v>
      </c>
      <c r="AX183" s="28">
        <f t="shared" si="315"/>
        <v>0</v>
      </c>
      <c r="AY183" s="28">
        <f t="shared" si="315"/>
        <v>0</v>
      </c>
      <c r="AZ183" s="28">
        <f t="shared" si="315"/>
        <v>0</v>
      </c>
      <c r="BA183" s="28">
        <f t="shared" si="315"/>
        <v>0</v>
      </c>
      <c r="BB183" s="28">
        <f t="shared" si="315"/>
        <v>0</v>
      </c>
      <c r="BC183" s="28">
        <f t="shared" si="315"/>
        <v>0</v>
      </c>
      <c r="BD183" s="28">
        <f t="shared" si="315"/>
        <v>0</v>
      </c>
      <c r="BE183" s="28">
        <f t="shared" si="315"/>
        <v>0</v>
      </c>
      <c r="BF183" s="27">
        <f>SUM(AL183:BD183)</f>
        <v>1</v>
      </c>
      <c r="BG183" s="520">
        <f t="shared" si="296"/>
        <v>1.0002847743844534</v>
      </c>
      <c r="BH183" s="520">
        <f t="shared" si="282"/>
        <v>1.0005441940932489</v>
      </c>
      <c r="BI183" s="520">
        <f t="shared" si="283"/>
        <v>1.0008249562540341</v>
      </c>
      <c r="BJ183" s="520">
        <f t="shared" si="284"/>
        <v>1.0011492694359945</v>
      </c>
      <c r="BK183" s="520">
        <f t="shared" si="285"/>
        <v>1.0016217545485921</v>
      </c>
      <c r="BL183" s="520">
        <f t="shared" si="286"/>
        <v>1.0021532164205156</v>
      </c>
      <c r="BM183" s="520">
        <f t="shared" si="287"/>
        <v>1.0025090157150169</v>
      </c>
      <c r="BN183" s="521" t="str">
        <f t="shared" si="288"/>
        <v>Project</v>
      </c>
      <c r="BP183" s="3"/>
    </row>
    <row r="184" spans="1:68" hidden="1" x14ac:dyDescent="0.15">
      <c r="A184" s="78" t="s">
        <v>381</v>
      </c>
      <c r="B184" s="13" t="s">
        <v>2305</v>
      </c>
      <c r="C184" s="13" t="s">
        <v>27</v>
      </c>
      <c r="D184" s="13" t="s">
        <v>55</v>
      </c>
      <c r="E184" s="13" t="s">
        <v>112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5">
        <v>0</v>
      </c>
      <c r="N184" s="670"/>
      <c r="O184" s="14"/>
      <c r="P184" s="15"/>
      <c r="Q184" s="15" t="str">
        <f>IF(ISTEXT('Incurred 2.5% cpi'!Q184),"",'Incurred 2.5% cpi'!Q184/'Incurred 2.5% cpi'!Q$17*Incurred!Q$17)</f>
        <v/>
      </c>
      <c r="R184" s="110" t="str">
        <f>IF(ISTEXT('Incurred 2.5% cpi'!R184),"",'Incurred 2.5% cpi'!R184/'Incurred 2.5% cpi'!R$17*Incurred!R$17*BG184)</f>
        <v/>
      </c>
      <c r="S184" s="102" t="str">
        <f>IF(ISTEXT('Incurred 2.5% cpi'!S184),"",'Incurred 2.5% cpi'!S184/'Incurred 2.5% cpi'!S$17*Incurred!S$17*BH184)</f>
        <v/>
      </c>
      <c r="T184" s="16" t="str">
        <f>IF(ISTEXT('Incurred 2.5% cpi'!T184),"",'Incurred 2.5% cpi'!T184/'Incurred 2.5% cpi'!T$17*Incurred!T$17*BI184)</f>
        <v/>
      </c>
      <c r="U184" s="16">
        <f>IF(ISTEXT('Incurred 2.5% cpi'!U184),"",'Incurred 2.5% cpi'!U184/'Incurred 2.5% cpi'!U$17*Incurred!U$17*BJ184)</f>
        <v>99363.136282640422</v>
      </c>
      <c r="V184" s="16">
        <f>IF(ISTEXT('Incurred 2.5% cpi'!V184),"",'Incurred 2.5% cpi'!V184/'Incurred 2.5% cpi'!V$17*Incurred!V$17*BK184)</f>
        <v>2027483.6952113262</v>
      </c>
      <c r="W184" s="110" t="str">
        <f>IF(ISTEXT('Incurred 2.5% cpi'!W184),"",'Incurred 2.5% cpi'!W184/'Incurred 2.5% cpi'!W$17*Incurred!W$17*BL184)</f>
        <v/>
      </c>
      <c r="X184" s="102" t="str">
        <f>IF(ISTEXT('Incurred 2.5% cpi'!X184),"",'Incurred 2.5% cpi'!X184/'Incurred 2.5% cpi'!X$17*Incurred!X$17*BM184)</f>
        <v/>
      </c>
      <c r="Y184" s="80">
        <f t="shared" si="248"/>
        <v>2126846.8314939667</v>
      </c>
      <c r="Z184" s="80">
        <f t="shared" si="275"/>
        <v>2126846.8314939667</v>
      </c>
      <c r="AA184" s="566">
        <f t="shared" si="276"/>
        <v>2182564.1826485582</v>
      </c>
      <c r="AB184" s="566">
        <f t="shared" si="277"/>
        <v>2129330.9099010327</v>
      </c>
      <c r="AC184" s="567">
        <f t="shared" si="292"/>
        <v>1.0249999999999999</v>
      </c>
      <c r="AD184" s="568" t="str">
        <f t="shared" si="278"/>
        <v>2022</v>
      </c>
      <c r="AE184" s="569">
        <v>44475</v>
      </c>
      <c r="AF184" s="568">
        <v>2022</v>
      </c>
      <c r="AG184" s="569"/>
      <c r="AH184" s="566">
        <f t="shared" si="301"/>
        <v>1929068.7108168898</v>
      </c>
      <c r="AI184" s="80">
        <f t="shared" si="279"/>
        <v>2027483.6952113262</v>
      </c>
      <c r="AJ184" s="571" t="s">
        <v>3035</v>
      </c>
      <c r="AK184" s="875">
        <f t="shared" si="310"/>
        <v>1141371.0000000005</v>
      </c>
      <c r="AL184" s="28">
        <f t="shared" ref="AL184:AU187" si="316">IF($AK184=0,VLOOKUP(MID($A184,4,5),ProjectSplits,AL$23,FALSE),IF(ISNA(VLOOKUP($A184,Estimates,AL$22,FALSE)),VLOOKUP(MID($A184,4,5),ProjectSplits,AL$23,FALSE),VLOOKUP($A184,Estimates,AL$22,FALSE)))</f>
        <v>0</v>
      </c>
      <c r="AM184" s="28">
        <f t="shared" si="316"/>
        <v>0</v>
      </c>
      <c r="AN184" s="28">
        <f t="shared" si="316"/>
        <v>0</v>
      </c>
      <c r="AO184" s="28">
        <f t="shared" si="316"/>
        <v>1</v>
      </c>
      <c r="AP184" s="28">
        <f t="shared" si="316"/>
        <v>0</v>
      </c>
      <c r="AQ184" s="28">
        <f t="shared" si="316"/>
        <v>0</v>
      </c>
      <c r="AR184" s="28">
        <f t="shared" si="316"/>
        <v>0</v>
      </c>
      <c r="AS184" s="28">
        <f t="shared" si="316"/>
        <v>0</v>
      </c>
      <c r="AT184" s="28">
        <f t="shared" si="316"/>
        <v>0</v>
      </c>
      <c r="AU184" s="28">
        <f t="shared" si="316"/>
        <v>0</v>
      </c>
      <c r="AV184" s="28">
        <f t="shared" ref="AV184:BE187" si="317">IF($AK184=0,VLOOKUP(MID($A184,4,5),ProjectSplits,AV$23,FALSE),IF(ISNA(VLOOKUP($A184,Estimates,AV$22,FALSE)),VLOOKUP(MID($A184,4,5),ProjectSplits,AV$23,FALSE),VLOOKUP($A184,Estimates,AV$22,FALSE)))</f>
        <v>0</v>
      </c>
      <c r="AW184" s="28">
        <f t="shared" si="317"/>
        <v>0</v>
      </c>
      <c r="AX184" s="28">
        <f t="shared" si="317"/>
        <v>0</v>
      </c>
      <c r="AY184" s="28">
        <f t="shared" si="317"/>
        <v>0</v>
      </c>
      <c r="AZ184" s="28">
        <f t="shared" si="317"/>
        <v>0</v>
      </c>
      <c r="BA184" s="28">
        <f t="shared" si="317"/>
        <v>0</v>
      </c>
      <c r="BB184" s="28">
        <f t="shared" si="317"/>
        <v>0</v>
      </c>
      <c r="BC184" s="28">
        <f t="shared" si="317"/>
        <v>0</v>
      </c>
      <c r="BD184" s="28">
        <f t="shared" si="317"/>
        <v>0</v>
      </c>
      <c r="BE184" s="28">
        <f t="shared" si="317"/>
        <v>0</v>
      </c>
      <c r="BF184" s="27">
        <f t="shared" ref="BF184:BF187" si="318">SUM(AL184:BD184)</f>
        <v>1</v>
      </c>
      <c r="BG184" s="520">
        <f t="shared" si="296"/>
        <v>1.0021945335366647</v>
      </c>
      <c r="BH184" s="520">
        <f t="shared" si="282"/>
        <v>1.0041936784110057</v>
      </c>
      <c r="BI184" s="520">
        <f t="shared" si="283"/>
        <v>1.0063572928767268</v>
      </c>
      <c r="BJ184" s="520">
        <f t="shared" si="284"/>
        <v>1.0088565210132761</v>
      </c>
      <c r="BK184" s="520">
        <f t="shared" si="285"/>
        <v>1.0124975943744243</v>
      </c>
      <c r="BL184" s="520">
        <f t="shared" si="286"/>
        <v>1.0165931555100705</v>
      </c>
      <c r="BM184" s="520">
        <f t="shared" si="287"/>
        <v>1.019335022499279</v>
      </c>
      <c r="BN184" s="521" t="str">
        <f t="shared" si="288"/>
        <v>Project</v>
      </c>
      <c r="BP184" s="3"/>
    </row>
    <row r="185" spans="1:68" hidden="1" x14ac:dyDescent="0.15">
      <c r="A185" s="78" t="s">
        <v>382</v>
      </c>
      <c r="B185" s="13" t="s">
        <v>2306</v>
      </c>
      <c r="C185" s="13" t="s">
        <v>27</v>
      </c>
      <c r="D185" s="13" t="s">
        <v>55</v>
      </c>
      <c r="E185" s="13" t="s">
        <v>112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5">
        <v>0</v>
      </c>
      <c r="N185" s="670"/>
      <c r="O185" s="14"/>
      <c r="P185" s="15"/>
      <c r="Q185" s="15" t="str">
        <f>IF(ISTEXT('Incurred 2.5% cpi'!Q185),"",'Incurred 2.5% cpi'!Q185/'Incurred 2.5% cpi'!Q$17*Incurred!Q$17)</f>
        <v/>
      </c>
      <c r="R185" s="110">
        <f>IF(ISTEXT('Incurred 2.5% cpi'!R185),"",'Incurred 2.5% cpi'!R185/'Incurred 2.5% cpi'!R$17*Incurred!R$17*BG185)</f>
        <v>560106.00720795791</v>
      </c>
      <c r="S185" s="102">
        <f>IF(ISTEXT('Incurred 2.5% cpi'!S185),"",'Incurred 2.5% cpi'!S185/'Incurred 2.5% cpi'!S$17*Incurred!S$17*BH185)</f>
        <v>632837.40751562454</v>
      </c>
      <c r="T185" s="16" t="str">
        <f>IF(ISTEXT('Incurred 2.5% cpi'!T185),"",'Incurred 2.5% cpi'!T185/'Incurred 2.5% cpi'!T$17*Incurred!T$17*BI185)</f>
        <v/>
      </c>
      <c r="U185" s="16" t="str">
        <f>IF(ISTEXT('Incurred 2.5% cpi'!U185),"",'Incurred 2.5% cpi'!U185/'Incurred 2.5% cpi'!U$17*Incurred!U$17*BJ185)</f>
        <v/>
      </c>
      <c r="V185" s="16" t="str">
        <f>IF(ISTEXT('Incurred 2.5% cpi'!V185),"",'Incurred 2.5% cpi'!V185/'Incurred 2.5% cpi'!V$17*Incurred!V$17*BK185)</f>
        <v/>
      </c>
      <c r="W185" s="110" t="str">
        <f>IF(ISTEXT('Incurred 2.5% cpi'!W185),"",'Incurred 2.5% cpi'!W185/'Incurred 2.5% cpi'!W$17*Incurred!W$17*BL185)</f>
        <v/>
      </c>
      <c r="X185" s="102" t="str">
        <f>IF(ISTEXT('Incurred 2.5% cpi'!X185),"",'Incurred 2.5% cpi'!X185/'Incurred 2.5% cpi'!X$17*Incurred!X$17*BM185)</f>
        <v/>
      </c>
      <c r="Y185" s="80">
        <f t="shared" si="248"/>
        <v>1192943.4147235826</v>
      </c>
      <c r="Z185" s="80">
        <f t="shared" si="275"/>
        <v>1192943.4147235826</v>
      </c>
      <c r="AA185" s="566">
        <f t="shared" si="276"/>
        <v>1332242.6247299113</v>
      </c>
      <c r="AB185" s="566">
        <f t="shared" si="277"/>
        <v>1206946.0649037813</v>
      </c>
      <c r="AC185" s="567">
        <f t="shared" si="292"/>
        <v>1.1038128906249998</v>
      </c>
      <c r="AD185" s="568" t="str">
        <f t="shared" si="278"/>
        <v>2019</v>
      </c>
      <c r="AE185" s="569">
        <v>43399</v>
      </c>
      <c r="AF185" s="568">
        <v>2019</v>
      </c>
      <c r="AG185" s="569"/>
      <c r="AH185" s="566">
        <f t="shared" si="301"/>
        <v>1177508.3560036891</v>
      </c>
      <c r="AI185" s="80">
        <f t="shared" si="279"/>
        <v>632837.40751562454</v>
      </c>
      <c r="AJ185" s="571" t="s">
        <v>3035</v>
      </c>
      <c r="AK185" s="875">
        <f t="shared" si="310"/>
        <v>60250.000000000029</v>
      </c>
      <c r="AL185" s="28">
        <f t="shared" si="316"/>
        <v>0</v>
      </c>
      <c r="AM185" s="28">
        <f t="shared" si="316"/>
        <v>0</v>
      </c>
      <c r="AN185" s="28">
        <f t="shared" si="316"/>
        <v>0</v>
      </c>
      <c r="AO185" s="28">
        <f t="shared" si="316"/>
        <v>1</v>
      </c>
      <c r="AP185" s="28">
        <f t="shared" si="316"/>
        <v>0</v>
      </c>
      <c r="AQ185" s="28">
        <f t="shared" si="316"/>
        <v>0</v>
      </c>
      <c r="AR185" s="28">
        <f t="shared" si="316"/>
        <v>0</v>
      </c>
      <c r="AS185" s="28">
        <f t="shared" si="316"/>
        <v>0</v>
      </c>
      <c r="AT185" s="28">
        <f t="shared" si="316"/>
        <v>0</v>
      </c>
      <c r="AU185" s="28">
        <f t="shared" si="316"/>
        <v>0</v>
      </c>
      <c r="AV185" s="28">
        <f t="shared" si="317"/>
        <v>0</v>
      </c>
      <c r="AW185" s="28">
        <f t="shared" si="317"/>
        <v>0</v>
      </c>
      <c r="AX185" s="28">
        <f t="shared" si="317"/>
        <v>0</v>
      </c>
      <c r="AY185" s="28">
        <f t="shared" si="317"/>
        <v>0</v>
      </c>
      <c r="AZ185" s="28">
        <f t="shared" si="317"/>
        <v>0</v>
      </c>
      <c r="BA185" s="28">
        <f t="shared" si="317"/>
        <v>0</v>
      </c>
      <c r="BB185" s="28">
        <f t="shared" si="317"/>
        <v>0</v>
      </c>
      <c r="BC185" s="28">
        <f t="shared" si="317"/>
        <v>0</v>
      </c>
      <c r="BD185" s="28">
        <f t="shared" si="317"/>
        <v>0</v>
      </c>
      <c r="BE185" s="28">
        <f t="shared" si="317"/>
        <v>0</v>
      </c>
      <c r="BF185" s="27">
        <f t="shared" si="318"/>
        <v>1</v>
      </c>
      <c r="BG185" s="520">
        <f t="shared" si="296"/>
        <v>1.0056339263672323</v>
      </c>
      <c r="BH185" s="520">
        <f t="shared" si="282"/>
        <v>1.0107662402878415</v>
      </c>
      <c r="BI185" s="520">
        <f t="shared" si="283"/>
        <v>1.0163207895272559</v>
      </c>
      <c r="BJ185" s="520">
        <f t="shared" si="284"/>
        <v>1.0227369445146317</v>
      </c>
      <c r="BK185" s="520">
        <f t="shared" si="285"/>
        <v>1.0320845069335576</v>
      </c>
      <c r="BL185" s="520">
        <f t="shared" si="286"/>
        <v>1.0425988551926402</v>
      </c>
      <c r="BM185" s="520">
        <f t="shared" si="287"/>
        <v>1.0496379258962139</v>
      </c>
      <c r="BN185" s="521" t="str">
        <f t="shared" si="288"/>
        <v>Project</v>
      </c>
      <c r="BP185" s="3"/>
    </row>
    <row r="186" spans="1:68" hidden="1" x14ac:dyDescent="0.15">
      <c r="A186" s="78" t="s">
        <v>383</v>
      </c>
      <c r="B186" s="13" t="s">
        <v>384</v>
      </c>
      <c r="C186" s="13" t="s">
        <v>27</v>
      </c>
      <c r="D186" s="13" t="s">
        <v>55</v>
      </c>
      <c r="E186" s="13" t="s">
        <v>112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5">
        <v>0</v>
      </c>
      <c r="N186" s="670"/>
      <c r="O186" s="14"/>
      <c r="P186" s="15"/>
      <c r="Q186" s="15" t="str">
        <f>IF(ISTEXT('Incurred 2.5% cpi'!Q186),"",'Incurred 2.5% cpi'!Q186/'Incurred 2.5% cpi'!Q$17*Incurred!Q$17)</f>
        <v/>
      </c>
      <c r="R186" s="110" t="str">
        <f>IF(ISTEXT('Incurred 2.5% cpi'!R186),"",'Incurred 2.5% cpi'!R186/'Incurred 2.5% cpi'!R$17*Incurred!R$17*BG186)</f>
        <v/>
      </c>
      <c r="S186" s="102">
        <f>IF(ISTEXT('Incurred 2.5% cpi'!S186),"",'Incurred 2.5% cpi'!S186/'Incurred 2.5% cpi'!S$17*Incurred!S$17*BH186)</f>
        <v>108577.48788365891</v>
      </c>
      <c r="T186" s="16">
        <f>IF(ISTEXT('Incurred 2.5% cpi'!T186),"",'Incurred 2.5% cpi'!T186/'Incurred 2.5% cpi'!T$17*Incurred!T$17*BI186)</f>
        <v>1285829.4978525043</v>
      </c>
      <c r="U186" s="16">
        <f>IF(ISTEXT('Incurred 2.5% cpi'!U186),"",'Incurred 2.5% cpi'!U186/'Incurred 2.5% cpi'!U$17*Incurred!U$17*BJ186)</f>
        <v>1143444.267130869</v>
      </c>
      <c r="V186" s="16">
        <f>IF(ISTEXT('Incurred 2.5% cpi'!V186),"",'Incurred 2.5% cpi'!V186/'Incurred 2.5% cpi'!V$17*Incurred!V$17*BK186)</f>
        <v>9033.1220907314309</v>
      </c>
      <c r="W186" s="110" t="str">
        <f>IF(ISTEXT('Incurred 2.5% cpi'!W186),"",'Incurred 2.5% cpi'!W186/'Incurred 2.5% cpi'!W$17*Incurred!W$17*BL186)</f>
        <v/>
      </c>
      <c r="X186" s="102" t="str">
        <f>IF(ISTEXT('Incurred 2.5% cpi'!X186),"",'Incurred 2.5% cpi'!X186/'Incurred 2.5% cpi'!X$17*Incurred!X$17*BM186)</f>
        <v/>
      </c>
      <c r="Y186" s="80">
        <f t="shared" si="248"/>
        <v>2546884.3749577631</v>
      </c>
      <c r="Z186" s="80">
        <f t="shared" si="275"/>
        <v>2546884.3749577631</v>
      </c>
      <c r="AA186" s="566">
        <f t="shared" si="276"/>
        <v>2715137.0456408504</v>
      </c>
      <c r="AB186" s="566">
        <f t="shared" si="277"/>
        <v>2584306.5276771928</v>
      </c>
      <c r="AC186" s="567">
        <f t="shared" si="292"/>
        <v>1.0506249999999999</v>
      </c>
      <c r="AD186" s="568" t="str">
        <f t="shared" si="278"/>
        <v>2022</v>
      </c>
      <c r="AE186" s="569">
        <v>44246</v>
      </c>
      <c r="AF186" s="568">
        <v>2021</v>
      </c>
      <c r="AG186" s="569"/>
      <c r="AH186" s="566">
        <f t="shared" si="301"/>
        <v>2399785.5192371029</v>
      </c>
      <c r="AI186" s="80">
        <f t="shared" si="279"/>
        <v>9033.1220907314309</v>
      </c>
      <c r="AJ186" s="571" t="s">
        <v>3035</v>
      </c>
      <c r="AK186" s="875">
        <f t="shared" si="310"/>
        <v>1769192.0000000023</v>
      </c>
      <c r="AL186" s="28">
        <f t="shared" si="316"/>
        <v>0</v>
      </c>
      <c r="AM186" s="28">
        <f t="shared" si="316"/>
        <v>0</v>
      </c>
      <c r="AN186" s="28">
        <f t="shared" si="316"/>
        <v>0</v>
      </c>
      <c r="AO186" s="28">
        <f t="shared" si="316"/>
        <v>1</v>
      </c>
      <c r="AP186" s="28">
        <f t="shared" si="316"/>
        <v>0</v>
      </c>
      <c r="AQ186" s="28">
        <f t="shared" si="316"/>
        <v>0</v>
      </c>
      <c r="AR186" s="28">
        <f t="shared" si="316"/>
        <v>0</v>
      </c>
      <c r="AS186" s="28">
        <f t="shared" si="316"/>
        <v>0</v>
      </c>
      <c r="AT186" s="28">
        <f t="shared" si="316"/>
        <v>0</v>
      </c>
      <c r="AU186" s="28">
        <f t="shared" si="316"/>
        <v>0</v>
      </c>
      <c r="AV186" s="28">
        <f t="shared" si="317"/>
        <v>0</v>
      </c>
      <c r="AW186" s="28">
        <f t="shared" si="317"/>
        <v>0</v>
      </c>
      <c r="AX186" s="28">
        <f t="shared" si="317"/>
        <v>0</v>
      </c>
      <c r="AY186" s="28">
        <f t="shared" si="317"/>
        <v>0</v>
      </c>
      <c r="AZ186" s="28">
        <f t="shared" si="317"/>
        <v>0</v>
      </c>
      <c r="BA186" s="28">
        <f t="shared" si="317"/>
        <v>0</v>
      </c>
      <c r="BB186" s="28">
        <f t="shared" si="317"/>
        <v>0</v>
      </c>
      <c r="BC186" s="28">
        <f t="shared" si="317"/>
        <v>0</v>
      </c>
      <c r="BD186" s="28">
        <f t="shared" si="317"/>
        <v>0</v>
      </c>
      <c r="BE186" s="28">
        <f t="shared" si="317"/>
        <v>0</v>
      </c>
      <c r="BF186" s="27">
        <f t="shared" si="318"/>
        <v>1</v>
      </c>
      <c r="BG186" s="520">
        <f t="shared" si="296"/>
        <v>1.0013050959036223</v>
      </c>
      <c r="BH186" s="520">
        <f t="shared" si="282"/>
        <v>1.0024939935634936</v>
      </c>
      <c r="BI186" s="520">
        <f t="shared" si="283"/>
        <v>1.0037807017996874</v>
      </c>
      <c r="BJ186" s="520">
        <f t="shared" si="284"/>
        <v>1.005267000527291</v>
      </c>
      <c r="BK186" s="520">
        <f t="shared" si="285"/>
        <v>1.0074323581529687</v>
      </c>
      <c r="BL186" s="520">
        <f t="shared" si="286"/>
        <v>1.0098680010683598</v>
      </c>
      <c r="BM186" s="520">
        <f t="shared" si="287"/>
        <v>1.0114985978745183</v>
      </c>
      <c r="BN186" s="521" t="str">
        <f t="shared" si="288"/>
        <v>Project</v>
      </c>
      <c r="BP186" s="3"/>
    </row>
    <row r="187" spans="1:68" hidden="1" x14ac:dyDescent="0.15">
      <c r="A187" s="78" t="s">
        <v>385</v>
      </c>
      <c r="B187" s="13" t="s">
        <v>2307</v>
      </c>
      <c r="C187" s="13" t="s">
        <v>27</v>
      </c>
      <c r="D187" s="13" t="s">
        <v>55</v>
      </c>
      <c r="E187" s="13" t="s">
        <v>112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5">
        <v>0</v>
      </c>
      <c r="N187" s="670"/>
      <c r="O187" s="14"/>
      <c r="P187" s="15"/>
      <c r="Q187" s="15" t="str">
        <f>IF(ISTEXT('Incurred 2.5% cpi'!Q187),"",'Incurred 2.5% cpi'!Q187/'Incurred 2.5% cpi'!Q$17*Incurred!Q$17)</f>
        <v/>
      </c>
      <c r="R187" s="110" t="str">
        <f>IF(ISTEXT('Incurred 2.5% cpi'!R187),"",'Incurred 2.5% cpi'!R187/'Incurred 2.5% cpi'!R$17*Incurred!R$17*BG187)</f>
        <v/>
      </c>
      <c r="S187" s="102" t="str">
        <f>IF(ISTEXT('Incurred 2.5% cpi'!S187),"",'Incurred 2.5% cpi'!S187/'Incurred 2.5% cpi'!S$17*Incurred!S$17*BH187)</f>
        <v/>
      </c>
      <c r="T187" s="16" t="str">
        <f>IF(ISTEXT('Incurred 2.5% cpi'!T187),"",'Incurred 2.5% cpi'!T187/'Incurred 2.5% cpi'!T$17*Incurred!T$17*BI187)</f>
        <v/>
      </c>
      <c r="U187" s="16">
        <f>IF(ISTEXT('Incurred 2.5% cpi'!U187),"",'Incurred 2.5% cpi'!U187/'Incurred 2.5% cpi'!U$17*Incurred!U$17*BJ187)</f>
        <v>62171.405655802089</v>
      </c>
      <c r="V187" s="16">
        <f>IF(ISTEXT('Incurred 2.5% cpi'!V187),"",'Incurred 2.5% cpi'!V187/'Incurred 2.5% cpi'!V$17*Incurred!V$17*BK187)</f>
        <v>828293.98939660052</v>
      </c>
      <c r="W187" s="110">
        <f>IF(ISTEXT('Incurred 2.5% cpi'!W187),"",'Incurred 2.5% cpi'!W187/'Incurred 2.5% cpi'!W$17*Incurred!W$17*BL187)</f>
        <v>434386.18126553128</v>
      </c>
      <c r="X187" s="102" t="str">
        <f>IF(ISTEXT('Incurred 2.5% cpi'!X187),"",'Incurred 2.5% cpi'!X187/'Incurred 2.5% cpi'!X$17*Incurred!X$17*BM187)</f>
        <v/>
      </c>
      <c r="Y187" s="80">
        <f t="shared" si="248"/>
        <v>1324851.5763179339</v>
      </c>
      <c r="Z187" s="80">
        <f t="shared" si="275"/>
        <v>1324851.5763179339</v>
      </c>
      <c r="AA187" s="566">
        <f t="shared" si="276"/>
        <v>1348706.3534641739</v>
      </c>
      <c r="AB187" s="566">
        <f t="shared" si="277"/>
        <v>1348706.3534641739</v>
      </c>
      <c r="AC187" s="567">
        <f t="shared" si="292"/>
        <v>1</v>
      </c>
      <c r="AD187" s="568" t="str">
        <f t="shared" si="278"/>
        <v>2023</v>
      </c>
      <c r="AE187" s="569">
        <v>44811</v>
      </c>
      <c r="AF187" s="568">
        <v>2023</v>
      </c>
      <c r="AG187" s="569"/>
      <c r="AH187" s="566">
        <f t="shared" si="301"/>
        <v>1192059.893235507</v>
      </c>
      <c r="AI187" s="80">
        <f t="shared" si="279"/>
        <v>434386.18126553128</v>
      </c>
      <c r="AJ187" s="571" t="s">
        <v>3035</v>
      </c>
      <c r="AK187" s="875">
        <f t="shared" si="310"/>
        <v>220000</v>
      </c>
      <c r="AL187" s="28">
        <f t="shared" si="316"/>
        <v>0</v>
      </c>
      <c r="AM187" s="28">
        <f t="shared" si="316"/>
        <v>0</v>
      </c>
      <c r="AN187" s="28">
        <f t="shared" si="316"/>
        <v>0</v>
      </c>
      <c r="AO187" s="28">
        <f t="shared" si="316"/>
        <v>1</v>
      </c>
      <c r="AP187" s="28">
        <f t="shared" si="316"/>
        <v>0</v>
      </c>
      <c r="AQ187" s="28">
        <f t="shared" si="316"/>
        <v>0</v>
      </c>
      <c r="AR187" s="28">
        <f t="shared" si="316"/>
        <v>0</v>
      </c>
      <c r="AS187" s="28">
        <f t="shared" si="316"/>
        <v>0</v>
      </c>
      <c r="AT187" s="28">
        <f t="shared" si="316"/>
        <v>0</v>
      </c>
      <c r="AU187" s="28">
        <f t="shared" si="316"/>
        <v>0</v>
      </c>
      <c r="AV187" s="28">
        <f t="shared" si="317"/>
        <v>0</v>
      </c>
      <c r="AW187" s="28">
        <f t="shared" si="317"/>
        <v>0</v>
      </c>
      <c r="AX187" s="28">
        <f t="shared" si="317"/>
        <v>0</v>
      </c>
      <c r="AY187" s="28">
        <f t="shared" si="317"/>
        <v>0</v>
      </c>
      <c r="AZ187" s="28">
        <f t="shared" si="317"/>
        <v>0</v>
      </c>
      <c r="BA187" s="28">
        <f t="shared" si="317"/>
        <v>0</v>
      </c>
      <c r="BB187" s="28">
        <f t="shared" si="317"/>
        <v>0</v>
      </c>
      <c r="BC187" s="28">
        <f t="shared" si="317"/>
        <v>0</v>
      </c>
      <c r="BD187" s="28">
        <f t="shared" si="317"/>
        <v>0</v>
      </c>
      <c r="BE187" s="28">
        <f t="shared" si="317"/>
        <v>0</v>
      </c>
      <c r="BF187" s="27">
        <f t="shared" si="318"/>
        <v>1</v>
      </c>
      <c r="BG187" s="520">
        <f t="shared" si="296"/>
        <v>1.0047443590460903</v>
      </c>
      <c r="BH187" s="520">
        <f t="shared" si="282"/>
        <v>1.0090663076108137</v>
      </c>
      <c r="BI187" s="520">
        <f t="shared" si="283"/>
        <v>1.0137438227597946</v>
      </c>
      <c r="BJ187" s="520">
        <f t="shared" si="284"/>
        <v>1.0191469006439002</v>
      </c>
      <c r="BK187" s="520">
        <f t="shared" si="285"/>
        <v>1.0270185321545748</v>
      </c>
      <c r="BL187" s="520">
        <f t="shared" si="286"/>
        <v>1.0358727201622233</v>
      </c>
      <c r="BM187" s="520">
        <f t="shared" si="287"/>
        <v>1.0418003586494431</v>
      </c>
      <c r="BN187" s="521" t="str">
        <f t="shared" si="288"/>
        <v>Project</v>
      </c>
      <c r="BP187" s="3"/>
    </row>
    <row r="188" spans="1:68" hidden="1" x14ac:dyDescent="0.15">
      <c r="A188" s="78" t="s">
        <v>386</v>
      </c>
      <c r="B188" s="13" t="s">
        <v>2308</v>
      </c>
      <c r="C188" s="13" t="s">
        <v>27</v>
      </c>
      <c r="D188" s="13" t="s">
        <v>55</v>
      </c>
      <c r="E188" s="13" t="s">
        <v>112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5">
        <v>0</v>
      </c>
      <c r="N188" s="670"/>
      <c r="O188" s="14"/>
      <c r="P188" s="15"/>
      <c r="Q188" s="15" t="str">
        <f>IF(ISTEXT('Incurred 2.5% cpi'!Q188),"",'Incurred 2.5% cpi'!Q188/'Incurred 2.5% cpi'!Q$17*Incurred!Q$17)</f>
        <v/>
      </c>
      <c r="R188" s="110" t="str">
        <f>IF(ISTEXT('Incurred 2.5% cpi'!R188),"",'Incurred 2.5% cpi'!R188/'Incurred 2.5% cpi'!R$17*Incurred!R$17*BG188)</f>
        <v/>
      </c>
      <c r="S188" s="102" t="str">
        <f>IF(ISTEXT('Incurred 2.5% cpi'!S188),"",'Incurred 2.5% cpi'!S188/'Incurred 2.5% cpi'!S$17*Incurred!S$17*BH188)</f>
        <v/>
      </c>
      <c r="T188" s="16" t="str">
        <f>IF(ISTEXT('Incurred 2.5% cpi'!T188),"",'Incurred 2.5% cpi'!T188/'Incurred 2.5% cpi'!T$17*Incurred!T$17*BI188)</f>
        <v/>
      </c>
      <c r="U188" s="16" t="str">
        <f>IF(ISTEXT('Incurred 2.5% cpi'!U188),"",'Incurred 2.5% cpi'!U188/'Incurred 2.5% cpi'!U$17*Incurred!U$17*BJ188)</f>
        <v/>
      </c>
      <c r="V188" s="16">
        <f>IF(ISTEXT('Incurred 2.5% cpi'!V188),"",'Incurred 2.5% cpi'!V188/'Incurred 2.5% cpi'!V$17*Incurred!V$17*BK188)</f>
        <v>1320966.4428699573</v>
      </c>
      <c r="W188" s="110">
        <f>IF(ISTEXT('Incurred 2.5% cpi'!W188),"",'Incurred 2.5% cpi'!W188/'Incurred 2.5% cpi'!W$17*Incurred!W$17*BL188)</f>
        <v>1197924.9601684962</v>
      </c>
      <c r="X188" s="102">
        <f>IF(ISTEXT('Incurred 2.5% cpi'!X188),"",'Incurred 2.5% cpi'!X188/'Incurred 2.5% cpi'!X$17*Incurred!X$17*BM188)</f>
        <v>1175321.9658989827</v>
      </c>
      <c r="Y188" s="80">
        <f t="shared" si="248"/>
        <v>2518891.4030384533</v>
      </c>
      <c r="Z188" s="80">
        <f t="shared" ref="Z188:Z214" si="319">-SUMIFS(F188:W188,F188:W188,"&lt;0")+SUMIFS(F188:W188,F188:W188,"&gt;0")</f>
        <v>2518891.4030384533</v>
      </c>
      <c r="AA188" s="566">
        <f t="shared" ref="AA188:AA209" si="320">IF(ROUND(Y188,0)=0,0,SUMPRODUCT($F$20:$W$20,F188:W188))</f>
        <v>2551915.5641102022</v>
      </c>
      <c r="AB188" s="566">
        <f t="shared" ref="AB188:AB214" si="321">IF(AC188="","",AA188/AC188)</f>
        <v>2551915.5641102022</v>
      </c>
      <c r="AC188" s="567">
        <f t="shared" si="292"/>
        <v>1</v>
      </c>
      <c r="AD188" s="568" t="str">
        <f>IF(AI188=0,"",INDEX($F$24:$X$24,1,MATCH(AI188,F188:X188,0)))</f>
        <v>2024</v>
      </c>
      <c r="AE188" s="569">
        <v>45386</v>
      </c>
      <c r="AF188" s="568">
        <v>2024</v>
      </c>
      <c r="AG188" s="569"/>
      <c r="AH188" s="566">
        <f t="shared" si="301"/>
        <v>2255521.5129562616</v>
      </c>
      <c r="AI188" s="80">
        <f t="shared" ref="AI188:AI214" si="322">IF(ROUND(Z188,0)=0,0,LOOKUP(2,1/(F188:X188&lt;&gt;""),F188:X188))</f>
        <v>1175321.9658989827</v>
      </c>
      <c r="AJ188" s="571" t="s">
        <v>3035</v>
      </c>
      <c r="AK188" s="875">
        <f t="shared" si="310"/>
        <v>0</v>
      </c>
      <c r="AL188" s="28">
        <f t="shared" ref="AL188:AU188" si="323">IF($AK188=0,VLOOKUP(MID($A188,4,5),ProjectSplits,AL$23,FALSE),IF(ISNA(VLOOKUP($A188,Estimates,AL$22,FALSE)),VLOOKUP(MID($A188,4,5),ProjectSplits,AL$23,FALSE),VLOOKUP($A188,Estimates,AL$22,FALSE)))</f>
        <v>0</v>
      </c>
      <c r="AM188" s="28">
        <f t="shared" si="323"/>
        <v>0</v>
      </c>
      <c r="AN188" s="28">
        <f t="shared" si="323"/>
        <v>0</v>
      </c>
      <c r="AO188" s="28">
        <f t="shared" si="323"/>
        <v>1</v>
      </c>
      <c r="AP188" s="28">
        <f t="shared" si="323"/>
        <v>0</v>
      </c>
      <c r="AQ188" s="28">
        <f t="shared" si="323"/>
        <v>0</v>
      </c>
      <c r="AR188" s="28">
        <f t="shared" si="323"/>
        <v>0</v>
      </c>
      <c r="AS188" s="28">
        <f t="shared" si="323"/>
        <v>0</v>
      </c>
      <c r="AT188" s="28">
        <f t="shared" si="323"/>
        <v>0</v>
      </c>
      <c r="AU188" s="28">
        <f t="shared" si="323"/>
        <v>0</v>
      </c>
      <c r="AV188" s="28">
        <f t="shared" ref="AV188:BE188" si="324">IF($AK188=0,VLOOKUP(MID($A188,4,5),ProjectSplits,AV$23,FALSE),IF(ISNA(VLOOKUP($A188,Estimates,AV$22,FALSE)),VLOOKUP(MID($A188,4,5),ProjectSplits,AV$23,FALSE),VLOOKUP($A188,Estimates,AV$22,FALSE)))</f>
        <v>0</v>
      </c>
      <c r="AW188" s="28">
        <f t="shared" si="324"/>
        <v>0</v>
      </c>
      <c r="AX188" s="28">
        <f t="shared" si="324"/>
        <v>0</v>
      </c>
      <c r="AY188" s="28">
        <f t="shared" si="324"/>
        <v>0</v>
      </c>
      <c r="AZ188" s="28">
        <f t="shared" si="324"/>
        <v>0</v>
      </c>
      <c r="BA188" s="28">
        <f t="shared" si="324"/>
        <v>0</v>
      </c>
      <c r="BB188" s="28">
        <f t="shared" si="324"/>
        <v>0</v>
      </c>
      <c r="BC188" s="28">
        <f t="shared" si="324"/>
        <v>0</v>
      </c>
      <c r="BD188" s="28">
        <f t="shared" si="324"/>
        <v>0</v>
      </c>
      <c r="BE188" s="28">
        <f t="shared" si="324"/>
        <v>0</v>
      </c>
      <c r="BF188" s="27">
        <f t="shared" ref="BF188" si="325">SUM(AL188:BD188)</f>
        <v>1</v>
      </c>
      <c r="BG188" s="520">
        <f t="shared" si="296"/>
        <v>1.0059304488076128</v>
      </c>
      <c r="BH188" s="520">
        <f t="shared" ref="BH188:BH214" si="326">1+IF(ISNA(VLOOKUP($A188,ProjLabEsc,7,FALSE)),VLOOKUP($D188,CatLabEsc,4,FALSE),VLOOKUP($A188,ProjLabEsc,7,FALSE))*LabEsc19*LabIn</f>
        <v>1.0113328845135172</v>
      </c>
      <c r="BI188" s="520">
        <f t="shared" ref="BI188:BI214" si="327">1+IF(ISNA(VLOOKUP($A188,ProjLabEsc,7,FALSE)),VLOOKUP($D188,CatLabEsc,4,FALSE),VLOOKUP($A188,ProjLabEsc,7,FALSE))*LabEsc20*LabIn</f>
        <v>1.0171797784497432</v>
      </c>
      <c r="BJ188" s="520">
        <f t="shared" ref="BJ188:BJ214" si="328">1+IF(ISNA(VLOOKUP($A188,ProjLabEsc,7,FALSE)),VLOOKUP($D188,CatLabEsc,4,FALSE),VLOOKUP($A188,ProjLabEsc,7,FALSE))*LabEsc21*LabIn</f>
        <v>1.0239336258048755</v>
      </c>
      <c r="BK188" s="520">
        <f t="shared" ref="BK188:BK214" si="329">1+IF(ISNA(VLOOKUP($A188,ProjLabEsc,7,FALSE)),VLOOKUP($D188,CatLabEsc,4,FALSE),VLOOKUP($A188,ProjLabEsc,7,FALSE))*LabEsc22*LabIn</f>
        <v>1.0337731651932187</v>
      </c>
      <c r="BL188" s="520">
        <f t="shared" ref="BL188:BL214" si="330">1+IF(ISNA(VLOOKUP($A188,ProjLabEsc,7,FALSE)),VLOOKUP($D188,CatLabEsc,4,FALSE),VLOOKUP($A188,ProjLabEsc,7,FALSE))*LabEsc23*LabIn</f>
        <v>1.0448409002027792</v>
      </c>
      <c r="BM188" s="520">
        <f t="shared" ref="BM188:BM214" si="331">1+IF(ISNA(VLOOKUP($A188,ProjLabEsc,7,FALSE)),VLOOKUP($D188,CatLabEsc,4,FALSE),VLOOKUP($A188,ProjLabEsc,7,FALSE))*LabEsc24*LabIn</f>
        <v>1.052250448311804</v>
      </c>
      <c r="BN188" s="521" t="str">
        <f t="shared" ref="BN188:BN214" si="332">IF(ISNA(VLOOKUP($A188,ProjLabEsc,7,FALSE)),"Category","Project")</f>
        <v>Project</v>
      </c>
      <c r="BP188" s="3"/>
    </row>
    <row r="189" spans="1:68" hidden="1" x14ac:dyDescent="0.15">
      <c r="A189" s="78" t="s">
        <v>388</v>
      </c>
      <c r="B189" s="13" t="s">
        <v>389</v>
      </c>
      <c r="C189" s="13" t="s">
        <v>27</v>
      </c>
      <c r="D189" s="13" t="s">
        <v>40</v>
      </c>
      <c r="E189" s="13" t="s">
        <v>112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5">
        <v>0</v>
      </c>
      <c r="N189" s="670"/>
      <c r="O189" s="14"/>
      <c r="P189" s="15"/>
      <c r="Q189" s="15" t="str">
        <f>IF(ISTEXT('Incurred 2.5% cpi'!Q189),"",'Incurred 2.5% cpi'!Q189/'Incurred 2.5% cpi'!Q$17*Incurred!Q$17)</f>
        <v/>
      </c>
      <c r="R189" s="110" t="str">
        <f>IF(ISTEXT('Incurred 2.5% cpi'!R189),"",'Incurred 2.5% cpi'!R189/'Incurred 2.5% cpi'!R$17*Incurred!R$17*BG189)</f>
        <v/>
      </c>
      <c r="S189" s="102" t="str">
        <f>IF(ISTEXT('Incurred 2.5% cpi'!S189),"",'Incurred 2.5% cpi'!S189/'Incurred 2.5% cpi'!S$17*Incurred!S$17*BH189)</f>
        <v/>
      </c>
      <c r="T189" s="16">
        <f>IF(ISTEXT('Incurred 2.5% cpi'!T189),"",'Incurred 2.5% cpi'!T189/'Incurred 2.5% cpi'!T$17*Incurred!T$17*BI189)</f>
        <v>811511.68276677339</v>
      </c>
      <c r="U189" s="16">
        <f>IF(ISTEXT('Incurred 2.5% cpi'!U189),"",'Incurred 2.5% cpi'!U189/'Incurred 2.5% cpi'!U$17*Incurred!U$17*BJ189)</f>
        <v>1737017.9181988891</v>
      </c>
      <c r="V189" s="16">
        <f>IF(ISTEXT('Incurred 2.5% cpi'!V189),"",'Incurred 2.5% cpi'!V189/'Incurred 2.5% cpi'!V$17*Incurred!V$17*BK189)</f>
        <v>852560.15182617365</v>
      </c>
      <c r="W189" s="110" t="str">
        <f>IF(ISTEXT('Incurred 2.5% cpi'!W189),"",'Incurred 2.5% cpi'!W189/'Incurred 2.5% cpi'!W$17*Incurred!W$17*BL189)</f>
        <v/>
      </c>
      <c r="X189" s="102" t="str">
        <f>IF(ISTEXT('Incurred 2.5% cpi'!X189),"",'Incurred 2.5% cpi'!X189/'Incurred 2.5% cpi'!X$17*Incurred!X$17*BM189)</f>
        <v/>
      </c>
      <c r="Y189" s="80">
        <f t="shared" si="248"/>
        <v>3401089.7527918359</v>
      </c>
      <c r="Z189" s="80">
        <f t="shared" si="319"/>
        <v>3401089.7527918359</v>
      </c>
      <c r="AA189" s="566">
        <f t="shared" si="320"/>
        <v>3572737.9291790482</v>
      </c>
      <c r="AB189" s="566">
        <f t="shared" si="321"/>
        <v>3485597.9796868768</v>
      </c>
      <c r="AC189" s="567">
        <f t="shared" si="292"/>
        <v>1.0249999999999999</v>
      </c>
      <c r="AD189" s="568" t="str">
        <f t="shared" ref="AD189:AD214" si="333">IF(AI189=0,"",INDEX($F$24:$W$24,1,MATCH(AI189,F189:W189,0)))</f>
        <v>2022</v>
      </c>
      <c r="AE189" s="569">
        <v>44489</v>
      </c>
      <c r="AF189" s="568">
        <v>2022</v>
      </c>
      <c r="AG189" s="569"/>
      <c r="AH189" s="566">
        <f t="shared" si="301"/>
        <v>3157779.7372100488</v>
      </c>
      <c r="AI189" s="80">
        <f t="shared" si="322"/>
        <v>852560.15182617365</v>
      </c>
      <c r="AJ189" s="571" t="s">
        <v>3035</v>
      </c>
      <c r="AK189" s="875">
        <f t="shared" si="310"/>
        <v>0</v>
      </c>
      <c r="AL189" s="28">
        <f t="shared" ref="AL189:AU190" si="334">IF($AK189=0,VLOOKUP(MID($A189,4,5),ProjectSplits,AL$23,FALSE),IF(ISNA(VLOOKUP($A189,Estimates,AL$22,FALSE)),VLOOKUP(MID($A189,4,5),ProjectSplits,AL$23,FALSE),VLOOKUP($A189,Estimates,AL$22,FALSE)))</f>
        <v>0</v>
      </c>
      <c r="AM189" s="28">
        <f t="shared" si="334"/>
        <v>0</v>
      </c>
      <c r="AN189" s="28">
        <f t="shared" si="334"/>
        <v>0</v>
      </c>
      <c r="AO189" s="28">
        <f t="shared" si="334"/>
        <v>0</v>
      </c>
      <c r="AP189" s="28">
        <f t="shared" si="334"/>
        <v>0</v>
      </c>
      <c r="AQ189" s="28">
        <f t="shared" si="334"/>
        <v>0</v>
      </c>
      <c r="AR189" s="28">
        <f t="shared" si="334"/>
        <v>0</v>
      </c>
      <c r="AS189" s="28">
        <f t="shared" si="334"/>
        <v>1</v>
      </c>
      <c r="AT189" s="28">
        <f t="shared" si="334"/>
        <v>0</v>
      </c>
      <c r="AU189" s="28">
        <f t="shared" si="334"/>
        <v>0</v>
      </c>
      <c r="AV189" s="28">
        <f t="shared" ref="AV189:BE190" si="335">IF($AK189=0,VLOOKUP(MID($A189,4,5),ProjectSplits,AV$23,FALSE),IF(ISNA(VLOOKUP($A189,Estimates,AV$22,FALSE)),VLOOKUP(MID($A189,4,5),ProjectSplits,AV$23,FALSE),VLOOKUP($A189,Estimates,AV$22,FALSE)))</f>
        <v>0</v>
      </c>
      <c r="AW189" s="28">
        <f t="shared" si="335"/>
        <v>0</v>
      </c>
      <c r="AX189" s="28">
        <f t="shared" si="335"/>
        <v>0</v>
      </c>
      <c r="AY189" s="28">
        <f t="shared" si="335"/>
        <v>0</v>
      </c>
      <c r="AZ189" s="28">
        <f t="shared" si="335"/>
        <v>0</v>
      </c>
      <c r="BA189" s="28">
        <f t="shared" si="335"/>
        <v>0</v>
      </c>
      <c r="BB189" s="28">
        <f t="shared" si="335"/>
        <v>0</v>
      </c>
      <c r="BC189" s="28">
        <f t="shared" si="335"/>
        <v>0</v>
      </c>
      <c r="BD189" s="28">
        <f t="shared" si="335"/>
        <v>0</v>
      </c>
      <c r="BE189" s="28">
        <f t="shared" si="335"/>
        <v>0</v>
      </c>
      <c r="BF189" s="27">
        <f t="shared" ref="BF189:BF190" si="336">SUM(AL189:BD189)</f>
        <v>1</v>
      </c>
      <c r="BG189" s="520">
        <f t="shared" si="296"/>
        <v>1.0059304488076128</v>
      </c>
      <c r="BH189" s="520">
        <f t="shared" si="326"/>
        <v>1.0113328845135172</v>
      </c>
      <c r="BI189" s="520">
        <f t="shared" si="327"/>
        <v>1.0171797784497432</v>
      </c>
      <c r="BJ189" s="520">
        <f t="shared" si="328"/>
        <v>1.0239336258048755</v>
      </c>
      <c r="BK189" s="520">
        <f t="shared" si="329"/>
        <v>1.0337731651932187</v>
      </c>
      <c r="BL189" s="520">
        <f t="shared" si="330"/>
        <v>1.0448409002027792</v>
      </c>
      <c r="BM189" s="520">
        <f t="shared" si="331"/>
        <v>1.052250448311804</v>
      </c>
      <c r="BN189" s="521" t="str">
        <f t="shared" si="332"/>
        <v>Project</v>
      </c>
      <c r="BP189" s="3"/>
    </row>
    <row r="190" spans="1:68" hidden="1" x14ac:dyDescent="0.15">
      <c r="A190" s="78" t="s">
        <v>390</v>
      </c>
      <c r="B190" s="13" t="s">
        <v>391</v>
      </c>
      <c r="C190" s="13" t="s">
        <v>27</v>
      </c>
      <c r="D190" s="13" t="s">
        <v>55</v>
      </c>
      <c r="E190" s="13" t="s">
        <v>29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5">
        <v>0</v>
      </c>
      <c r="N190" s="670"/>
      <c r="O190" s="14"/>
      <c r="P190" s="15"/>
      <c r="Q190" s="15">
        <f>IF(ISTEXT('Incurred 2.5% cpi'!Q190),"",'Incurred 2.5% cpi'!Q190/'Incurred 2.5% cpi'!Q$17*Incurred!Q$17)</f>
        <v>43971.57</v>
      </c>
      <c r="R190" s="110">
        <f>IF(ISTEXT('Incurred 2.5% cpi'!R190),"",'Incurred 2.5% cpi'!R190/'Incurred 2.5% cpi'!R$17*Incurred!R$17*BG190)</f>
        <v>401362.08739687904</v>
      </c>
      <c r="S190" s="102">
        <f>IF(ISTEXT('Incurred 2.5% cpi'!S190),"",'Incurred 2.5% cpi'!S190/'Incurred 2.5% cpi'!S$17*Incurred!S$17*BH190)</f>
        <v>486430.02784897771</v>
      </c>
      <c r="T190" s="16" t="str">
        <f>IF(ISTEXT('Incurred 2.5% cpi'!T190),"",'Incurred 2.5% cpi'!T190/'Incurred 2.5% cpi'!T$17*Incurred!T$17*BI190)</f>
        <v/>
      </c>
      <c r="U190" s="16" t="str">
        <f>IF(ISTEXT('Incurred 2.5% cpi'!U190),"",'Incurred 2.5% cpi'!U190/'Incurred 2.5% cpi'!U$17*Incurred!U$17*BJ190)</f>
        <v/>
      </c>
      <c r="V190" s="16" t="str">
        <f>IF(ISTEXT('Incurred 2.5% cpi'!V190),"",'Incurred 2.5% cpi'!V190/'Incurred 2.5% cpi'!V$17*Incurred!V$17*BK190)</f>
        <v/>
      </c>
      <c r="W190" s="110" t="str">
        <f>IF(ISTEXT('Incurred 2.5% cpi'!W190),"",'Incurred 2.5% cpi'!W190/'Incurred 2.5% cpi'!W$17*Incurred!W$17*BL190)</f>
        <v/>
      </c>
      <c r="X190" s="102" t="str">
        <f>IF(ISTEXT('Incurred 2.5% cpi'!X190),"",'Incurred 2.5% cpi'!X190/'Incurred 2.5% cpi'!X$17*Incurred!X$17*BM190)</f>
        <v/>
      </c>
      <c r="Y190" s="80">
        <f t="shared" si="248"/>
        <v>931763.68524585676</v>
      </c>
      <c r="Z190" s="80">
        <f t="shared" si="319"/>
        <v>931763.68524585676</v>
      </c>
      <c r="AA190" s="566">
        <f t="shared" si="320"/>
        <v>1042025.6374680202</v>
      </c>
      <c r="AB190" s="566">
        <f t="shared" si="321"/>
        <v>944023.79816202866</v>
      </c>
      <c r="AC190" s="567">
        <f t="shared" si="292"/>
        <v>1.1038128906249998</v>
      </c>
      <c r="AD190" s="568" t="str">
        <f t="shared" si="333"/>
        <v>2019</v>
      </c>
      <c r="AE190" s="569">
        <v>43322</v>
      </c>
      <c r="AF190" s="568">
        <v>2019</v>
      </c>
      <c r="AG190" s="569"/>
      <c r="AH190" s="566">
        <f t="shared" si="301"/>
        <v>920998.82747515</v>
      </c>
      <c r="AI190" s="80">
        <f t="shared" si="322"/>
        <v>486430.02784897771</v>
      </c>
      <c r="AJ190" s="571" t="s">
        <v>3035</v>
      </c>
      <c r="AK190" s="875">
        <f t="shared" si="310"/>
        <v>300000.00000000012</v>
      </c>
      <c r="AL190" s="28">
        <f t="shared" si="334"/>
        <v>0</v>
      </c>
      <c r="AM190" s="28">
        <f t="shared" si="334"/>
        <v>0</v>
      </c>
      <c r="AN190" s="28">
        <f t="shared" si="334"/>
        <v>0</v>
      </c>
      <c r="AO190" s="28">
        <f t="shared" si="334"/>
        <v>1</v>
      </c>
      <c r="AP190" s="28">
        <f t="shared" si="334"/>
        <v>0</v>
      </c>
      <c r="AQ190" s="28">
        <f t="shared" si="334"/>
        <v>0</v>
      </c>
      <c r="AR190" s="28">
        <f t="shared" si="334"/>
        <v>0</v>
      </c>
      <c r="AS190" s="28">
        <f t="shared" si="334"/>
        <v>0</v>
      </c>
      <c r="AT190" s="28">
        <f t="shared" si="334"/>
        <v>0</v>
      </c>
      <c r="AU190" s="28">
        <f t="shared" si="334"/>
        <v>0</v>
      </c>
      <c r="AV190" s="28">
        <f t="shared" si="335"/>
        <v>0</v>
      </c>
      <c r="AW190" s="28">
        <f t="shared" si="335"/>
        <v>0</v>
      </c>
      <c r="AX190" s="28">
        <f t="shared" si="335"/>
        <v>0</v>
      </c>
      <c r="AY190" s="28">
        <f t="shared" si="335"/>
        <v>0</v>
      </c>
      <c r="AZ190" s="28">
        <f t="shared" si="335"/>
        <v>0</v>
      </c>
      <c r="BA190" s="28">
        <f t="shared" si="335"/>
        <v>0</v>
      </c>
      <c r="BB190" s="28">
        <f t="shared" si="335"/>
        <v>0</v>
      </c>
      <c r="BC190" s="28">
        <f t="shared" si="335"/>
        <v>0</v>
      </c>
      <c r="BD190" s="28">
        <f t="shared" si="335"/>
        <v>0</v>
      </c>
      <c r="BE190" s="28">
        <f t="shared" si="335"/>
        <v>0</v>
      </c>
      <c r="BF190" s="27">
        <f t="shared" si="336"/>
        <v>1</v>
      </c>
      <c r="BG190" s="520">
        <f t="shared" si="296"/>
        <v>1.0046190746045656</v>
      </c>
      <c r="BH190" s="520">
        <f t="shared" si="326"/>
        <v>1.0088268933348963</v>
      </c>
      <c r="BI190" s="520">
        <f t="shared" si="327"/>
        <v>1.0133808891912874</v>
      </c>
      <c r="BJ190" s="520">
        <f t="shared" si="328"/>
        <v>1.018641287824382</v>
      </c>
      <c r="BK190" s="520">
        <f t="shared" si="329"/>
        <v>1.0263050529092395</v>
      </c>
      <c r="BL190" s="520">
        <f t="shared" si="330"/>
        <v>1.0349254280901359</v>
      </c>
      <c r="BM190" s="520">
        <f t="shared" si="331"/>
        <v>1.0406965352376705</v>
      </c>
      <c r="BN190" s="521" t="str">
        <f t="shared" si="332"/>
        <v>Category</v>
      </c>
      <c r="BP190" s="3"/>
    </row>
    <row r="191" spans="1:68" hidden="1" x14ac:dyDescent="0.15">
      <c r="A191" s="78" t="s">
        <v>392</v>
      </c>
      <c r="B191" s="13" t="s">
        <v>2309</v>
      </c>
      <c r="C191" s="13" t="s">
        <v>27</v>
      </c>
      <c r="D191" s="13" t="s">
        <v>55</v>
      </c>
      <c r="E191" s="13" t="s">
        <v>112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5">
        <v>0</v>
      </c>
      <c r="N191" s="670"/>
      <c r="O191" s="14"/>
      <c r="P191" s="15"/>
      <c r="Q191" s="15" t="str">
        <f>IF(ISTEXT('Incurred 2.5% cpi'!Q191),"",'Incurred 2.5% cpi'!Q191/'Incurred 2.5% cpi'!Q$17*Incurred!Q$17)</f>
        <v/>
      </c>
      <c r="R191" s="110" t="str">
        <f>IF(ISTEXT('Incurred 2.5% cpi'!R191),"",'Incurred 2.5% cpi'!R191/'Incurred 2.5% cpi'!R$17*Incurred!R$17*BG191)</f>
        <v/>
      </c>
      <c r="S191" s="102" t="str">
        <f>IF(ISTEXT('Incurred 2.5% cpi'!S191),"",'Incurred 2.5% cpi'!S191/'Incurred 2.5% cpi'!S$17*Incurred!S$17*BH191)</f>
        <v/>
      </c>
      <c r="T191" s="16" t="str">
        <f>IF(ISTEXT('Incurred 2.5% cpi'!T191),"",'Incurred 2.5% cpi'!T191/'Incurred 2.5% cpi'!T$17*Incurred!T$17*BI191)</f>
        <v/>
      </c>
      <c r="U191" s="16" t="str">
        <f>IF(ISTEXT('Incurred 2.5% cpi'!U191),"",'Incurred 2.5% cpi'!U191/'Incurred 2.5% cpi'!U$17*Incurred!U$17*BJ191)</f>
        <v/>
      </c>
      <c r="V191" s="16" t="str">
        <f>IF(ISTEXT('Incurred 2.5% cpi'!V191),"",'Incurred 2.5% cpi'!V191/'Incurred 2.5% cpi'!V$17*Incurred!V$17*BK191)</f>
        <v/>
      </c>
      <c r="W191" s="110">
        <f>IF(ISTEXT('Incurred 2.5% cpi'!W191),"",'Incurred 2.5% cpi'!W191/'Incurred 2.5% cpi'!W$17*Incurred!W$17*BL191)</f>
        <v>406600.63581334951</v>
      </c>
      <c r="X191" s="102">
        <f>IF(ISTEXT('Incurred 2.5% cpi'!X191),"",'Incurred 2.5% cpi'!X191/'Incurred 2.5% cpi'!X$17*Incurred!X$17*BM191)</f>
        <v>681992.52904025814</v>
      </c>
      <c r="Y191" s="80">
        <f t="shared" si="248"/>
        <v>406600.63581334951</v>
      </c>
      <c r="Z191" s="80">
        <f t="shared" si="319"/>
        <v>406600.63581334951</v>
      </c>
      <c r="AA191" s="566">
        <f t="shared" si="320"/>
        <v>406600.63581334951</v>
      </c>
      <c r="AB191" s="566">
        <f t="shared" si="321"/>
        <v>406600.63581334951</v>
      </c>
      <c r="AC191" s="567">
        <f t="shared" si="292"/>
        <v>1</v>
      </c>
      <c r="AD191" s="568" t="str">
        <f>IF(AI191=0,"",INDEX($F$24:$X$24,1,MATCH(AI191,F191:X191,0)))</f>
        <v>2024</v>
      </c>
      <c r="AE191" s="569">
        <v>45380</v>
      </c>
      <c r="AF191" s="568">
        <v>2024</v>
      </c>
      <c r="AG191" s="569"/>
      <c r="AH191" s="566">
        <f t="shared" si="301"/>
        <v>359375.71530838474</v>
      </c>
      <c r="AI191" s="80">
        <f t="shared" si="322"/>
        <v>681992.52904025814</v>
      </c>
      <c r="AJ191" s="571" t="s">
        <v>3035</v>
      </c>
      <c r="AK191" s="875">
        <f t="shared" si="310"/>
        <v>176000.00000000017</v>
      </c>
      <c r="AL191" s="28">
        <f t="shared" ref="AL191:BE191" si="337">IF($AK191=0,VLOOKUP(MID($A191,4,5),ProjectSplits,AL$23,FALSE),IF(ISNA(VLOOKUP($A191,Estimates,AL$22,FALSE)),VLOOKUP(MID($A191,4,5),ProjectSplits,AL$23,FALSE),VLOOKUP($A191,Estimates,AL$22,FALSE)))</f>
        <v>0</v>
      </c>
      <c r="AM191" s="28">
        <f t="shared" si="337"/>
        <v>0</v>
      </c>
      <c r="AN191" s="28">
        <f t="shared" si="337"/>
        <v>0</v>
      </c>
      <c r="AO191" s="28">
        <f t="shared" si="337"/>
        <v>1</v>
      </c>
      <c r="AP191" s="28">
        <f t="shared" si="337"/>
        <v>0</v>
      </c>
      <c r="AQ191" s="28">
        <f t="shared" si="337"/>
        <v>0</v>
      </c>
      <c r="AR191" s="28">
        <f t="shared" si="337"/>
        <v>0</v>
      </c>
      <c r="AS191" s="28">
        <f t="shared" si="337"/>
        <v>0</v>
      </c>
      <c r="AT191" s="28">
        <f t="shared" si="337"/>
        <v>0</v>
      </c>
      <c r="AU191" s="28">
        <f t="shared" si="337"/>
        <v>0</v>
      </c>
      <c r="AV191" s="28">
        <f t="shared" si="337"/>
        <v>0</v>
      </c>
      <c r="AW191" s="28">
        <f t="shared" si="337"/>
        <v>0</v>
      </c>
      <c r="AX191" s="28">
        <f t="shared" si="337"/>
        <v>0</v>
      </c>
      <c r="AY191" s="28">
        <f t="shared" si="337"/>
        <v>0</v>
      </c>
      <c r="AZ191" s="28">
        <f t="shared" si="337"/>
        <v>0</v>
      </c>
      <c r="BA191" s="28">
        <f t="shared" si="337"/>
        <v>0</v>
      </c>
      <c r="BB191" s="28">
        <f t="shared" si="337"/>
        <v>0</v>
      </c>
      <c r="BC191" s="28">
        <f t="shared" si="337"/>
        <v>0</v>
      </c>
      <c r="BD191" s="28">
        <f t="shared" si="337"/>
        <v>0</v>
      </c>
      <c r="BE191" s="28">
        <f t="shared" si="337"/>
        <v>0</v>
      </c>
      <c r="BF191" s="27">
        <f>SUM(AL191:BD191)</f>
        <v>1</v>
      </c>
      <c r="BG191" s="520">
        <f t="shared" si="296"/>
        <v>1.0047443590460903</v>
      </c>
      <c r="BH191" s="520">
        <f t="shared" si="326"/>
        <v>1.0090663076108137</v>
      </c>
      <c r="BI191" s="520">
        <f t="shared" si="327"/>
        <v>1.0137438227597946</v>
      </c>
      <c r="BJ191" s="520">
        <f t="shared" si="328"/>
        <v>1.0191469006439002</v>
      </c>
      <c r="BK191" s="520">
        <f t="shared" si="329"/>
        <v>1.0270185321545748</v>
      </c>
      <c r="BL191" s="520">
        <f t="shared" si="330"/>
        <v>1.0358727201622233</v>
      </c>
      <c r="BM191" s="520">
        <f t="shared" si="331"/>
        <v>1.0418003586494431</v>
      </c>
      <c r="BN191" s="521" t="str">
        <f t="shared" si="332"/>
        <v>Project</v>
      </c>
      <c r="BP191" s="3"/>
    </row>
    <row r="192" spans="1:68" hidden="1" x14ac:dyDescent="0.15">
      <c r="A192" s="78" t="s">
        <v>393</v>
      </c>
      <c r="B192" s="13" t="s">
        <v>2310</v>
      </c>
      <c r="C192" s="13" t="s">
        <v>27</v>
      </c>
      <c r="D192" s="13" t="s">
        <v>55</v>
      </c>
      <c r="E192" s="13" t="s">
        <v>112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5">
        <v>0</v>
      </c>
      <c r="N192" s="670"/>
      <c r="O192" s="14"/>
      <c r="P192" s="15"/>
      <c r="Q192" s="15" t="str">
        <f>IF(ISTEXT('Incurred 2.5% cpi'!Q192),"",'Incurred 2.5% cpi'!Q192/'Incurred 2.5% cpi'!Q$17*Incurred!Q$17)</f>
        <v/>
      </c>
      <c r="R192" s="110" t="str">
        <f>IF(ISTEXT('Incurred 2.5% cpi'!R192),"",'Incurred 2.5% cpi'!R192/'Incurred 2.5% cpi'!R$17*Incurred!R$17*BG192)</f>
        <v/>
      </c>
      <c r="S192" s="102" t="str">
        <f>IF(ISTEXT('Incurred 2.5% cpi'!S192),"",'Incurred 2.5% cpi'!S192/'Incurred 2.5% cpi'!S$17*Incurred!S$17*BH192)</f>
        <v/>
      </c>
      <c r="T192" s="16" t="str">
        <f>IF(ISTEXT('Incurred 2.5% cpi'!T192),"",'Incurred 2.5% cpi'!T192/'Incurred 2.5% cpi'!T$17*Incurred!T$17*BI192)</f>
        <v/>
      </c>
      <c r="U192" s="16" t="str">
        <f>IF(ISTEXT('Incurred 2.5% cpi'!U192),"",'Incurred 2.5% cpi'!U192/'Incurred 2.5% cpi'!U$17*Incurred!U$17*BJ192)</f>
        <v/>
      </c>
      <c r="V192" s="16">
        <f>IF(ISTEXT('Incurred 2.5% cpi'!V192),"",'Incurred 2.5% cpi'!V192/'Incurred 2.5% cpi'!V$17*Incurred!V$17*BK192)</f>
        <v>45237.31122988963</v>
      </c>
      <c r="W192" s="110">
        <f>IF(ISTEXT('Incurred 2.5% cpi'!W192),"",'Incurred 2.5% cpi'!W192/'Incurred 2.5% cpi'!W$17*Incurred!W$17*BL192)</f>
        <v>939166.9888767642</v>
      </c>
      <c r="X192" s="102">
        <f>IF(ISTEXT('Incurred 2.5% cpi'!X192),"",'Incurred 2.5% cpi'!X192/'Incurred 2.5% cpi'!X$17*Incurred!X$17*BM192)</f>
        <v>1531409.397449899</v>
      </c>
      <c r="Y192" s="80">
        <f t="shared" si="248"/>
        <v>984404.30010665383</v>
      </c>
      <c r="Z192" s="80">
        <f t="shared" si="319"/>
        <v>984404.30010665383</v>
      </c>
      <c r="AA192" s="566">
        <f t="shared" si="320"/>
        <v>985535.23288740101</v>
      </c>
      <c r="AB192" s="566">
        <f t="shared" si="321"/>
        <v>985535.23288740101</v>
      </c>
      <c r="AC192" s="567">
        <f t="shared" si="292"/>
        <v>1</v>
      </c>
      <c r="AD192" s="568" t="str">
        <f>IF(AI192=0,"",INDEX($F$24:$X$24,1,MATCH(AI192,F192:X192,0)))</f>
        <v>2024</v>
      </c>
      <c r="AE192" s="569">
        <v>45468</v>
      </c>
      <c r="AF192" s="568">
        <v>2024</v>
      </c>
      <c r="AG192" s="569"/>
      <c r="AH192" s="566">
        <f t="shared" si="301"/>
        <v>871069.54117777338</v>
      </c>
      <c r="AI192" s="80">
        <f t="shared" si="322"/>
        <v>1531409.397449899</v>
      </c>
      <c r="AJ192" s="571" t="s">
        <v>3035</v>
      </c>
      <c r="AK192" s="875">
        <f t="shared" si="310"/>
        <v>449999.99999999953</v>
      </c>
      <c r="AL192" s="28">
        <f t="shared" ref="AL192:BE192" si="338">IF($AK192=0,VLOOKUP(MID($A192,4,5),ProjectSplits,AL$23,FALSE),IF(ISNA(VLOOKUP($A192,Estimates,AL$22,FALSE)),VLOOKUP(MID($A192,4,5),ProjectSplits,AL$23,FALSE),VLOOKUP($A192,Estimates,AL$22,FALSE)))</f>
        <v>0</v>
      </c>
      <c r="AM192" s="28">
        <f t="shared" si="338"/>
        <v>0</v>
      </c>
      <c r="AN192" s="28">
        <f t="shared" si="338"/>
        <v>0</v>
      </c>
      <c r="AO192" s="28">
        <f t="shared" si="338"/>
        <v>1</v>
      </c>
      <c r="AP192" s="28">
        <f t="shared" si="338"/>
        <v>0</v>
      </c>
      <c r="AQ192" s="28">
        <f t="shared" si="338"/>
        <v>0</v>
      </c>
      <c r="AR192" s="28">
        <f t="shared" si="338"/>
        <v>0</v>
      </c>
      <c r="AS192" s="28">
        <f t="shared" si="338"/>
        <v>0</v>
      </c>
      <c r="AT192" s="28">
        <f t="shared" si="338"/>
        <v>0</v>
      </c>
      <c r="AU192" s="28">
        <f t="shared" si="338"/>
        <v>0</v>
      </c>
      <c r="AV192" s="28">
        <f t="shared" si="338"/>
        <v>0</v>
      </c>
      <c r="AW192" s="28">
        <f t="shared" si="338"/>
        <v>0</v>
      </c>
      <c r="AX192" s="28">
        <f t="shared" si="338"/>
        <v>0</v>
      </c>
      <c r="AY192" s="28">
        <f t="shared" si="338"/>
        <v>0</v>
      </c>
      <c r="AZ192" s="28">
        <f t="shared" si="338"/>
        <v>0</v>
      </c>
      <c r="BA192" s="28">
        <f t="shared" si="338"/>
        <v>0</v>
      </c>
      <c r="BB192" s="28">
        <f t="shared" si="338"/>
        <v>0</v>
      </c>
      <c r="BC192" s="28">
        <f t="shared" si="338"/>
        <v>0</v>
      </c>
      <c r="BD192" s="28">
        <f t="shared" si="338"/>
        <v>0</v>
      </c>
      <c r="BE192" s="28">
        <f t="shared" si="338"/>
        <v>0</v>
      </c>
      <c r="BF192" s="27">
        <f>SUM(AL192:BD192)</f>
        <v>1</v>
      </c>
      <c r="BG192" s="520">
        <f t="shared" si="296"/>
        <v>1.0047443590460903</v>
      </c>
      <c r="BH192" s="520">
        <f t="shared" si="326"/>
        <v>1.0090663076108137</v>
      </c>
      <c r="BI192" s="520">
        <f t="shared" si="327"/>
        <v>1.0137438227597946</v>
      </c>
      <c r="BJ192" s="520">
        <f t="shared" si="328"/>
        <v>1.0191469006439002</v>
      </c>
      <c r="BK192" s="520">
        <f t="shared" si="329"/>
        <v>1.0270185321545748</v>
      </c>
      <c r="BL192" s="520">
        <f t="shared" si="330"/>
        <v>1.0358727201622233</v>
      </c>
      <c r="BM192" s="520">
        <f t="shared" si="331"/>
        <v>1.0418003586494431</v>
      </c>
      <c r="BN192" s="521" t="str">
        <f t="shared" si="332"/>
        <v>Project</v>
      </c>
      <c r="BP192" s="3"/>
    </row>
    <row r="193" spans="1:68" hidden="1" x14ac:dyDescent="0.15">
      <c r="A193" s="12" t="s">
        <v>394</v>
      </c>
      <c r="B193" s="13" t="s">
        <v>395</v>
      </c>
      <c r="C193" s="13" t="s">
        <v>27</v>
      </c>
      <c r="D193" s="13" t="s">
        <v>36</v>
      </c>
      <c r="E193" s="13" t="s">
        <v>112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5">
        <v>0</v>
      </c>
      <c r="N193" s="670"/>
      <c r="O193" s="14"/>
      <c r="P193" s="15"/>
      <c r="Q193" s="15" t="str">
        <f>IF(ISTEXT('Incurred 2.5% cpi'!Q193),"",'Incurred 2.5% cpi'!Q193/'Incurred 2.5% cpi'!Q$17*Incurred!Q$17)</f>
        <v/>
      </c>
      <c r="R193" s="110" t="str">
        <f>IF(ISTEXT('Incurred 2.5% cpi'!R193),"",'Incurred 2.5% cpi'!R193/'Incurred 2.5% cpi'!R$17*Incurred!R$17*BG193)</f>
        <v/>
      </c>
      <c r="S193" s="102">
        <f>IF(ISTEXT('Incurred 2.5% cpi'!S193),"",'Incurred 2.5% cpi'!S193/'Incurred 2.5% cpi'!S$17*Incurred!S$17*BH193)</f>
        <v>663162.72915560566</v>
      </c>
      <c r="T193" s="16" t="str">
        <f>IF(ISTEXT('Incurred 2.5% cpi'!T193),"",'Incurred 2.5% cpi'!T193/'Incurred 2.5% cpi'!T$17*Incurred!T$17*BI193)</f>
        <v/>
      </c>
      <c r="U193" s="16" t="str">
        <f>IF(ISTEXT('Incurred 2.5% cpi'!U193),"",'Incurred 2.5% cpi'!U193/'Incurred 2.5% cpi'!U$17*Incurred!U$17*BJ193)</f>
        <v/>
      </c>
      <c r="V193" s="16" t="str">
        <f>IF(ISTEXT('Incurred 2.5% cpi'!V193),"",'Incurred 2.5% cpi'!V193/'Incurred 2.5% cpi'!V$17*Incurred!V$17*BK193)</f>
        <v/>
      </c>
      <c r="W193" s="110" t="str">
        <f>IF(ISTEXT('Incurred 2.5% cpi'!W193),"",'Incurred 2.5% cpi'!W193/'Incurred 2.5% cpi'!W$17*Incurred!W$17*BL193)</f>
        <v/>
      </c>
      <c r="X193" s="102" t="str">
        <f>IF(ISTEXT('Incurred 2.5% cpi'!X193),"",'Incurred 2.5% cpi'!X193/'Incurred 2.5% cpi'!X$17*Incurred!X$17*BM193)</f>
        <v/>
      </c>
      <c r="Y193" s="80">
        <f t="shared" si="248"/>
        <v>663162.72915560566</v>
      </c>
      <c r="Z193" s="80">
        <f t="shared" si="319"/>
        <v>663162.72915560566</v>
      </c>
      <c r="AA193" s="566">
        <f t="shared" si="320"/>
        <v>732007.56902401289</v>
      </c>
      <c r="AB193" s="566">
        <f t="shared" si="321"/>
        <v>663162.72915560566</v>
      </c>
      <c r="AC193" s="567">
        <f t="shared" ref="AC193:AC223" si="339">IF(AF193="","",IF(AF193&lt;AD193,INDEX($F$20:$W$20,1,MATCH(TEXT(AF193,"000"),$F$24:$W$24)),INDEX($F$20:$W$20,1,MATCH(AD193,$F$24:$W$24))))</f>
        <v>1.1038128906249998</v>
      </c>
      <c r="AD193" s="568" t="str">
        <f t="shared" si="333"/>
        <v>2019</v>
      </c>
      <c r="AE193" s="569">
        <v>43439</v>
      </c>
      <c r="AF193" s="568">
        <v>2019</v>
      </c>
      <c r="AG193" s="569"/>
      <c r="AH193" s="566">
        <f t="shared" si="301"/>
        <v>646988.02844449342</v>
      </c>
      <c r="AI193" s="80">
        <f t="shared" si="322"/>
        <v>663162.72915560566</v>
      </c>
      <c r="AJ193" s="571" t="s">
        <v>3035</v>
      </c>
      <c r="AK193" s="875">
        <f t="shared" si="310"/>
        <v>455000</v>
      </c>
      <c r="AL193" s="28">
        <f t="shared" ref="AL193:AU194" si="340">IF($AK193=0,VLOOKUP(MID($A193,4,5),ProjectSplits,AL$23,FALSE),IF(ISNA(VLOOKUP($A193,Estimates,AL$22,FALSE)),VLOOKUP(MID($A193,4,5),ProjectSplits,AL$23,FALSE),VLOOKUP($A193,Estimates,AL$22,FALSE)))</f>
        <v>1</v>
      </c>
      <c r="AM193" s="28">
        <f t="shared" si="340"/>
        <v>0</v>
      </c>
      <c r="AN193" s="28">
        <f t="shared" si="340"/>
        <v>0</v>
      </c>
      <c r="AO193" s="28">
        <f t="shared" si="340"/>
        <v>0</v>
      </c>
      <c r="AP193" s="28">
        <f t="shared" si="340"/>
        <v>0</v>
      </c>
      <c r="AQ193" s="28">
        <f t="shared" si="340"/>
        <v>0</v>
      </c>
      <c r="AR193" s="28">
        <f t="shared" si="340"/>
        <v>0</v>
      </c>
      <c r="AS193" s="28">
        <f t="shared" si="340"/>
        <v>0</v>
      </c>
      <c r="AT193" s="28">
        <f t="shared" si="340"/>
        <v>0</v>
      </c>
      <c r="AU193" s="28">
        <f t="shared" si="340"/>
        <v>0</v>
      </c>
      <c r="AV193" s="28">
        <f t="shared" ref="AV193:BE194" si="341">IF($AK193=0,VLOOKUP(MID($A193,4,5),ProjectSplits,AV$23,FALSE),IF(ISNA(VLOOKUP($A193,Estimates,AV$22,FALSE)),VLOOKUP(MID($A193,4,5),ProjectSplits,AV$23,FALSE),VLOOKUP($A193,Estimates,AV$22,FALSE)))</f>
        <v>0</v>
      </c>
      <c r="AW193" s="28">
        <f t="shared" si="341"/>
        <v>0</v>
      </c>
      <c r="AX193" s="28">
        <f t="shared" si="341"/>
        <v>0</v>
      </c>
      <c r="AY193" s="28">
        <f t="shared" si="341"/>
        <v>0</v>
      </c>
      <c r="AZ193" s="28">
        <f t="shared" si="341"/>
        <v>0</v>
      </c>
      <c r="BA193" s="28">
        <f t="shared" si="341"/>
        <v>0</v>
      </c>
      <c r="BB193" s="28">
        <f t="shared" si="341"/>
        <v>0</v>
      </c>
      <c r="BC193" s="28">
        <f t="shared" si="341"/>
        <v>0</v>
      </c>
      <c r="BD193" s="28">
        <f t="shared" si="341"/>
        <v>0</v>
      </c>
      <c r="BE193" s="28">
        <f t="shared" si="341"/>
        <v>0</v>
      </c>
      <c r="BF193" s="27">
        <f t="shared" ref="BF193:BF194" si="342">SUM(AL193:BD193)</f>
        <v>1</v>
      </c>
      <c r="BG193" s="520">
        <f t="shared" si="296"/>
        <v>1.0017127850937606</v>
      </c>
      <c r="BH193" s="520">
        <f t="shared" si="326"/>
        <v>1.0032730736397464</v>
      </c>
      <c r="BI193" s="520">
        <f t="shared" si="327"/>
        <v>1.0049617270795859</v>
      </c>
      <c r="BJ193" s="520">
        <f t="shared" si="328"/>
        <v>1.0069123195980738</v>
      </c>
      <c r="BK193" s="520">
        <f t="shared" si="329"/>
        <v>1.0097540971667784</v>
      </c>
      <c r="BL193" s="520">
        <f t="shared" si="330"/>
        <v>1.0129505924340056</v>
      </c>
      <c r="BM193" s="520">
        <f t="shared" si="331"/>
        <v>1.0150905592332047</v>
      </c>
      <c r="BN193" s="521" t="str">
        <f t="shared" si="332"/>
        <v>Project</v>
      </c>
      <c r="BP193" s="3"/>
    </row>
    <row r="194" spans="1:68" hidden="1" x14ac:dyDescent="0.15">
      <c r="A194" s="12" t="s">
        <v>396</v>
      </c>
      <c r="B194" s="13" t="s">
        <v>397</v>
      </c>
      <c r="C194" s="13" t="s">
        <v>27</v>
      </c>
      <c r="D194" s="13" t="s">
        <v>36</v>
      </c>
      <c r="E194" s="13" t="s">
        <v>112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5">
        <v>0</v>
      </c>
      <c r="N194" s="670"/>
      <c r="O194" s="14"/>
      <c r="P194" s="15"/>
      <c r="Q194" s="15" t="str">
        <f>IF(ISTEXT('Incurred 2.5% cpi'!Q194),"",'Incurred 2.5% cpi'!Q194/'Incurred 2.5% cpi'!Q$17*Incurred!Q$17)</f>
        <v/>
      </c>
      <c r="R194" s="110" t="str">
        <f>IF(ISTEXT('Incurred 2.5% cpi'!R194),"",'Incurred 2.5% cpi'!R194/'Incurred 2.5% cpi'!R$17*Incurred!R$17*BG194)</f>
        <v/>
      </c>
      <c r="S194" s="102" t="str">
        <f>IF(ISTEXT('Incurred 2.5% cpi'!S194),"",'Incurred 2.5% cpi'!S194/'Incurred 2.5% cpi'!S$17*Incurred!S$17*BH194)</f>
        <v/>
      </c>
      <c r="T194" s="16">
        <f>IF(ISTEXT('Incurred 2.5% cpi'!T194),"",'Incurred 2.5% cpi'!T194/'Incurred 2.5% cpi'!T$17*Incurred!T$17*BI194)</f>
        <v>349839.34788059822</v>
      </c>
      <c r="U194" s="16" t="str">
        <f>IF(ISTEXT('Incurred 2.5% cpi'!U194),"",'Incurred 2.5% cpi'!U194/'Incurred 2.5% cpi'!U$17*Incurred!U$17*BJ194)</f>
        <v/>
      </c>
      <c r="V194" s="16" t="str">
        <f>IF(ISTEXT('Incurred 2.5% cpi'!V194),"",'Incurred 2.5% cpi'!V194/'Incurred 2.5% cpi'!V$17*Incurred!V$17*BK194)</f>
        <v/>
      </c>
      <c r="W194" s="110" t="str">
        <f>IF(ISTEXT('Incurred 2.5% cpi'!W194),"",'Incurred 2.5% cpi'!W194/'Incurred 2.5% cpi'!W$17*Incurred!W$17*BL194)</f>
        <v/>
      </c>
      <c r="X194" s="102" t="str">
        <f>IF(ISTEXT('Incurred 2.5% cpi'!X194),"",'Incurred 2.5% cpi'!X194/'Incurred 2.5% cpi'!X$17*Incurred!X$17*BM194)</f>
        <v/>
      </c>
      <c r="Y194" s="80">
        <f t="shared" si="248"/>
        <v>349839.34788059822</v>
      </c>
      <c r="Z194" s="80">
        <f t="shared" si="319"/>
        <v>349839.34788059822</v>
      </c>
      <c r="AA194" s="566">
        <f t="shared" si="320"/>
        <v>376738.71398872981</v>
      </c>
      <c r="AB194" s="566">
        <f t="shared" si="321"/>
        <v>349839.34788059822</v>
      </c>
      <c r="AC194" s="567">
        <f t="shared" si="339"/>
        <v>1.0768906249999999</v>
      </c>
      <c r="AD194" s="568" t="str">
        <f t="shared" si="333"/>
        <v>2020</v>
      </c>
      <c r="AE194" s="569">
        <v>43832</v>
      </c>
      <c r="AF194" s="568">
        <v>2020</v>
      </c>
      <c r="AG194" s="569"/>
      <c r="AH194" s="566">
        <f t="shared" si="301"/>
        <v>332982.12766743434</v>
      </c>
      <c r="AI194" s="80">
        <f t="shared" si="322"/>
        <v>349839.34788059822</v>
      </c>
      <c r="AJ194" s="571" t="s">
        <v>3035</v>
      </c>
      <c r="AK194" s="875">
        <f t="shared" si="310"/>
        <v>232999.99999999991</v>
      </c>
      <c r="AL194" s="28">
        <f t="shared" si="340"/>
        <v>0.69957081545064381</v>
      </c>
      <c r="AM194" s="28">
        <f t="shared" si="340"/>
        <v>0</v>
      </c>
      <c r="AN194" s="28">
        <f t="shared" si="340"/>
        <v>0</v>
      </c>
      <c r="AO194" s="28">
        <f t="shared" si="340"/>
        <v>0</v>
      </c>
      <c r="AP194" s="28">
        <f t="shared" si="340"/>
        <v>0</v>
      </c>
      <c r="AQ194" s="28">
        <f t="shared" si="340"/>
        <v>0</v>
      </c>
      <c r="AR194" s="28">
        <f t="shared" si="340"/>
        <v>0</v>
      </c>
      <c r="AS194" s="28">
        <f t="shared" si="340"/>
        <v>0.30042918454935619</v>
      </c>
      <c r="AT194" s="28">
        <f t="shared" si="340"/>
        <v>0</v>
      </c>
      <c r="AU194" s="28">
        <f t="shared" si="340"/>
        <v>0</v>
      </c>
      <c r="AV194" s="28">
        <f t="shared" si="341"/>
        <v>0</v>
      </c>
      <c r="AW194" s="28">
        <f t="shared" si="341"/>
        <v>0</v>
      </c>
      <c r="AX194" s="28">
        <f t="shared" si="341"/>
        <v>0</v>
      </c>
      <c r="AY194" s="28">
        <f t="shared" si="341"/>
        <v>0</v>
      </c>
      <c r="AZ194" s="28">
        <f t="shared" si="341"/>
        <v>0</v>
      </c>
      <c r="BA194" s="28">
        <f t="shared" si="341"/>
        <v>0</v>
      </c>
      <c r="BB194" s="28">
        <f t="shared" si="341"/>
        <v>0</v>
      </c>
      <c r="BC194" s="28">
        <f t="shared" si="341"/>
        <v>0</v>
      </c>
      <c r="BD194" s="28">
        <f t="shared" si="341"/>
        <v>0</v>
      </c>
      <c r="BE194" s="28">
        <f t="shared" si="341"/>
        <v>0</v>
      </c>
      <c r="BF194" s="27">
        <f t="shared" si="342"/>
        <v>1</v>
      </c>
      <c r="BG194" s="520">
        <f t="shared" ref="BG194:BG223" si="343">1+IF(ISNA(VLOOKUP($A194,ProjLabEsc,7,FALSE)),VLOOKUP(D194,CatLabEsc,4,FALSE),VLOOKUP(A194,ProjLabEsc,7,FALSE))*Labesc18*LabIn</f>
        <v>1.002349913923994</v>
      </c>
      <c r="BH194" s="520">
        <f t="shared" si="326"/>
        <v>1.0044906050083671</v>
      </c>
      <c r="BI194" s="520">
        <f t="shared" si="327"/>
        <v>1.0068074106867528</v>
      </c>
      <c r="BJ194" s="520">
        <f t="shared" si="328"/>
        <v>1.0094835926175338</v>
      </c>
      <c r="BK194" s="520">
        <f t="shared" si="329"/>
        <v>1.013382466271864</v>
      </c>
      <c r="BL194" s="520">
        <f t="shared" si="330"/>
        <v>1.0177680069703448</v>
      </c>
      <c r="BM194" s="520">
        <f t="shared" si="331"/>
        <v>1.0207040074041651</v>
      </c>
      <c r="BN194" s="521" t="str">
        <f t="shared" si="332"/>
        <v>Project</v>
      </c>
      <c r="BP194" s="3"/>
    </row>
    <row r="195" spans="1:68" hidden="1" x14ac:dyDescent="0.15">
      <c r="A195" s="12" t="s">
        <v>398</v>
      </c>
      <c r="B195" s="13" t="s">
        <v>399</v>
      </c>
      <c r="C195" s="13" t="s">
        <v>27</v>
      </c>
      <c r="D195" s="13" t="s">
        <v>36</v>
      </c>
      <c r="E195" s="13" t="s">
        <v>112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5">
        <v>0</v>
      </c>
      <c r="N195" s="670"/>
      <c r="O195" s="14"/>
      <c r="P195" s="15"/>
      <c r="Q195" s="15" t="str">
        <f>IF(ISTEXT('Incurred 2.5% cpi'!Q195),"",'Incurred 2.5% cpi'!Q195/'Incurred 2.5% cpi'!Q$17*Incurred!Q$17)</f>
        <v/>
      </c>
      <c r="R195" s="110" t="str">
        <f>IF(ISTEXT('Incurred 2.5% cpi'!R195),"",'Incurred 2.5% cpi'!R195/'Incurred 2.5% cpi'!R$17*Incurred!R$17*BG195)</f>
        <v/>
      </c>
      <c r="S195" s="102" t="str">
        <f>IF(ISTEXT('Incurred 2.5% cpi'!S195),"",'Incurred 2.5% cpi'!S195/'Incurred 2.5% cpi'!S$17*Incurred!S$17*BH195)</f>
        <v/>
      </c>
      <c r="T195" s="16">
        <f>IF(ISTEXT('Incurred 2.5% cpi'!T195),"",'Incurred 2.5% cpi'!T195/'Incurred 2.5% cpi'!T$17*Incurred!T$17*BI195)</f>
        <v>211534.68878052692</v>
      </c>
      <c r="U195" s="16" t="str">
        <f>IF(ISTEXT('Incurred 2.5% cpi'!U195),"",'Incurred 2.5% cpi'!U195/'Incurred 2.5% cpi'!U$17*Incurred!U$17*BJ195)</f>
        <v/>
      </c>
      <c r="V195" s="16" t="str">
        <f>IF(ISTEXT('Incurred 2.5% cpi'!V195),"",'Incurred 2.5% cpi'!V195/'Incurred 2.5% cpi'!V$17*Incurred!V$17*BK195)</f>
        <v/>
      </c>
      <c r="W195" s="110" t="str">
        <f>IF(ISTEXT('Incurred 2.5% cpi'!W195),"",'Incurred 2.5% cpi'!W195/'Incurred 2.5% cpi'!W$17*Incurred!W$17*BL195)</f>
        <v/>
      </c>
      <c r="X195" s="102" t="str">
        <f>IF(ISTEXT('Incurred 2.5% cpi'!X195),"",'Incurred 2.5% cpi'!X195/'Incurred 2.5% cpi'!X$17*Incurred!X$17*BM195)</f>
        <v/>
      </c>
      <c r="Y195" s="80">
        <f t="shared" si="248"/>
        <v>211534.68878052692</v>
      </c>
      <c r="Z195" s="80">
        <f t="shared" si="319"/>
        <v>211534.68878052692</v>
      </c>
      <c r="AA195" s="566">
        <f t="shared" si="320"/>
        <v>227799.72321004211</v>
      </c>
      <c r="AB195" s="566">
        <f t="shared" si="321"/>
        <v>211534.68878052692</v>
      </c>
      <c r="AC195" s="567">
        <f t="shared" si="339"/>
        <v>1.0768906249999999</v>
      </c>
      <c r="AD195" s="568" t="str">
        <f t="shared" si="333"/>
        <v>2020</v>
      </c>
      <c r="AE195" s="569">
        <v>43832</v>
      </c>
      <c r="AF195" s="568">
        <v>2020</v>
      </c>
      <c r="AG195" s="569"/>
      <c r="AH195" s="566">
        <f t="shared" si="301"/>
        <v>201341.76207545691</v>
      </c>
      <c r="AI195" s="80">
        <f t="shared" si="322"/>
        <v>211534.68878052692</v>
      </c>
      <c r="AJ195" s="571" t="s">
        <v>3035</v>
      </c>
      <c r="AK195" s="875">
        <f t="shared" si="310"/>
        <v>163000.00000000003</v>
      </c>
      <c r="AL195" s="28">
        <f t="shared" ref="AL195:BE195" si="344">IF($AK195=0,VLOOKUP(MID($A195,4,5),ProjectSplits,AL$23,FALSE),IF(ISNA(VLOOKUP($A195,Estimates,AL$22,FALSE)),VLOOKUP(MID($A195,4,5),ProjectSplits,AL$23,FALSE),VLOOKUP($A195,Estimates,AL$22,FALSE)))</f>
        <v>0</v>
      </c>
      <c r="AM195" s="28">
        <f t="shared" si="344"/>
        <v>0</v>
      </c>
      <c r="AN195" s="28">
        <f t="shared" si="344"/>
        <v>0</v>
      </c>
      <c r="AO195" s="28">
        <f t="shared" si="344"/>
        <v>0</v>
      </c>
      <c r="AP195" s="28">
        <f t="shared" si="344"/>
        <v>0</v>
      </c>
      <c r="AQ195" s="28">
        <f t="shared" si="344"/>
        <v>0</v>
      </c>
      <c r="AR195" s="28">
        <f t="shared" si="344"/>
        <v>0</v>
      </c>
      <c r="AS195" s="28">
        <f t="shared" si="344"/>
        <v>1</v>
      </c>
      <c r="AT195" s="28">
        <f t="shared" si="344"/>
        <v>0</v>
      </c>
      <c r="AU195" s="28">
        <f t="shared" si="344"/>
        <v>0</v>
      </c>
      <c r="AV195" s="28">
        <f t="shared" si="344"/>
        <v>0</v>
      </c>
      <c r="AW195" s="28">
        <f t="shared" si="344"/>
        <v>0</v>
      </c>
      <c r="AX195" s="28">
        <f t="shared" si="344"/>
        <v>0</v>
      </c>
      <c r="AY195" s="28">
        <f t="shared" si="344"/>
        <v>0</v>
      </c>
      <c r="AZ195" s="28">
        <f t="shared" si="344"/>
        <v>0</v>
      </c>
      <c r="BA195" s="28">
        <f t="shared" si="344"/>
        <v>0</v>
      </c>
      <c r="BB195" s="28">
        <f t="shared" si="344"/>
        <v>0</v>
      </c>
      <c r="BC195" s="28">
        <f t="shared" si="344"/>
        <v>0</v>
      </c>
      <c r="BD195" s="28">
        <f t="shared" si="344"/>
        <v>0</v>
      </c>
      <c r="BE195" s="28">
        <f t="shared" si="344"/>
        <v>0</v>
      </c>
      <c r="BF195" s="27">
        <f>SUM(AL195:BD195)</f>
        <v>1</v>
      </c>
      <c r="BG195" s="520">
        <f t="shared" si="343"/>
        <v>1.000745054832479</v>
      </c>
      <c r="BH195" s="520">
        <f t="shared" si="326"/>
        <v>1.0014237742617191</v>
      </c>
      <c r="BI195" s="520">
        <f t="shared" si="327"/>
        <v>1.0021583319189045</v>
      </c>
      <c r="BJ195" s="520">
        <f t="shared" si="328"/>
        <v>1.0030068320532126</v>
      </c>
      <c r="BK195" s="520">
        <f t="shared" si="329"/>
        <v>1.0042429942069508</v>
      </c>
      <c r="BL195" s="520">
        <f t="shared" si="330"/>
        <v>1.005633457175434</v>
      </c>
      <c r="BM195" s="520">
        <f t="shared" si="331"/>
        <v>1.0065643343829107</v>
      </c>
      <c r="BN195" s="521" t="str">
        <f t="shared" si="332"/>
        <v>Project</v>
      </c>
      <c r="BP195" s="3"/>
    </row>
    <row r="196" spans="1:68" hidden="1" x14ac:dyDescent="0.15">
      <c r="A196" s="12" t="s">
        <v>400</v>
      </c>
      <c r="B196" s="13" t="s">
        <v>2382</v>
      </c>
      <c r="C196" s="13" t="s">
        <v>27</v>
      </c>
      <c r="D196" s="13" t="s">
        <v>55</v>
      </c>
      <c r="E196" s="13" t="s">
        <v>112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5">
        <v>0</v>
      </c>
      <c r="N196" s="670"/>
      <c r="O196" s="14"/>
      <c r="P196" s="15"/>
      <c r="Q196" s="15" t="str">
        <f>IF(ISTEXT('Incurred 2.5% cpi'!Q196),"",'Incurred 2.5% cpi'!Q196/'Incurred 2.5% cpi'!Q$17*Incurred!Q$17)</f>
        <v/>
      </c>
      <c r="R196" s="110" t="str">
        <f>IF(ISTEXT('Incurred 2.5% cpi'!R196),"",'Incurred 2.5% cpi'!R196/'Incurred 2.5% cpi'!R$17*Incurred!R$17*BG196)</f>
        <v/>
      </c>
      <c r="S196" s="102">
        <f>IF(ISTEXT('Incurred 2.5% cpi'!S196),"",'Incurred 2.5% cpi'!S196/'Incurred 2.5% cpi'!S$17*Incurred!S$17*BH196)</f>
        <v>672732.49588960747</v>
      </c>
      <c r="T196" s="16">
        <f>IF(ISTEXT('Incurred 2.5% cpi'!T196),"",'Incurred 2.5% cpi'!T196/'Incurred 2.5% cpi'!T$17*Incurred!T$17*BI196)</f>
        <v>669868.15528013674</v>
      </c>
      <c r="U196" s="16">
        <f>IF(ISTEXT('Incurred 2.5% cpi'!U196),"",'Incurred 2.5% cpi'!U196/'Incurred 2.5% cpi'!U$17*Incurred!U$17*BJ196)</f>
        <v>214822.6924945041</v>
      </c>
      <c r="V196" s="16" t="str">
        <f>IF(ISTEXT('Incurred 2.5% cpi'!V196),"",'Incurred 2.5% cpi'!V196/'Incurred 2.5% cpi'!V$17*Incurred!V$17*BK196)</f>
        <v/>
      </c>
      <c r="W196" s="110" t="str">
        <f>IF(ISTEXT('Incurred 2.5% cpi'!W196),"",'Incurred 2.5% cpi'!W196/'Incurred 2.5% cpi'!W$17*Incurred!W$17*BL196)</f>
        <v/>
      </c>
      <c r="X196" s="102" t="str">
        <f>IF(ISTEXT('Incurred 2.5% cpi'!X196),"",'Incurred 2.5% cpi'!X196/'Incurred 2.5% cpi'!X$17*Incurred!X$17*BM196)</f>
        <v/>
      </c>
      <c r="Y196" s="80">
        <f t="shared" si="248"/>
        <v>1557423.3436642485</v>
      </c>
      <c r="Z196" s="80">
        <f t="shared" si="319"/>
        <v>1557423.3436642485</v>
      </c>
      <c r="AA196" s="566">
        <f t="shared" si="320"/>
        <v>1689643.6286145402</v>
      </c>
      <c r="AB196" s="566">
        <f t="shared" si="321"/>
        <v>1608227.130150663</v>
      </c>
      <c r="AC196" s="567">
        <f t="shared" si="339"/>
        <v>1.0506249999999999</v>
      </c>
      <c r="AD196" s="568" t="str">
        <f t="shared" si="333"/>
        <v>2021</v>
      </c>
      <c r="AE196" s="569">
        <v>44054</v>
      </c>
      <c r="AF196" s="568">
        <v>2021</v>
      </c>
      <c r="AG196" s="569"/>
      <c r="AH196" s="566">
        <f t="shared" ref="AH196:AH201" si="345">IF(ROUND(Y196,0)=0,0,SUMPRODUCT($F$19:$W$19,F196:W196))</f>
        <v>1493398.7656830638</v>
      </c>
      <c r="AI196" s="80">
        <f t="shared" si="322"/>
        <v>214822.6924945041</v>
      </c>
      <c r="AJ196" s="571" t="s">
        <v>3035</v>
      </c>
      <c r="AK196" s="875">
        <f t="shared" si="310"/>
        <v>336119.99999999959</v>
      </c>
      <c r="AL196" s="28">
        <f t="shared" ref="AL196:AU201" si="346">IF($AK196=0,VLOOKUP(MID($A196,4,5),ProjectSplits,AL$23,FALSE),IF(ISNA(VLOOKUP($A196,Estimates,AL$22,FALSE)),VLOOKUP(MID($A196,4,5),ProjectSplits,AL$23,FALSE),VLOOKUP($A196,Estimates,AL$22,FALSE)))</f>
        <v>0</v>
      </c>
      <c r="AM196" s="28">
        <f t="shared" si="346"/>
        <v>0</v>
      </c>
      <c r="AN196" s="28">
        <f t="shared" si="346"/>
        <v>0</v>
      </c>
      <c r="AO196" s="28">
        <f t="shared" si="346"/>
        <v>1</v>
      </c>
      <c r="AP196" s="28">
        <f t="shared" si="346"/>
        <v>0</v>
      </c>
      <c r="AQ196" s="28">
        <f t="shared" si="346"/>
        <v>0</v>
      </c>
      <c r="AR196" s="28">
        <f t="shared" si="346"/>
        <v>0</v>
      </c>
      <c r="AS196" s="28">
        <f t="shared" si="346"/>
        <v>0</v>
      </c>
      <c r="AT196" s="28">
        <f t="shared" si="346"/>
        <v>0</v>
      </c>
      <c r="AU196" s="28">
        <f t="shared" si="346"/>
        <v>0</v>
      </c>
      <c r="AV196" s="28">
        <f t="shared" ref="AV196:BE201" si="347">IF($AK196=0,VLOOKUP(MID($A196,4,5),ProjectSplits,AV$23,FALSE),IF(ISNA(VLOOKUP($A196,Estimates,AV$22,FALSE)),VLOOKUP(MID($A196,4,5),ProjectSplits,AV$23,FALSE),VLOOKUP($A196,Estimates,AV$22,FALSE)))</f>
        <v>0</v>
      </c>
      <c r="AW196" s="28">
        <f t="shared" si="347"/>
        <v>0</v>
      </c>
      <c r="AX196" s="28">
        <f t="shared" si="347"/>
        <v>0</v>
      </c>
      <c r="AY196" s="28">
        <f t="shared" si="347"/>
        <v>0</v>
      </c>
      <c r="AZ196" s="28">
        <f t="shared" si="347"/>
        <v>0</v>
      </c>
      <c r="BA196" s="28">
        <f t="shared" si="347"/>
        <v>0</v>
      </c>
      <c r="BB196" s="28">
        <f t="shared" si="347"/>
        <v>0</v>
      </c>
      <c r="BC196" s="28">
        <f t="shared" si="347"/>
        <v>0</v>
      </c>
      <c r="BD196" s="28">
        <f t="shared" si="347"/>
        <v>0</v>
      </c>
      <c r="BE196" s="28">
        <f t="shared" si="347"/>
        <v>0</v>
      </c>
      <c r="BF196" s="27">
        <f t="shared" ref="BF196:BF201" si="348">SUM(AL196:BD196)</f>
        <v>1</v>
      </c>
      <c r="BG196" s="520">
        <f t="shared" si="343"/>
        <v>1.004507272219447</v>
      </c>
      <c r="BH196" s="520">
        <f t="shared" si="326"/>
        <v>1.0086132428069199</v>
      </c>
      <c r="BI196" s="520">
        <f t="shared" si="327"/>
        <v>1.0130570114766662</v>
      </c>
      <c r="BJ196" s="520">
        <f t="shared" si="328"/>
        <v>1.0181900847980472</v>
      </c>
      <c r="BK196" s="520">
        <f t="shared" si="329"/>
        <v>1.0256683522911083</v>
      </c>
      <c r="BL196" s="520">
        <f t="shared" si="330"/>
        <v>1.0340800756124118</v>
      </c>
      <c r="BM196" s="520">
        <f t="shared" si="331"/>
        <v>1.0397114960046752</v>
      </c>
      <c r="BN196" s="521" t="str">
        <f t="shared" si="332"/>
        <v>Project</v>
      </c>
      <c r="BP196" s="3"/>
    </row>
    <row r="197" spans="1:68" hidden="1" x14ac:dyDescent="0.15">
      <c r="A197" s="12" t="s">
        <v>401</v>
      </c>
      <c r="B197" s="13" t="s">
        <v>2311</v>
      </c>
      <c r="C197" s="13" t="s">
        <v>27</v>
      </c>
      <c r="D197" s="13" t="s">
        <v>55</v>
      </c>
      <c r="E197" s="13" t="s">
        <v>112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5">
        <v>0</v>
      </c>
      <c r="N197" s="670"/>
      <c r="O197" s="14"/>
      <c r="P197" s="15"/>
      <c r="Q197" s="15" t="str">
        <f>IF(ISTEXT('Incurred 2.5% cpi'!Q197),"",'Incurred 2.5% cpi'!Q197/'Incurred 2.5% cpi'!Q$17*Incurred!Q$17)</f>
        <v/>
      </c>
      <c r="R197" s="110" t="str">
        <f>IF(ISTEXT('Incurred 2.5% cpi'!R197),"",'Incurred 2.5% cpi'!R197/'Incurred 2.5% cpi'!R$17*Incurred!R$17*BG197)</f>
        <v/>
      </c>
      <c r="S197" s="102">
        <f>IF(ISTEXT('Incurred 2.5% cpi'!S197),"",'Incurred 2.5% cpi'!S197/'Incurred 2.5% cpi'!S$17*Incurred!S$17*BH197)</f>
        <v>1223862.4886946003</v>
      </c>
      <c r="T197" s="16">
        <f>IF(ISTEXT('Incurred 2.5% cpi'!T197),"",'Incurred 2.5% cpi'!T197/'Incurred 2.5% cpi'!T$17*Incurred!T$17*BI197)</f>
        <v>1227169.4487648802</v>
      </c>
      <c r="U197" s="16">
        <f>IF(ISTEXT('Incurred 2.5% cpi'!U197),"",'Incurred 2.5% cpi'!U197/'Incurred 2.5% cpi'!U$17*Incurred!U$17*BJ197)</f>
        <v>35460.390898914986</v>
      </c>
      <c r="V197" s="16" t="str">
        <f>IF(ISTEXT('Incurred 2.5% cpi'!V197),"",'Incurred 2.5% cpi'!V197/'Incurred 2.5% cpi'!V$17*Incurred!V$17*BK197)</f>
        <v/>
      </c>
      <c r="W197" s="110" t="str">
        <f>IF(ISTEXT('Incurred 2.5% cpi'!W197),"",'Incurred 2.5% cpi'!W197/'Incurred 2.5% cpi'!W$17*Incurred!W$17*BL197)</f>
        <v/>
      </c>
      <c r="X197" s="102" t="str">
        <f>IF(ISTEXT('Incurred 2.5% cpi'!X197),"",'Incurred 2.5% cpi'!X197/'Incurred 2.5% cpi'!X$17*Incurred!X$17*BM197)</f>
        <v/>
      </c>
      <c r="Y197" s="80">
        <f t="shared" si="248"/>
        <v>2486492.3283583955</v>
      </c>
      <c r="Z197" s="80">
        <f t="shared" si="319"/>
        <v>2486492.3283583955</v>
      </c>
      <c r="AA197" s="566">
        <f t="shared" si="320"/>
        <v>2709698.0392229827</v>
      </c>
      <c r="AB197" s="566">
        <f t="shared" si="321"/>
        <v>2516224.00299286</v>
      </c>
      <c r="AC197" s="567">
        <f t="shared" si="339"/>
        <v>1.0768906249999999</v>
      </c>
      <c r="AD197" s="568" t="str">
        <f t="shared" si="333"/>
        <v>2021</v>
      </c>
      <c r="AE197" s="569">
        <v>43910</v>
      </c>
      <c r="AF197" s="568">
        <v>2020</v>
      </c>
      <c r="AG197" s="569"/>
      <c r="AH197" s="566">
        <f t="shared" si="345"/>
        <v>2394978.2300943341</v>
      </c>
      <c r="AI197" s="80">
        <f t="shared" si="322"/>
        <v>35460.390898914986</v>
      </c>
      <c r="AJ197" s="571" t="s">
        <v>3035</v>
      </c>
      <c r="AK197" s="875">
        <f t="shared" si="310"/>
        <v>460000.00000000041</v>
      </c>
      <c r="AL197" s="28">
        <f t="shared" si="346"/>
        <v>0</v>
      </c>
      <c r="AM197" s="28">
        <f t="shared" si="346"/>
        <v>0</v>
      </c>
      <c r="AN197" s="28">
        <f t="shared" si="346"/>
        <v>0</v>
      </c>
      <c r="AO197" s="28">
        <f t="shared" si="346"/>
        <v>1</v>
      </c>
      <c r="AP197" s="28">
        <f t="shared" si="346"/>
        <v>0</v>
      </c>
      <c r="AQ197" s="28">
        <f t="shared" si="346"/>
        <v>0</v>
      </c>
      <c r="AR197" s="28">
        <f t="shared" si="346"/>
        <v>0</v>
      </c>
      <c r="AS197" s="28">
        <f t="shared" si="346"/>
        <v>0</v>
      </c>
      <c r="AT197" s="28">
        <f t="shared" si="346"/>
        <v>0</v>
      </c>
      <c r="AU197" s="28">
        <f t="shared" si="346"/>
        <v>0</v>
      </c>
      <c r="AV197" s="28">
        <f t="shared" si="347"/>
        <v>0</v>
      </c>
      <c r="AW197" s="28">
        <f t="shared" si="347"/>
        <v>0</v>
      </c>
      <c r="AX197" s="28">
        <f t="shared" si="347"/>
        <v>0</v>
      </c>
      <c r="AY197" s="28">
        <f t="shared" si="347"/>
        <v>0</v>
      </c>
      <c r="AZ197" s="28">
        <f t="shared" si="347"/>
        <v>0</v>
      </c>
      <c r="BA197" s="28">
        <f t="shared" si="347"/>
        <v>0</v>
      </c>
      <c r="BB197" s="28">
        <f t="shared" si="347"/>
        <v>0</v>
      </c>
      <c r="BC197" s="28">
        <f t="shared" si="347"/>
        <v>0</v>
      </c>
      <c r="BD197" s="28">
        <f t="shared" si="347"/>
        <v>0</v>
      </c>
      <c r="BE197" s="28">
        <f t="shared" si="347"/>
        <v>0</v>
      </c>
      <c r="BF197" s="27">
        <f t="shared" si="348"/>
        <v>1</v>
      </c>
      <c r="BG197" s="520">
        <f t="shared" si="343"/>
        <v>1.0047443590460903</v>
      </c>
      <c r="BH197" s="520">
        <f t="shared" si="326"/>
        <v>1.0090663076108137</v>
      </c>
      <c r="BI197" s="520">
        <f t="shared" si="327"/>
        <v>1.0137438227597946</v>
      </c>
      <c r="BJ197" s="520">
        <f t="shared" si="328"/>
        <v>1.0191469006439002</v>
      </c>
      <c r="BK197" s="520">
        <f t="shared" si="329"/>
        <v>1.0270185321545748</v>
      </c>
      <c r="BL197" s="520">
        <f t="shared" si="330"/>
        <v>1.0358727201622233</v>
      </c>
      <c r="BM197" s="520">
        <f t="shared" si="331"/>
        <v>1.0418003586494431</v>
      </c>
      <c r="BN197" s="521" t="str">
        <f t="shared" si="332"/>
        <v>Project</v>
      </c>
      <c r="BP197" s="3"/>
    </row>
    <row r="198" spans="1:68" hidden="1" x14ac:dyDescent="0.15">
      <c r="A198" s="12" t="s">
        <v>402</v>
      </c>
      <c r="B198" s="13" t="s">
        <v>403</v>
      </c>
      <c r="C198" s="13" t="s">
        <v>27</v>
      </c>
      <c r="D198" s="13" t="s">
        <v>55</v>
      </c>
      <c r="E198" s="13" t="s">
        <v>112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5">
        <v>0</v>
      </c>
      <c r="N198" s="670"/>
      <c r="O198" s="14"/>
      <c r="P198" s="15"/>
      <c r="Q198" s="15" t="str">
        <f>IF(ISTEXT('Incurred 2.5% cpi'!Q198),"",'Incurred 2.5% cpi'!Q198/'Incurred 2.5% cpi'!Q$17*Incurred!Q$17)</f>
        <v/>
      </c>
      <c r="R198" s="110" t="str">
        <f>IF(ISTEXT('Incurred 2.5% cpi'!R198),"",'Incurred 2.5% cpi'!R198/'Incurred 2.5% cpi'!R$17*Incurred!R$17*BG198)</f>
        <v/>
      </c>
      <c r="S198" s="102">
        <f>IF(ISTEXT('Incurred 2.5% cpi'!S198),"",'Incurred 2.5% cpi'!S198/'Incurred 2.5% cpi'!S$17*Incurred!S$17*BH198)</f>
        <v>330387.60245958192</v>
      </c>
      <c r="T198" s="16">
        <f>IF(ISTEXT('Incurred 2.5% cpi'!T198),"",'Incurred 2.5% cpi'!T198/'Incurred 2.5% cpi'!T$17*Incurred!T$17*BI198)</f>
        <v>648667.53426185728</v>
      </c>
      <c r="U198" s="16">
        <f>IF(ISTEXT('Incurred 2.5% cpi'!U198),"",'Incurred 2.5% cpi'!U198/'Incurred 2.5% cpi'!U$17*Incurred!U$17*BJ198)</f>
        <v>483934.40484956728</v>
      </c>
      <c r="V198" s="16" t="str">
        <f>IF(ISTEXT('Incurred 2.5% cpi'!V198),"",'Incurred 2.5% cpi'!V198/'Incurred 2.5% cpi'!V$17*Incurred!V$17*BK198)</f>
        <v/>
      </c>
      <c r="W198" s="110" t="str">
        <f>IF(ISTEXT('Incurred 2.5% cpi'!W198),"",'Incurred 2.5% cpi'!W198/'Incurred 2.5% cpi'!W$17*Incurred!W$17*BL198)</f>
        <v/>
      </c>
      <c r="X198" s="102" t="str">
        <f>IF(ISTEXT('Incurred 2.5% cpi'!X198),"",'Incurred 2.5% cpi'!X198/'Incurred 2.5% cpi'!X$17*Incurred!X$17*BM198)</f>
        <v/>
      </c>
      <c r="Y198" s="80">
        <f t="shared" si="248"/>
        <v>1462989.5415710064</v>
      </c>
      <c r="Z198" s="80">
        <f t="shared" si="319"/>
        <v>1462989.5415710064</v>
      </c>
      <c r="AA198" s="566">
        <f t="shared" si="320"/>
        <v>1571663.6649811114</v>
      </c>
      <c r="AB198" s="566">
        <f t="shared" si="321"/>
        <v>1495932.1023020693</v>
      </c>
      <c r="AC198" s="567">
        <f t="shared" si="339"/>
        <v>1.0506249999999999</v>
      </c>
      <c r="AD198" s="568" t="str">
        <f t="shared" si="333"/>
        <v>2021</v>
      </c>
      <c r="AE198" s="569">
        <v>44207</v>
      </c>
      <c r="AF198" s="568">
        <v>2021</v>
      </c>
      <c r="AG198" s="569"/>
      <c r="AH198" s="566">
        <f t="shared" si="345"/>
        <v>1389121.6689736429</v>
      </c>
      <c r="AI198" s="80">
        <f t="shared" si="322"/>
        <v>483934.40484956728</v>
      </c>
      <c r="AJ198" s="571" t="s">
        <v>3035</v>
      </c>
      <c r="AK198" s="875">
        <f t="shared" si="310"/>
        <v>260000.00000000047</v>
      </c>
      <c r="AL198" s="28">
        <f t="shared" si="346"/>
        <v>0</v>
      </c>
      <c r="AM198" s="28">
        <f t="shared" si="346"/>
        <v>0</v>
      </c>
      <c r="AN198" s="28">
        <f t="shared" si="346"/>
        <v>0</v>
      </c>
      <c r="AO198" s="28">
        <f t="shared" si="346"/>
        <v>1</v>
      </c>
      <c r="AP198" s="28">
        <f t="shared" si="346"/>
        <v>0</v>
      </c>
      <c r="AQ198" s="28">
        <f t="shared" si="346"/>
        <v>0</v>
      </c>
      <c r="AR198" s="28">
        <f t="shared" si="346"/>
        <v>0</v>
      </c>
      <c r="AS198" s="28">
        <f t="shared" si="346"/>
        <v>0</v>
      </c>
      <c r="AT198" s="28">
        <f t="shared" si="346"/>
        <v>0</v>
      </c>
      <c r="AU198" s="28">
        <f t="shared" si="346"/>
        <v>0</v>
      </c>
      <c r="AV198" s="28">
        <f t="shared" si="347"/>
        <v>0</v>
      </c>
      <c r="AW198" s="28">
        <f t="shared" si="347"/>
        <v>0</v>
      </c>
      <c r="AX198" s="28">
        <f t="shared" si="347"/>
        <v>0</v>
      </c>
      <c r="AY198" s="28">
        <f t="shared" si="347"/>
        <v>0</v>
      </c>
      <c r="AZ198" s="28">
        <f t="shared" si="347"/>
        <v>0</v>
      </c>
      <c r="BA198" s="28">
        <f t="shared" si="347"/>
        <v>0</v>
      </c>
      <c r="BB198" s="28">
        <f t="shared" si="347"/>
        <v>0</v>
      </c>
      <c r="BC198" s="28">
        <f t="shared" si="347"/>
        <v>0</v>
      </c>
      <c r="BD198" s="28">
        <f t="shared" si="347"/>
        <v>0</v>
      </c>
      <c r="BE198" s="28">
        <f t="shared" si="347"/>
        <v>0</v>
      </c>
      <c r="BF198" s="27">
        <f t="shared" si="348"/>
        <v>1</v>
      </c>
      <c r="BG198" s="520">
        <f t="shared" si="343"/>
        <v>1.0047443590460903</v>
      </c>
      <c r="BH198" s="520">
        <f t="shared" si="326"/>
        <v>1.0090663076108137</v>
      </c>
      <c r="BI198" s="520">
        <f t="shared" si="327"/>
        <v>1.0137438227597946</v>
      </c>
      <c r="BJ198" s="520">
        <f t="shared" si="328"/>
        <v>1.0191469006439002</v>
      </c>
      <c r="BK198" s="520">
        <f t="shared" si="329"/>
        <v>1.0270185321545748</v>
      </c>
      <c r="BL198" s="520">
        <f t="shared" si="330"/>
        <v>1.0358727201622233</v>
      </c>
      <c r="BM198" s="520">
        <f t="shared" si="331"/>
        <v>1.0418003586494431</v>
      </c>
      <c r="BN198" s="521" t="str">
        <f t="shared" si="332"/>
        <v>Project</v>
      </c>
      <c r="BP198" s="3"/>
    </row>
    <row r="199" spans="1:68" hidden="1" x14ac:dyDescent="0.15">
      <c r="A199" s="12" t="s">
        <v>404</v>
      </c>
      <c r="B199" s="13" t="s">
        <v>405</v>
      </c>
      <c r="C199" s="13" t="s">
        <v>27</v>
      </c>
      <c r="D199" s="13" t="s">
        <v>40</v>
      </c>
      <c r="E199" s="13" t="s">
        <v>112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5">
        <v>0</v>
      </c>
      <c r="N199" s="670"/>
      <c r="O199" s="14"/>
      <c r="P199" s="15"/>
      <c r="Q199" s="15" t="str">
        <f>IF(ISTEXT('Incurred 2.5% cpi'!Q199),"",'Incurred 2.5% cpi'!Q199/'Incurred 2.5% cpi'!Q$17*Incurred!Q$17)</f>
        <v/>
      </c>
      <c r="R199" s="110" t="str">
        <f>IF(ISTEXT('Incurred 2.5% cpi'!R199),"",'Incurred 2.5% cpi'!R199/'Incurred 2.5% cpi'!R$17*Incurred!R$17*BG199)</f>
        <v/>
      </c>
      <c r="S199" s="102">
        <f>IF(ISTEXT('Incurred 2.5% cpi'!S199),"",'Incurred 2.5% cpi'!S199/'Incurred 2.5% cpi'!S$17*Incurred!S$17*BH199)</f>
        <v>582181.12852338585</v>
      </c>
      <c r="T199" s="16">
        <f>IF(ISTEXT('Incurred 2.5% cpi'!T199),"",'Incurred 2.5% cpi'!T199/'Incurred 2.5% cpi'!T$17*Incurred!T$17*BI199)</f>
        <v>907720.06469720614</v>
      </c>
      <c r="U199" s="16">
        <f>IF(ISTEXT('Incurred 2.5% cpi'!U199),"",'Incurred 2.5% cpi'!U199/'Incurred 2.5% cpi'!U$17*Incurred!U$17*BJ199)</f>
        <v>531507.87907957262</v>
      </c>
      <c r="V199" s="16" t="str">
        <f>IF(ISTEXT('Incurred 2.5% cpi'!V199),"",'Incurred 2.5% cpi'!V199/'Incurred 2.5% cpi'!V$17*Incurred!V$17*BK199)</f>
        <v/>
      </c>
      <c r="W199" s="110" t="str">
        <f>IF(ISTEXT('Incurred 2.5% cpi'!W199),"",'Incurred 2.5% cpi'!W199/'Incurred 2.5% cpi'!W$17*Incurred!W$17*BL199)</f>
        <v/>
      </c>
      <c r="X199" s="102" t="str">
        <f>IF(ISTEXT('Incurred 2.5% cpi'!X199),"",'Incurred 2.5% cpi'!X199/'Incurred 2.5% cpi'!X$17*Incurred!X$17*BM199)</f>
        <v/>
      </c>
      <c r="Y199" s="80">
        <f t="shared" si="248"/>
        <v>2021409.0723001647</v>
      </c>
      <c r="Z199" s="80">
        <f t="shared" si="319"/>
        <v>2021409.0723001647</v>
      </c>
      <c r="AA199" s="566">
        <f t="shared" si="320"/>
        <v>2178549.7275975137</v>
      </c>
      <c r="AB199" s="566">
        <f t="shared" si="321"/>
        <v>2073574.993549091</v>
      </c>
      <c r="AC199" s="567">
        <f t="shared" si="339"/>
        <v>1.0506249999999999</v>
      </c>
      <c r="AD199" s="568" t="str">
        <f t="shared" si="333"/>
        <v>2021</v>
      </c>
      <c r="AE199" s="569">
        <v>44148</v>
      </c>
      <c r="AF199" s="568">
        <v>2021</v>
      </c>
      <c r="AG199" s="569"/>
      <c r="AH199" s="566">
        <f t="shared" si="345"/>
        <v>1925520.517507608</v>
      </c>
      <c r="AI199" s="80">
        <f t="shared" si="322"/>
        <v>531507.87907957262</v>
      </c>
      <c r="AJ199" s="571" t="s">
        <v>3035</v>
      </c>
      <c r="AK199" s="875">
        <f t="shared" si="310"/>
        <v>180000.00000000015</v>
      </c>
      <c r="AL199" s="28">
        <f t="shared" si="346"/>
        <v>0</v>
      </c>
      <c r="AM199" s="28">
        <f t="shared" si="346"/>
        <v>0</v>
      </c>
      <c r="AN199" s="28">
        <f t="shared" si="346"/>
        <v>0</v>
      </c>
      <c r="AO199" s="28">
        <f t="shared" si="346"/>
        <v>1</v>
      </c>
      <c r="AP199" s="28">
        <f t="shared" si="346"/>
        <v>0</v>
      </c>
      <c r="AQ199" s="28">
        <f t="shared" si="346"/>
        <v>0</v>
      </c>
      <c r="AR199" s="28">
        <f t="shared" si="346"/>
        <v>0</v>
      </c>
      <c r="AS199" s="28">
        <f t="shared" si="346"/>
        <v>0</v>
      </c>
      <c r="AT199" s="28">
        <f t="shared" si="346"/>
        <v>0</v>
      </c>
      <c r="AU199" s="28">
        <f t="shared" si="346"/>
        <v>0</v>
      </c>
      <c r="AV199" s="28">
        <f t="shared" si="347"/>
        <v>0</v>
      </c>
      <c r="AW199" s="28">
        <f t="shared" si="347"/>
        <v>0</v>
      </c>
      <c r="AX199" s="28">
        <f t="shared" si="347"/>
        <v>0</v>
      </c>
      <c r="AY199" s="28">
        <f t="shared" si="347"/>
        <v>0</v>
      </c>
      <c r="AZ199" s="28">
        <f t="shared" si="347"/>
        <v>0</v>
      </c>
      <c r="BA199" s="28">
        <f t="shared" si="347"/>
        <v>0</v>
      </c>
      <c r="BB199" s="28">
        <f t="shared" si="347"/>
        <v>0</v>
      </c>
      <c r="BC199" s="28">
        <f t="shared" si="347"/>
        <v>0</v>
      </c>
      <c r="BD199" s="28">
        <f t="shared" si="347"/>
        <v>0</v>
      </c>
      <c r="BE199" s="28">
        <f t="shared" si="347"/>
        <v>0</v>
      </c>
      <c r="BF199" s="27">
        <f t="shared" si="348"/>
        <v>1</v>
      </c>
      <c r="BG199" s="520">
        <f t="shared" si="343"/>
        <v>1.0053374039268514</v>
      </c>
      <c r="BH199" s="520">
        <f t="shared" si="326"/>
        <v>1.0101995960621655</v>
      </c>
      <c r="BI199" s="520">
        <f t="shared" si="327"/>
        <v>1.0154618006047689</v>
      </c>
      <c r="BJ199" s="520">
        <f t="shared" si="328"/>
        <v>1.0215402632243877</v>
      </c>
      <c r="BK199" s="520">
        <f t="shared" si="329"/>
        <v>1.0303958486738967</v>
      </c>
      <c r="BL199" s="520">
        <f t="shared" si="330"/>
        <v>1.0403568101825011</v>
      </c>
      <c r="BM199" s="520">
        <f t="shared" si="331"/>
        <v>1.0470254034806237</v>
      </c>
      <c r="BN199" s="521" t="str">
        <f t="shared" si="332"/>
        <v>Project</v>
      </c>
      <c r="BP199" s="3"/>
    </row>
    <row r="200" spans="1:68" hidden="1" x14ac:dyDescent="0.15">
      <c r="A200" s="12" t="s">
        <v>406</v>
      </c>
      <c r="B200" s="13" t="s">
        <v>407</v>
      </c>
      <c r="C200" s="13" t="s">
        <v>27</v>
      </c>
      <c r="D200" s="13" t="s">
        <v>60</v>
      </c>
      <c r="E200" s="13" t="s">
        <v>112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5">
        <v>0</v>
      </c>
      <c r="N200" s="670"/>
      <c r="O200" s="14"/>
      <c r="P200" s="15"/>
      <c r="Q200" s="15" t="str">
        <f>IF(ISTEXT('Incurred 2.5% cpi'!Q200),"",'Incurred 2.5% cpi'!Q200/'Incurred 2.5% cpi'!Q$17*Incurred!Q$17)</f>
        <v/>
      </c>
      <c r="R200" s="110" t="str">
        <f>IF(ISTEXT('Incurred 2.5% cpi'!R200),"",'Incurred 2.5% cpi'!R200/'Incurred 2.5% cpi'!R$17*Incurred!R$17*BG200)</f>
        <v/>
      </c>
      <c r="S200" s="102" t="str">
        <f>IF(ISTEXT('Incurred 2.5% cpi'!S200),"",'Incurred 2.5% cpi'!S200/'Incurred 2.5% cpi'!S$17*Incurred!S$17*BH200)</f>
        <v/>
      </c>
      <c r="T200" s="16">
        <f>IF(ISTEXT('Incurred 2.5% cpi'!T200),"",'Incurred 2.5% cpi'!T200/'Incurred 2.5% cpi'!T$17*Incurred!T$17*BI200)</f>
        <v>2437265.5401293496</v>
      </c>
      <c r="U200" s="16" t="str">
        <f>IF(ISTEXT('Incurred 2.5% cpi'!U200),"",'Incurred 2.5% cpi'!U200/'Incurred 2.5% cpi'!U$17*Incurred!U$17*BJ200)</f>
        <v/>
      </c>
      <c r="V200" s="16" t="str">
        <f>IF(ISTEXT('Incurred 2.5% cpi'!V200),"",'Incurred 2.5% cpi'!V200/'Incurred 2.5% cpi'!V$17*Incurred!V$17*BK200)</f>
        <v/>
      </c>
      <c r="W200" s="110" t="str">
        <f>IF(ISTEXT('Incurred 2.5% cpi'!W200),"",'Incurred 2.5% cpi'!W200/'Incurred 2.5% cpi'!W$17*Incurred!W$17*BL200)</f>
        <v/>
      </c>
      <c r="X200" s="102" t="str">
        <f>IF(ISTEXT('Incurred 2.5% cpi'!X200),"",'Incurred 2.5% cpi'!X200/'Incurred 2.5% cpi'!X$17*Incurred!X$17*BM200)</f>
        <v/>
      </c>
      <c r="Y200" s="80">
        <f t="shared" si="248"/>
        <v>2437265.5401293496</v>
      </c>
      <c r="Z200" s="80">
        <f t="shared" si="319"/>
        <v>2437265.5401293496</v>
      </c>
      <c r="AA200" s="566">
        <f t="shared" si="320"/>
        <v>2624668.4108008575</v>
      </c>
      <c r="AB200" s="566">
        <f t="shared" si="321"/>
        <v>2437265.5401293496</v>
      </c>
      <c r="AC200" s="567">
        <f t="shared" si="339"/>
        <v>1.0768906249999999</v>
      </c>
      <c r="AD200" s="568" t="str">
        <f t="shared" si="333"/>
        <v>2020</v>
      </c>
      <c r="AE200" s="569">
        <v>43924</v>
      </c>
      <c r="AF200" s="568">
        <v>2020</v>
      </c>
      <c r="AG200" s="569"/>
      <c r="AH200" s="566">
        <f t="shared" si="345"/>
        <v>2319824.4284395953</v>
      </c>
      <c r="AI200" s="80">
        <f t="shared" si="322"/>
        <v>2437265.5401293496</v>
      </c>
      <c r="AJ200" s="571" t="s">
        <v>3035</v>
      </c>
      <c r="AK200" s="875">
        <f t="shared" si="310"/>
        <v>2094358</v>
      </c>
      <c r="AL200" s="28">
        <f t="shared" si="346"/>
        <v>0</v>
      </c>
      <c r="AM200" s="28">
        <f t="shared" si="346"/>
        <v>0</v>
      </c>
      <c r="AN200" s="28">
        <f t="shared" si="346"/>
        <v>0</v>
      </c>
      <c r="AO200" s="28">
        <f t="shared" si="346"/>
        <v>0</v>
      </c>
      <c r="AP200" s="28">
        <f t="shared" si="346"/>
        <v>0</v>
      </c>
      <c r="AQ200" s="28">
        <f t="shared" si="346"/>
        <v>0</v>
      </c>
      <c r="AR200" s="28">
        <f t="shared" si="346"/>
        <v>0</v>
      </c>
      <c r="AS200" s="28">
        <f t="shared" si="346"/>
        <v>0</v>
      </c>
      <c r="AT200" s="28">
        <f t="shared" si="346"/>
        <v>0</v>
      </c>
      <c r="AU200" s="28">
        <f t="shared" si="346"/>
        <v>1</v>
      </c>
      <c r="AV200" s="28">
        <f t="shared" si="347"/>
        <v>0</v>
      </c>
      <c r="AW200" s="28">
        <f t="shared" si="347"/>
        <v>0</v>
      </c>
      <c r="AX200" s="28">
        <f t="shared" si="347"/>
        <v>0</v>
      </c>
      <c r="AY200" s="28">
        <f t="shared" si="347"/>
        <v>0</v>
      </c>
      <c r="AZ200" s="28">
        <f t="shared" si="347"/>
        <v>0</v>
      </c>
      <c r="BA200" s="28">
        <f t="shared" si="347"/>
        <v>0</v>
      </c>
      <c r="BB200" s="28">
        <f t="shared" si="347"/>
        <v>0</v>
      </c>
      <c r="BC200" s="28">
        <f t="shared" si="347"/>
        <v>0</v>
      </c>
      <c r="BD200" s="28">
        <f t="shared" si="347"/>
        <v>0</v>
      </c>
      <c r="BE200" s="28">
        <f t="shared" si="347"/>
        <v>0</v>
      </c>
      <c r="BF200" s="27">
        <f t="shared" si="348"/>
        <v>1</v>
      </c>
      <c r="BG200" s="520">
        <f t="shared" si="343"/>
        <v>1.0002847743844534</v>
      </c>
      <c r="BH200" s="520">
        <f t="shared" si="326"/>
        <v>1.0005441940932489</v>
      </c>
      <c r="BI200" s="520">
        <f t="shared" si="327"/>
        <v>1.0008249562540341</v>
      </c>
      <c r="BJ200" s="520">
        <f t="shared" si="328"/>
        <v>1.0011492694359945</v>
      </c>
      <c r="BK200" s="520">
        <f t="shared" si="329"/>
        <v>1.0016217545485921</v>
      </c>
      <c r="BL200" s="520">
        <f t="shared" si="330"/>
        <v>1.0021532164205156</v>
      </c>
      <c r="BM200" s="520">
        <f t="shared" si="331"/>
        <v>1.0025090157150169</v>
      </c>
      <c r="BN200" s="521" t="str">
        <f t="shared" si="332"/>
        <v>Project</v>
      </c>
      <c r="BP200" s="3"/>
    </row>
    <row r="201" spans="1:68" hidden="1" x14ac:dyDescent="0.15">
      <c r="A201" s="12" t="s">
        <v>408</v>
      </c>
      <c r="B201" s="13" t="s">
        <v>409</v>
      </c>
      <c r="C201" s="13" t="s">
        <v>27</v>
      </c>
      <c r="D201" s="13" t="s">
        <v>55</v>
      </c>
      <c r="E201" s="13" t="s">
        <v>29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5">
        <v>0</v>
      </c>
      <c r="N201" s="670"/>
      <c r="O201" s="14"/>
      <c r="P201" s="15">
        <v>27690.75</v>
      </c>
      <c r="Q201" s="15">
        <f>IF(ISTEXT('Incurred 2.5% cpi'!Q201),"",'Incurred 2.5% cpi'!Q201/'Incurred 2.5% cpi'!Q$17*Incurred!Q$17)</f>
        <v>424318.46</v>
      </c>
      <c r="R201" s="110">
        <f>IF(ISTEXT('Incurred 2.5% cpi'!R201),"",'Incurred 2.5% cpi'!R201/'Incurred 2.5% cpi'!R$17*Incurred!R$17*BG201)</f>
        <v>1699613.8572288426</v>
      </c>
      <c r="S201" s="102" t="str">
        <f>IF(ISTEXT('Incurred 2.5% cpi'!S201),"",'Incurred 2.5% cpi'!S201/'Incurred 2.5% cpi'!S$17*Incurred!S$17*BH201)</f>
        <v/>
      </c>
      <c r="T201" s="16" t="str">
        <f>IF(ISTEXT('Incurred 2.5% cpi'!T201),"",'Incurred 2.5% cpi'!T201/'Incurred 2.5% cpi'!T$17*Incurred!T$17*BI201)</f>
        <v/>
      </c>
      <c r="U201" s="16" t="str">
        <f>IF(ISTEXT('Incurred 2.5% cpi'!U201),"",'Incurred 2.5% cpi'!U201/'Incurred 2.5% cpi'!U$17*Incurred!U$17*BJ201)</f>
        <v/>
      </c>
      <c r="V201" s="16" t="str">
        <f>IF(ISTEXT('Incurred 2.5% cpi'!V201),"",'Incurred 2.5% cpi'!V201/'Incurred 2.5% cpi'!V$17*Incurred!V$17*BK201)</f>
        <v/>
      </c>
      <c r="W201" s="110" t="str">
        <f>IF(ISTEXT('Incurred 2.5% cpi'!W201),"",'Incurred 2.5% cpi'!W201/'Incurred 2.5% cpi'!W$17*Incurred!W$17*BL201)</f>
        <v/>
      </c>
      <c r="X201" s="102" t="str">
        <f>IF(ISTEXT('Incurred 2.5% cpi'!X201),"",'Incurred 2.5% cpi'!X201/'Incurred 2.5% cpi'!X$17*Incurred!X$17*BM201)</f>
        <v/>
      </c>
      <c r="Y201" s="80">
        <f t="shared" si="248"/>
        <v>2151623.0672288425</v>
      </c>
      <c r="Z201" s="80">
        <f t="shared" si="319"/>
        <v>2151623.0672288425</v>
      </c>
      <c r="AA201" s="566">
        <f t="shared" si="320"/>
        <v>2447831.8017993029</v>
      </c>
      <c r="AB201" s="566">
        <f t="shared" si="321"/>
        <v>2163526.6333672437</v>
      </c>
      <c r="AC201" s="567">
        <f t="shared" si="339"/>
        <v>1.1314082128906247</v>
      </c>
      <c r="AD201" s="568" t="str">
        <f t="shared" si="333"/>
        <v>2018</v>
      </c>
      <c r="AE201" s="569">
        <v>42983</v>
      </c>
      <c r="AF201" s="568">
        <v>2018</v>
      </c>
      <c r="AG201" s="569"/>
      <c r="AH201" s="566">
        <f t="shared" si="345"/>
        <v>2163526.6333672437</v>
      </c>
      <c r="AI201" s="80">
        <f t="shared" si="322"/>
        <v>1699613.8572288426</v>
      </c>
      <c r="AJ201" s="571" t="s">
        <v>0</v>
      </c>
      <c r="AK201" s="875">
        <f t="shared" si="310"/>
        <v>107250.0000000001</v>
      </c>
      <c r="AL201" s="28">
        <f t="shared" si="346"/>
        <v>0</v>
      </c>
      <c r="AM201" s="28">
        <f t="shared" si="346"/>
        <v>0</v>
      </c>
      <c r="AN201" s="28">
        <f t="shared" si="346"/>
        <v>0</v>
      </c>
      <c r="AO201" s="28">
        <f t="shared" si="346"/>
        <v>1</v>
      </c>
      <c r="AP201" s="28">
        <f t="shared" si="346"/>
        <v>0</v>
      </c>
      <c r="AQ201" s="28">
        <f t="shared" si="346"/>
        <v>0</v>
      </c>
      <c r="AR201" s="28">
        <f t="shared" si="346"/>
        <v>0</v>
      </c>
      <c r="AS201" s="28">
        <f t="shared" si="346"/>
        <v>0</v>
      </c>
      <c r="AT201" s="28">
        <f t="shared" si="346"/>
        <v>0</v>
      </c>
      <c r="AU201" s="28">
        <f t="shared" si="346"/>
        <v>0</v>
      </c>
      <c r="AV201" s="28">
        <f t="shared" si="347"/>
        <v>0</v>
      </c>
      <c r="AW201" s="28">
        <f t="shared" si="347"/>
        <v>0</v>
      </c>
      <c r="AX201" s="28">
        <f t="shared" si="347"/>
        <v>0</v>
      </c>
      <c r="AY201" s="28">
        <f t="shared" si="347"/>
        <v>0</v>
      </c>
      <c r="AZ201" s="28">
        <f t="shared" si="347"/>
        <v>0</v>
      </c>
      <c r="BA201" s="28">
        <f t="shared" si="347"/>
        <v>0</v>
      </c>
      <c r="BB201" s="28">
        <f t="shared" si="347"/>
        <v>0</v>
      </c>
      <c r="BC201" s="28">
        <f t="shared" si="347"/>
        <v>0</v>
      </c>
      <c r="BD201" s="28">
        <f t="shared" si="347"/>
        <v>0</v>
      </c>
      <c r="BE201" s="28">
        <f t="shared" si="347"/>
        <v>0</v>
      </c>
      <c r="BF201" s="27">
        <f t="shared" si="348"/>
        <v>1</v>
      </c>
      <c r="BG201" s="520">
        <f t="shared" si="343"/>
        <v>1.0046190746045656</v>
      </c>
      <c r="BH201" s="520">
        <f t="shared" si="326"/>
        <v>1.0088268933348963</v>
      </c>
      <c r="BI201" s="520">
        <f t="shared" si="327"/>
        <v>1.0133808891912874</v>
      </c>
      <c r="BJ201" s="520">
        <f t="shared" si="328"/>
        <v>1.018641287824382</v>
      </c>
      <c r="BK201" s="520">
        <f t="shared" si="329"/>
        <v>1.0263050529092395</v>
      </c>
      <c r="BL201" s="520">
        <f t="shared" si="330"/>
        <v>1.0349254280901359</v>
      </c>
      <c r="BM201" s="520">
        <f t="shared" si="331"/>
        <v>1.0406965352376705</v>
      </c>
      <c r="BN201" s="521" t="str">
        <f t="shared" si="332"/>
        <v>Category</v>
      </c>
      <c r="BP201" s="3"/>
    </row>
    <row r="202" spans="1:68" hidden="1" x14ac:dyDescent="0.15">
      <c r="A202" s="12" t="s">
        <v>411</v>
      </c>
      <c r="B202" s="13" t="s">
        <v>412</v>
      </c>
      <c r="C202" s="13" t="s">
        <v>27</v>
      </c>
      <c r="D202" s="13" t="s">
        <v>36</v>
      </c>
      <c r="E202" s="13" t="s">
        <v>112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5">
        <v>0</v>
      </c>
      <c r="N202" s="670"/>
      <c r="O202" s="14"/>
      <c r="P202" s="15"/>
      <c r="Q202" s="15" t="str">
        <f>IF(ISTEXT('Incurred 2.5% cpi'!Q202),"",'Incurred 2.5% cpi'!Q202/'Incurred 2.5% cpi'!Q$17*Incurred!Q$17)</f>
        <v/>
      </c>
      <c r="R202" s="110" t="str">
        <f>IF(ISTEXT('Incurred 2.5% cpi'!R202),"",'Incurred 2.5% cpi'!R202/'Incurred 2.5% cpi'!R$17*Incurred!R$17*BG202)</f>
        <v/>
      </c>
      <c r="S202" s="102" t="str">
        <f>IF(ISTEXT('Incurred 2.5% cpi'!S202),"",'Incurred 2.5% cpi'!S202/'Incurred 2.5% cpi'!S$17*Incurred!S$17*BH202)</f>
        <v/>
      </c>
      <c r="T202" s="16" t="str">
        <f>IF(ISTEXT('Incurred 2.5% cpi'!T202),"",'Incurred 2.5% cpi'!T202/'Incurred 2.5% cpi'!T$17*Incurred!T$17*BI202)</f>
        <v/>
      </c>
      <c r="U202" s="16">
        <f>IF(ISTEXT('Incurred 2.5% cpi'!U202),"",'Incurred 2.5% cpi'!U202/'Incurred 2.5% cpi'!U$17*Incurred!U$17*BJ202)</f>
        <v>260689.29664036393</v>
      </c>
      <c r="V202" s="16" t="str">
        <f>IF(ISTEXT('Incurred 2.5% cpi'!V202),"",'Incurred 2.5% cpi'!V202/'Incurred 2.5% cpi'!V$17*Incurred!V$17*BK202)</f>
        <v/>
      </c>
      <c r="W202" s="110" t="str">
        <f>IF(ISTEXT('Incurred 2.5% cpi'!W202),"",'Incurred 2.5% cpi'!W202/'Incurred 2.5% cpi'!W$17*Incurred!W$17*BL202)</f>
        <v/>
      </c>
      <c r="X202" s="102" t="str">
        <f>IF(ISTEXT('Incurred 2.5% cpi'!X202),"",'Incurred 2.5% cpi'!X202/'Incurred 2.5% cpi'!X$17*Incurred!X$17*BM202)</f>
        <v/>
      </c>
      <c r="Y202" s="80">
        <f t="shared" si="248"/>
        <v>260689.29664036393</v>
      </c>
      <c r="Z202" s="80">
        <f t="shared" si="319"/>
        <v>260689.29664036393</v>
      </c>
      <c r="AA202" s="566">
        <f t="shared" si="320"/>
        <v>273886.69228278234</v>
      </c>
      <c r="AB202" s="566">
        <f t="shared" si="321"/>
        <v>260689.29664036393</v>
      </c>
      <c r="AC202" s="567">
        <f t="shared" si="339"/>
        <v>1.0506249999999999</v>
      </c>
      <c r="AD202" s="568" t="str">
        <f t="shared" si="333"/>
        <v>2021</v>
      </c>
      <c r="AE202" s="569">
        <v>44197</v>
      </c>
      <c r="AF202" s="568">
        <v>2021</v>
      </c>
      <c r="AG202" s="569"/>
      <c r="AH202" s="566">
        <f t="shared" ref="AH202:AH223" si="349">IF(ROUND(Y202,0)=0,0,SUMPRODUCT($F$19:$W$19,F202:W202))</f>
        <v>242075.9272933256</v>
      </c>
      <c r="AI202" s="80">
        <f t="shared" si="322"/>
        <v>260689.29664036393</v>
      </c>
      <c r="AJ202" s="571" t="s">
        <v>3035</v>
      </c>
      <c r="AK202" s="875">
        <f t="shared" si="310"/>
        <v>170999.99999999997</v>
      </c>
      <c r="AL202" s="28">
        <f t="shared" ref="AL202:AU203" si="350">IF($AK202=0,VLOOKUP(MID($A202,4,5),ProjectSplits,AL$23,FALSE),IF(ISNA(VLOOKUP($A202,Estimates,AL$22,FALSE)),VLOOKUP(MID($A202,4,5),ProjectSplits,AL$23,FALSE),VLOOKUP($A202,Estimates,AL$22,FALSE)))</f>
        <v>1</v>
      </c>
      <c r="AM202" s="28">
        <f t="shared" si="350"/>
        <v>0</v>
      </c>
      <c r="AN202" s="28">
        <f t="shared" si="350"/>
        <v>0</v>
      </c>
      <c r="AO202" s="28">
        <f t="shared" si="350"/>
        <v>0</v>
      </c>
      <c r="AP202" s="28">
        <f t="shared" si="350"/>
        <v>0</v>
      </c>
      <c r="AQ202" s="28">
        <f t="shared" si="350"/>
        <v>0</v>
      </c>
      <c r="AR202" s="28">
        <f t="shared" si="350"/>
        <v>0</v>
      </c>
      <c r="AS202" s="28">
        <f t="shared" si="350"/>
        <v>0</v>
      </c>
      <c r="AT202" s="28">
        <f t="shared" si="350"/>
        <v>0</v>
      </c>
      <c r="AU202" s="28">
        <f t="shared" si="350"/>
        <v>0</v>
      </c>
      <c r="AV202" s="28">
        <f t="shared" ref="AV202:BE203" si="351">IF($AK202=0,VLOOKUP(MID($A202,4,5),ProjectSplits,AV$23,FALSE),IF(ISNA(VLOOKUP($A202,Estimates,AV$22,FALSE)),VLOOKUP(MID($A202,4,5),ProjectSplits,AV$23,FALSE),VLOOKUP($A202,Estimates,AV$22,FALSE)))</f>
        <v>0</v>
      </c>
      <c r="AW202" s="28">
        <f t="shared" si="351"/>
        <v>0</v>
      </c>
      <c r="AX202" s="28">
        <f t="shared" si="351"/>
        <v>0</v>
      </c>
      <c r="AY202" s="28">
        <f t="shared" si="351"/>
        <v>0</v>
      </c>
      <c r="AZ202" s="28">
        <f t="shared" si="351"/>
        <v>0</v>
      </c>
      <c r="BA202" s="28">
        <f t="shared" si="351"/>
        <v>0</v>
      </c>
      <c r="BB202" s="28">
        <f t="shared" si="351"/>
        <v>0</v>
      </c>
      <c r="BC202" s="28">
        <f t="shared" si="351"/>
        <v>0</v>
      </c>
      <c r="BD202" s="28">
        <f t="shared" si="351"/>
        <v>0</v>
      </c>
      <c r="BE202" s="28">
        <f t="shared" si="351"/>
        <v>0</v>
      </c>
      <c r="BF202" s="27">
        <f t="shared" ref="BF202:BF203" si="352">SUM(AL202:BD202)</f>
        <v>1</v>
      </c>
      <c r="BG202" s="520">
        <f t="shared" si="343"/>
        <v>1.0016180795004948</v>
      </c>
      <c r="BH202" s="520">
        <f t="shared" si="326"/>
        <v>1.0030920944953199</v>
      </c>
      <c r="BI202" s="520">
        <f t="shared" si="327"/>
        <v>1.0046873766614233</v>
      </c>
      <c r="BJ202" s="520">
        <f t="shared" si="328"/>
        <v>1.0065301144219754</v>
      </c>
      <c r="BK202" s="520">
        <f t="shared" si="329"/>
        <v>1.0092147606427051</v>
      </c>
      <c r="BL202" s="520">
        <f t="shared" si="330"/>
        <v>1.0122345110388116</v>
      </c>
      <c r="BM202" s="520">
        <f t="shared" si="331"/>
        <v>1.0142561519452724</v>
      </c>
      <c r="BN202" s="521" t="str">
        <f t="shared" si="332"/>
        <v>Project</v>
      </c>
      <c r="BP202" s="3"/>
    </row>
    <row r="203" spans="1:68" hidden="1" x14ac:dyDescent="0.15">
      <c r="A203" s="12" t="s">
        <v>413</v>
      </c>
      <c r="B203" s="13" t="s">
        <v>414</v>
      </c>
      <c r="C203" s="13" t="s">
        <v>27</v>
      </c>
      <c r="D203" s="13" t="s">
        <v>36</v>
      </c>
      <c r="E203" s="13" t="s">
        <v>112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5">
        <v>0</v>
      </c>
      <c r="N203" s="670"/>
      <c r="O203" s="14"/>
      <c r="P203" s="15"/>
      <c r="Q203" s="15" t="str">
        <f>IF(ISTEXT('Incurred 2.5% cpi'!Q203),"",'Incurred 2.5% cpi'!Q203/'Incurred 2.5% cpi'!Q$17*Incurred!Q$17)</f>
        <v/>
      </c>
      <c r="R203" s="110" t="str">
        <f>IF(ISTEXT('Incurred 2.5% cpi'!R203),"",'Incurred 2.5% cpi'!R203/'Incurred 2.5% cpi'!R$17*Incurred!R$17*BG203)</f>
        <v/>
      </c>
      <c r="S203" s="102" t="str">
        <f>IF(ISTEXT('Incurred 2.5% cpi'!S203),"",'Incurred 2.5% cpi'!S203/'Incurred 2.5% cpi'!S$17*Incurred!S$17*BH203)</f>
        <v/>
      </c>
      <c r="T203" s="16" t="str">
        <f>IF(ISTEXT('Incurred 2.5% cpi'!T203),"",'Incurred 2.5% cpi'!T203/'Incurred 2.5% cpi'!T$17*Incurred!T$17*BI203)</f>
        <v/>
      </c>
      <c r="U203" s="16">
        <f>IF(ISTEXT('Incurred 2.5% cpi'!U203),"",'Incurred 2.5% cpi'!U203/'Incurred 2.5% cpi'!U$17*Incurred!U$17*BJ203)</f>
        <v>373933.05995536596</v>
      </c>
      <c r="V203" s="16" t="str">
        <f>IF(ISTEXT('Incurred 2.5% cpi'!V203),"",'Incurred 2.5% cpi'!V203/'Incurred 2.5% cpi'!V$17*Incurred!V$17*BK203)</f>
        <v/>
      </c>
      <c r="W203" s="110" t="str">
        <f>IF(ISTEXT('Incurred 2.5% cpi'!W203),"",'Incurred 2.5% cpi'!W203/'Incurred 2.5% cpi'!W$17*Incurred!W$17*BL203)</f>
        <v/>
      </c>
      <c r="X203" s="102" t="str">
        <f>IF(ISTEXT('Incurred 2.5% cpi'!X203),"",'Incurred 2.5% cpi'!X203/'Incurred 2.5% cpi'!X$17*Incurred!X$17*BM203)</f>
        <v/>
      </c>
      <c r="Y203" s="80">
        <f t="shared" si="248"/>
        <v>373933.05995536596</v>
      </c>
      <c r="Z203" s="80">
        <f t="shared" si="319"/>
        <v>373933.05995536596</v>
      </c>
      <c r="AA203" s="566">
        <f t="shared" si="320"/>
        <v>392863.42111560632</v>
      </c>
      <c r="AB203" s="566">
        <f t="shared" si="321"/>
        <v>373933.05995536596</v>
      </c>
      <c r="AC203" s="567">
        <f t="shared" si="339"/>
        <v>1.0506249999999999</v>
      </c>
      <c r="AD203" s="568" t="str">
        <f t="shared" si="333"/>
        <v>2021</v>
      </c>
      <c r="AE203" s="569">
        <v>44197</v>
      </c>
      <c r="AF203" s="568">
        <v>2021</v>
      </c>
      <c r="AG203" s="569"/>
      <c r="AH203" s="566">
        <f t="shared" si="349"/>
        <v>347234.01919797197</v>
      </c>
      <c r="AI203" s="80">
        <f t="shared" si="322"/>
        <v>373933.05995536596</v>
      </c>
      <c r="AJ203" s="571" t="s">
        <v>3035</v>
      </c>
      <c r="AK203" s="875">
        <f t="shared" si="310"/>
        <v>244999.99999999994</v>
      </c>
      <c r="AL203" s="28">
        <f t="shared" si="350"/>
        <v>0.76326530612244892</v>
      </c>
      <c r="AM203" s="28">
        <f t="shared" si="350"/>
        <v>0</v>
      </c>
      <c r="AN203" s="28">
        <f t="shared" si="350"/>
        <v>0</v>
      </c>
      <c r="AO203" s="28">
        <f t="shared" si="350"/>
        <v>0</v>
      </c>
      <c r="AP203" s="28">
        <f t="shared" si="350"/>
        <v>0</v>
      </c>
      <c r="AQ203" s="28">
        <f t="shared" si="350"/>
        <v>0</v>
      </c>
      <c r="AR203" s="28">
        <f t="shared" si="350"/>
        <v>0</v>
      </c>
      <c r="AS203" s="28">
        <f t="shared" si="350"/>
        <v>0.23673469387755106</v>
      </c>
      <c r="AT203" s="28">
        <f t="shared" si="350"/>
        <v>0</v>
      </c>
      <c r="AU203" s="28">
        <f t="shared" si="350"/>
        <v>0</v>
      </c>
      <c r="AV203" s="28">
        <f t="shared" si="351"/>
        <v>0</v>
      </c>
      <c r="AW203" s="28">
        <f t="shared" si="351"/>
        <v>0</v>
      </c>
      <c r="AX203" s="28">
        <f t="shared" si="351"/>
        <v>0</v>
      </c>
      <c r="AY203" s="28">
        <f t="shared" si="351"/>
        <v>0</v>
      </c>
      <c r="AZ203" s="28">
        <f t="shared" si="351"/>
        <v>0</v>
      </c>
      <c r="BA203" s="28">
        <f t="shared" si="351"/>
        <v>0</v>
      </c>
      <c r="BB203" s="28">
        <f t="shared" si="351"/>
        <v>0</v>
      </c>
      <c r="BC203" s="28">
        <f t="shared" si="351"/>
        <v>0</v>
      </c>
      <c r="BD203" s="28">
        <f t="shared" si="351"/>
        <v>0</v>
      </c>
      <c r="BE203" s="28">
        <f t="shared" si="351"/>
        <v>0</v>
      </c>
      <c r="BF203" s="27">
        <f t="shared" si="352"/>
        <v>1</v>
      </c>
      <c r="BG203" s="520">
        <f t="shared" si="343"/>
        <v>1.0021608005329248</v>
      </c>
      <c r="BH203" s="520">
        <f t="shared" si="326"/>
        <v>1.0041292157964419</v>
      </c>
      <c r="BI203" s="520">
        <f t="shared" si="327"/>
        <v>1.0062595725271388</v>
      </c>
      <c r="BJ203" s="520">
        <f t="shared" si="328"/>
        <v>1.0087203840841881</v>
      </c>
      <c r="BK203" s="520">
        <f t="shared" si="329"/>
        <v>1.0123054891316805</v>
      </c>
      <c r="BL203" s="520">
        <f t="shared" si="330"/>
        <v>1.0163380958504553</v>
      </c>
      <c r="BM203" s="520">
        <f t="shared" si="331"/>
        <v>1.0190378165667291</v>
      </c>
      <c r="BN203" s="521" t="str">
        <f t="shared" si="332"/>
        <v>Project</v>
      </c>
      <c r="BP203" s="3"/>
    </row>
    <row r="204" spans="1:68" hidden="1" x14ac:dyDescent="0.15">
      <c r="A204" s="12" t="s">
        <v>415</v>
      </c>
      <c r="B204" s="13" t="s">
        <v>416</v>
      </c>
      <c r="C204" s="13" t="s">
        <v>27</v>
      </c>
      <c r="D204" s="13" t="s">
        <v>36</v>
      </c>
      <c r="E204" s="13" t="s">
        <v>112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5">
        <v>0</v>
      </c>
      <c r="N204" s="670"/>
      <c r="O204" s="14"/>
      <c r="P204" s="15"/>
      <c r="Q204" s="15" t="str">
        <f>IF(ISTEXT('Incurred 2.5% cpi'!Q204),"",'Incurred 2.5% cpi'!Q204/'Incurred 2.5% cpi'!Q$17*Incurred!Q$17)</f>
        <v/>
      </c>
      <c r="R204" s="110" t="str">
        <f>IF(ISTEXT('Incurred 2.5% cpi'!R204),"",'Incurred 2.5% cpi'!R204/'Incurred 2.5% cpi'!R$17*Incurred!R$17*BG204)</f>
        <v/>
      </c>
      <c r="S204" s="102" t="str">
        <f>IF(ISTEXT('Incurred 2.5% cpi'!S204),"",'Incurred 2.5% cpi'!S204/'Incurred 2.5% cpi'!S$17*Incurred!S$17*BH204)</f>
        <v/>
      </c>
      <c r="T204" s="16" t="str">
        <f>IF(ISTEXT('Incurred 2.5% cpi'!T204),"",'Incurred 2.5% cpi'!T204/'Incurred 2.5% cpi'!T$17*Incurred!T$17*BI204)</f>
        <v/>
      </c>
      <c r="U204" s="16">
        <f>IF(ISTEXT('Incurred 2.5% cpi'!U204),"",'Incurred 2.5% cpi'!U204/'Incurred 2.5% cpi'!U$17*Incurred!U$17*BJ204)</f>
        <v>175194.47032594509</v>
      </c>
      <c r="V204" s="16" t="str">
        <f>IF(ISTEXT('Incurred 2.5% cpi'!V204),"",'Incurred 2.5% cpi'!V204/'Incurred 2.5% cpi'!V$17*Incurred!V$17*BK204)</f>
        <v/>
      </c>
      <c r="W204" s="110" t="str">
        <f>IF(ISTEXT('Incurred 2.5% cpi'!W204),"",'Incurred 2.5% cpi'!W204/'Incurred 2.5% cpi'!W$17*Incurred!W$17*BL204)</f>
        <v/>
      </c>
      <c r="X204" s="102" t="str">
        <f>IF(ISTEXT('Incurred 2.5% cpi'!X204),"",'Incurred 2.5% cpi'!X204/'Incurred 2.5% cpi'!X$17*Incurred!X$17*BM204)</f>
        <v/>
      </c>
      <c r="Y204" s="80">
        <f t="shared" ref="Y204:Y267" si="353">SUM(F204:W204)</f>
        <v>175194.47032594509</v>
      </c>
      <c r="Z204" s="80">
        <f t="shared" si="319"/>
        <v>175194.47032594509</v>
      </c>
      <c r="AA204" s="566">
        <f t="shared" si="320"/>
        <v>184063.69038619605</v>
      </c>
      <c r="AB204" s="566">
        <f t="shared" si="321"/>
        <v>175194.47032594509</v>
      </c>
      <c r="AC204" s="567">
        <f t="shared" si="339"/>
        <v>1.0506249999999999</v>
      </c>
      <c r="AD204" s="568" t="str">
        <f t="shared" si="333"/>
        <v>2021</v>
      </c>
      <c r="AE204" s="569">
        <v>44197</v>
      </c>
      <c r="AF204" s="568">
        <v>2021</v>
      </c>
      <c r="AG204" s="569"/>
      <c r="AH204" s="566">
        <f t="shared" si="349"/>
        <v>162685.48194107003</v>
      </c>
      <c r="AI204" s="80">
        <f t="shared" si="322"/>
        <v>175194.47032594509</v>
      </c>
      <c r="AJ204" s="571" t="s">
        <v>3035</v>
      </c>
      <c r="AK204" s="875">
        <f t="shared" si="310"/>
        <v>114500</v>
      </c>
      <c r="AL204" s="28">
        <f t="shared" ref="AL204:BE204" si="354">IF($AK204=0,VLOOKUP(MID($A204,4,5),ProjectSplits,AL$23,FALSE),IF(ISNA(VLOOKUP($A204,Estimates,AL$22,FALSE)),VLOOKUP(MID($A204,4,5),ProjectSplits,AL$23,FALSE),VLOOKUP($A204,Estimates,AL$22,FALSE)))</f>
        <v>1</v>
      </c>
      <c r="AM204" s="28">
        <f t="shared" si="354"/>
        <v>0</v>
      </c>
      <c r="AN204" s="28">
        <f t="shared" si="354"/>
        <v>0</v>
      </c>
      <c r="AO204" s="28">
        <f t="shared" si="354"/>
        <v>0</v>
      </c>
      <c r="AP204" s="28">
        <f t="shared" si="354"/>
        <v>0</v>
      </c>
      <c r="AQ204" s="28">
        <f t="shared" si="354"/>
        <v>0</v>
      </c>
      <c r="AR204" s="28">
        <f t="shared" si="354"/>
        <v>0</v>
      </c>
      <c r="AS204" s="28">
        <f t="shared" si="354"/>
        <v>0</v>
      </c>
      <c r="AT204" s="28">
        <f t="shared" si="354"/>
        <v>0</v>
      </c>
      <c r="AU204" s="28">
        <f t="shared" si="354"/>
        <v>0</v>
      </c>
      <c r="AV204" s="28">
        <f t="shared" si="354"/>
        <v>0</v>
      </c>
      <c r="AW204" s="28">
        <f t="shared" si="354"/>
        <v>0</v>
      </c>
      <c r="AX204" s="28">
        <f t="shared" si="354"/>
        <v>0</v>
      </c>
      <c r="AY204" s="28">
        <f t="shared" si="354"/>
        <v>0</v>
      </c>
      <c r="AZ204" s="28">
        <f t="shared" si="354"/>
        <v>0</v>
      </c>
      <c r="BA204" s="28">
        <f t="shared" si="354"/>
        <v>0</v>
      </c>
      <c r="BB204" s="28">
        <f t="shared" si="354"/>
        <v>0</v>
      </c>
      <c r="BC204" s="28">
        <f t="shared" si="354"/>
        <v>0</v>
      </c>
      <c r="BD204" s="28">
        <f t="shared" si="354"/>
        <v>0</v>
      </c>
      <c r="BE204" s="28">
        <f t="shared" si="354"/>
        <v>0</v>
      </c>
      <c r="BF204" s="27">
        <f>SUM(AL204:BD204)</f>
        <v>1</v>
      </c>
      <c r="BG204" s="520">
        <f t="shared" si="343"/>
        <v>1.001702308201347</v>
      </c>
      <c r="BH204" s="520">
        <f t="shared" si="326"/>
        <v>1.0032530526572481</v>
      </c>
      <c r="BI204" s="520">
        <f t="shared" si="327"/>
        <v>1.0049313768149857</v>
      </c>
      <c r="BJ204" s="520">
        <f t="shared" si="328"/>
        <v>1.0068700378027557</v>
      </c>
      <c r="BK204" s="520">
        <f t="shared" si="329"/>
        <v>1.0096944325731401</v>
      </c>
      <c r="BL204" s="520">
        <f t="shared" si="330"/>
        <v>1.0128713752782055</v>
      </c>
      <c r="BM204" s="520">
        <f t="shared" si="331"/>
        <v>1.0149982521678729</v>
      </c>
      <c r="BN204" s="521" t="str">
        <f t="shared" si="332"/>
        <v>Project</v>
      </c>
      <c r="BP204" s="3"/>
    </row>
    <row r="205" spans="1:68" hidden="1" x14ac:dyDescent="0.15">
      <c r="A205" s="12" t="s">
        <v>418</v>
      </c>
      <c r="B205" s="13" t="s">
        <v>419</v>
      </c>
      <c r="C205" s="13" t="s">
        <v>27</v>
      </c>
      <c r="D205" s="13" t="s">
        <v>36</v>
      </c>
      <c r="E205" s="13" t="s">
        <v>112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5">
        <v>0</v>
      </c>
      <c r="N205" s="670"/>
      <c r="O205" s="14"/>
      <c r="P205" s="15"/>
      <c r="Q205" s="15" t="str">
        <f>IF(ISTEXT('Incurred 2.5% cpi'!Q205),"",'Incurred 2.5% cpi'!Q205/'Incurred 2.5% cpi'!Q$17*Incurred!Q$17)</f>
        <v/>
      </c>
      <c r="R205" s="110" t="str">
        <f>IF(ISTEXT('Incurred 2.5% cpi'!R205),"",'Incurred 2.5% cpi'!R205/'Incurred 2.5% cpi'!R$17*Incurred!R$17*BG205)</f>
        <v/>
      </c>
      <c r="S205" s="102" t="str">
        <f>IF(ISTEXT('Incurred 2.5% cpi'!S205),"",'Incurred 2.5% cpi'!S205/'Incurred 2.5% cpi'!S$17*Incurred!S$17*BH205)</f>
        <v/>
      </c>
      <c r="T205" s="16" t="str">
        <f>IF(ISTEXT('Incurred 2.5% cpi'!T205),"",'Incurred 2.5% cpi'!T205/'Incurred 2.5% cpi'!T$17*Incurred!T$17*BI205)</f>
        <v/>
      </c>
      <c r="U205" s="16">
        <f>IF(ISTEXT('Incurred 2.5% cpi'!U205),"",'Incurred 2.5% cpi'!U205/'Incurred 2.5% cpi'!U$17*Incurred!U$17*BJ205)</f>
        <v>281498.49127722986</v>
      </c>
      <c r="V205" s="16" t="str">
        <f>IF(ISTEXT('Incurred 2.5% cpi'!V205),"",'Incurred 2.5% cpi'!V205/'Incurred 2.5% cpi'!V$17*Incurred!V$17*BK205)</f>
        <v/>
      </c>
      <c r="W205" s="110" t="str">
        <f>IF(ISTEXT('Incurred 2.5% cpi'!W205),"",'Incurred 2.5% cpi'!W205/'Incurred 2.5% cpi'!W$17*Incurred!W$17*BL205)</f>
        <v/>
      </c>
      <c r="X205" s="102" t="str">
        <f>IF(ISTEXT('Incurred 2.5% cpi'!X205),"",'Incurred 2.5% cpi'!X205/'Incurred 2.5% cpi'!X$17*Incurred!X$17*BM205)</f>
        <v/>
      </c>
      <c r="Y205" s="80">
        <f t="shared" si="353"/>
        <v>281498.49127722986</v>
      </c>
      <c r="Z205" s="80">
        <f t="shared" si="319"/>
        <v>281498.49127722986</v>
      </c>
      <c r="AA205" s="566">
        <f t="shared" si="320"/>
        <v>295749.3523981396</v>
      </c>
      <c r="AB205" s="566">
        <f t="shared" si="321"/>
        <v>281498.49127722986</v>
      </c>
      <c r="AC205" s="567">
        <f t="shared" si="339"/>
        <v>1.0506249999999999</v>
      </c>
      <c r="AD205" s="568" t="str">
        <f t="shared" si="333"/>
        <v>2021</v>
      </c>
      <c r="AE205" s="569">
        <v>44229</v>
      </c>
      <c r="AF205" s="568">
        <v>2021</v>
      </c>
      <c r="AG205" s="569"/>
      <c r="AH205" s="566">
        <f t="shared" si="349"/>
        <v>261399.33317483371</v>
      </c>
      <c r="AI205" s="80">
        <f t="shared" si="322"/>
        <v>281498.49127722986</v>
      </c>
      <c r="AJ205" s="571" t="s">
        <v>3035</v>
      </c>
      <c r="AK205" s="875">
        <f t="shared" si="310"/>
        <v>217000</v>
      </c>
      <c r="AL205" s="28">
        <f t="shared" ref="AL205:AU205" si="355">IF($AK205=0,VLOOKUP(MID($A205,4,5),ProjectSplits,AL$23,FALSE),IF(ISNA(VLOOKUP($A205,Estimates,AL$22,FALSE)),VLOOKUP(MID($A205,4,5),ProjectSplits,AL$23,FALSE),VLOOKUP($A205,Estimates,AL$22,FALSE)))</f>
        <v>0</v>
      </c>
      <c r="AM205" s="28">
        <f t="shared" si="355"/>
        <v>0</v>
      </c>
      <c r="AN205" s="28">
        <f t="shared" si="355"/>
        <v>0</v>
      </c>
      <c r="AO205" s="28">
        <f t="shared" si="355"/>
        <v>0</v>
      </c>
      <c r="AP205" s="28">
        <f t="shared" si="355"/>
        <v>0</v>
      </c>
      <c r="AQ205" s="28">
        <f t="shared" si="355"/>
        <v>0</v>
      </c>
      <c r="AR205" s="28">
        <f t="shared" si="355"/>
        <v>0</v>
      </c>
      <c r="AS205" s="28">
        <f t="shared" si="355"/>
        <v>1</v>
      </c>
      <c r="AT205" s="28">
        <f t="shared" si="355"/>
        <v>0</v>
      </c>
      <c r="AU205" s="28">
        <f t="shared" si="355"/>
        <v>0</v>
      </c>
      <c r="AV205" s="28">
        <f t="shared" ref="AV205:BE205" si="356">IF($AK205=0,VLOOKUP(MID($A205,4,5),ProjectSplits,AV$23,FALSE),IF(ISNA(VLOOKUP($A205,Estimates,AV$22,FALSE)),VLOOKUP(MID($A205,4,5),ProjectSplits,AV$23,FALSE),VLOOKUP($A205,Estimates,AV$22,FALSE)))</f>
        <v>0</v>
      </c>
      <c r="AW205" s="28">
        <f t="shared" si="356"/>
        <v>0</v>
      </c>
      <c r="AX205" s="28">
        <f t="shared" si="356"/>
        <v>0</v>
      </c>
      <c r="AY205" s="28">
        <f t="shared" si="356"/>
        <v>0</v>
      </c>
      <c r="AZ205" s="28">
        <f t="shared" si="356"/>
        <v>0</v>
      </c>
      <c r="BA205" s="28">
        <f t="shared" si="356"/>
        <v>0</v>
      </c>
      <c r="BB205" s="28">
        <f t="shared" si="356"/>
        <v>0</v>
      </c>
      <c r="BC205" s="28">
        <f t="shared" si="356"/>
        <v>0</v>
      </c>
      <c r="BD205" s="28">
        <f t="shared" si="356"/>
        <v>0</v>
      </c>
      <c r="BE205" s="28">
        <f t="shared" si="356"/>
        <v>0</v>
      </c>
      <c r="BF205" s="27">
        <f t="shared" ref="BF205" si="357">SUM(AL205:BD205)</f>
        <v>1</v>
      </c>
      <c r="BG205" s="520">
        <f t="shared" si="343"/>
        <v>1.000745054832479</v>
      </c>
      <c r="BH205" s="520">
        <f t="shared" si="326"/>
        <v>1.0014237742617191</v>
      </c>
      <c r="BI205" s="520">
        <f t="shared" si="327"/>
        <v>1.0021583319189045</v>
      </c>
      <c r="BJ205" s="520">
        <f t="shared" si="328"/>
        <v>1.0030068320532126</v>
      </c>
      <c r="BK205" s="520">
        <f t="shared" si="329"/>
        <v>1.0042429942069508</v>
      </c>
      <c r="BL205" s="520">
        <f t="shared" si="330"/>
        <v>1.005633457175434</v>
      </c>
      <c r="BM205" s="520">
        <f t="shared" si="331"/>
        <v>1.0065643343829107</v>
      </c>
      <c r="BN205" s="521" t="str">
        <f t="shared" si="332"/>
        <v>Project</v>
      </c>
      <c r="BP205" s="3"/>
    </row>
    <row r="206" spans="1:68" hidden="1" x14ac:dyDescent="0.15">
      <c r="A206" s="12" t="s">
        <v>420</v>
      </c>
      <c r="B206" s="13" t="s">
        <v>421</v>
      </c>
      <c r="C206" s="13" t="s">
        <v>27</v>
      </c>
      <c r="D206" s="13" t="s">
        <v>40</v>
      </c>
      <c r="E206" s="13" t="s">
        <v>112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5">
        <v>0</v>
      </c>
      <c r="N206" s="670"/>
      <c r="O206" s="14"/>
      <c r="P206" s="15"/>
      <c r="Q206" s="15" t="str">
        <f>IF(ISTEXT('Incurred 2.5% cpi'!Q206),"",'Incurred 2.5% cpi'!Q206/'Incurred 2.5% cpi'!Q$17*Incurred!Q$17)</f>
        <v/>
      </c>
      <c r="R206" s="110" t="str">
        <f>IF(ISTEXT('Incurred 2.5% cpi'!R206),"",'Incurred 2.5% cpi'!R206/'Incurred 2.5% cpi'!R$17*Incurred!R$17*BG206)</f>
        <v/>
      </c>
      <c r="S206" s="102">
        <f>IF(ISTEXT('Incurred 2.5% cpi'!S206),"",'Incurred 2.5% cpi'!S206/'Incurred 2.5% cpi'!S$17*Incurred!S$17*BH206)</f>
        <v>580481.13990325702</v>
      </c>
      <c r="T206" s="16">
        <f>IF(ISTEXT('Incurred 2.5% cpi'!T206),"",'Incurred 2.5% cpi'!T206/'Incurred 2.5% cpi'!T$17*Incurred!T$17*BI206)</f>
        <v>1276815.6663858558</v>
      </c>
      <c r="U206" s="16">
        <f>IF(ISTEXT('Incurred 2.5% cpi'!U206),"",'Incurred 2.5% cpi'!U206/'Incurred 2.5% cpi'!U$17*Incurred!U$17*BJ206)</f>
        <v>2087397.5422987444</v>
      </c>
      <c r="V206" s="16">
        <f>IF(ISTEXT('Incurred 2.5% cpi'!V206),"",'Incurred 2.5% cpi'!V206/'Incurred 2.5% cpi'!V$17*Incurred!V$17*BK206)</f>
        <v>2146135.6195062199</v>
      </c>
      <c r="W206" s="110">
        <f>IF(ISTEXT('Incurred 2.5% cpi'!W206),"",'Incurred 2.5% cpi'!W206/'Incurred 2.5% cpi'!W$17*Incurred!W$17*BL206)</f>
        <v>1339785.5611441289</v>
      </c>
      <c r="X206" s="102" t="str">
        <f>IF(ISTEXT('Incurred 2.5% cpi'!X206),"",'Incurred 2.5% cpi'!X206/'Incurred 2.5% cpi'!X$17*Incurred!X$17*BM206)</f>
        <v/>
      </c>
      <c r="Y206" s="80">
        <f t="shared" si="353"/>
        <v>7430615.5292382054</v>
      </c>
      <c r="Z206" s="80">
        <f t="shared" si="319"/>
        <v>7430615.5292382054</v>
      </c>
      <c r="AA206" s="566">
        <f t="shared" si="320"/>
        <v>7748379.9999895878</v>
      </c>
      <c r="AB206" s="566">
        <f t="shared" si="321"/>
        <v>7748379.9999895878</v>
      </c>
      <c r="AC206" s="567">
        <f t="shared" si="339"/>
        <v>1</v>
      </c>
      <c r="AD206" s="568" t="str">
        <f t="shared" si="333"/>
        <v>2023</v>
      </c>
      <c r="AE206" s="569">
        <v>44909</v>
      </c>
      <c r="AF206" s="568">
        <v>2023</v>
      </c>
      <c r="AG206" s="569"/>
      <c r="AH206" s="566">
        <f t="shared" si="349"/>
        <v>6848438.8850186272</v>
      </c>
      <c r="AI206" s="80">
        <f t="shared" si="322"/>
        <v>1339785.5611441289</v>
      </c>
      <c r="AJ206" s="571" t="s">
        <v>3035</v>
      </c>
      <c r="AK206" s="875">
        <f t="shared" si="310"/>
        <v>5155050.0829000007</v>
      </c>
      <c r="AL206" s="28">
        <f t="shared" ref="AL206:BE206" si="358">IF($AK206=0,VLOOKUP(MID($A206,4,5),ProjectSplits,AL$23,FALSE),IF(ISNA(VLOOKUP($A206,Estimates,AL$22,FALSE)),VLOOKUP(MID($A206,4,5),ProjectSplits,AL$23,FALSE),VLOOKUP($A206,Estimates,AL$22,FALSE)))</f>
        <v>0</v>
      </c>
      <c r="AM206" s="28">
        <f t="shared" si="358"/>
        <v>0</v>
      </c>
      <c r="AN206" s="28">
        <f t="shared" si="358"/>
        <v>1</v>
      </c>
      <c r="AO206" s="28">
        <f t="shared" si="358"/>
        <v>0</v>
      </c>
      <c r="AP206" s="28">
        <f t="shared" si="358"/>
        <v>0</v>
      </c>
      <c r="AQ206" s="28">
        <f t="shared" si="358"/>
        <v>0</v>
      </c>
      <c r="AR206" s="28">
        <f t="shared" si="358"/>
        <v>0</v>
      </c>
      <c r="AS206" s="28">
        <f t="shared" si="358"/>
        <v>0</v>
      </c>
      <c r="AT206" s="28">
        <f t="shared" si="358"/>
        <v>0</v>
      </c>
      <c r="AU206" s="28">
        <f t="shared" si="358"/>
        <v>0</v>
      </c>
      <c r="AV206" s="28">
        <f t="shared" si="358"/>
        <v>0</v>
      </c>
      <c r="AW206" s="28">
        <f t="shared" si="358"/>
        <v>0</v>
      </c>
      <c r="AX206" s="28">
        <f t="shared" si="358"/>
        <v>0</v>
      </c>
      <c r="AY206" s="28">
        <f t="shared" si="358"/>
        <v>0</v>
      </c>
      <c r="AZ206" s="28">
        <f t="shared" si="358"/>
        <v>0</v>
      </c>
      <c r="BA206" s="28">
        <f t="shared" si="358"/>
        <v>0</v>
      </c>
      <c r="BB206" s="28">
        <f t="shared" si="358"/>
        <v>0</v>
      </c>
      <c r="BC206" s="28">
        <f t="shared" si="358"/>
        <v>0</v>
      </c>
      <c r="BD206" s="28">
        <f t="shared" si="358"/>
        <v>0</v>
      </c>
      <c r="BE206" s="28">
        <f t="shared" si="358"/>
        <v>0</v>
      </c>
      <c r="BF206" s="27">
        <f>SUM(AL206:BD206)</f>
        <v>1</v>
      </c>
      <c r="BG206" s="520">
        <f t="shared" si="343"/>
        <v>1.0012071273104262</v>
      </c>
      <c r="BH206" s="520">
        <f t="shared" si="326"/>
        <v>1.0023067789379805</v>
      </c>
      <c r="BI206" s="520">
        <f t="shared" si="327"/>
        <v>1.0034968988733424</v>
      </c>
      <c r="BJ206" s="520">
        <f t="shared" si="328"/>
        <v>1.0048716267998974</v>
      </c>
      <c r="BK206" s="520">
        <f t="shared" si="329"/>
        <v>1.0068744392518716</v>
      </c>
      <c r="BL206" s="520">
        <f t="shared" si="330"/>
        <v>1.009127247703308</v>
      </c>
      <c r="BM206" s="520">
        <f t="shared" si="331"/>
        <v>1.0106354417996535</v>
      </c>
      <c r="BN206" s="521" t="str">
        <f t="shared" si="332"/>
        <v>Project</v>
      </c>
      <c r="BP206" s="3"/>
    </row>
    <row r="207" spans="1:68" hidden="1" x14ac:dyDescent="0.15">
      <c r="A207" s="12" t="s">
        <v>422</v>
      </c>
      <c r="B207" s="13" t="s">
        <v>423</v>
      </c>
      <c r="C207" s="13" t="s">
        <v>27</v>
      </c>
      <c r="D207" s="13" t="s">
        <v>55</v>
      </c>
      <c r="E207" s="13" t="s">
        <v>112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5">
        <v>0</v>
      </c>
      <c r="N207" s="670"/>
      <c r="O207" s="14"/>
      <c r="P207" s="15"/>
      <c r="Q207" s="15" t="str">
        <f>IF(ISTEXT('Incurred 2.5% cpi'!Q207),"",'Incurred 2.5% cpi'!Q207/'Incurred 2.5% cpi'!Q$17*Incurred!Q$17)</f>
        <v/>
      </c>
      <c r="R207" s="110" t="str">
        <f>IF(ISTEXT('Incurred 2.5% cpi'!R207),"",'Incurred 2.5% cpi'!R207/'Incurred 2.5% cpi'!R$17*Incurred!R$17*BG207)</f>
        <v/>
      </c>
      <c r="S207" s="102" t="str">
        <f>IF(ISTEXT('Incurred 2.5% cpi'!S207),"",'Incurred 2.5% cpi'!S207/'Incurred 2.5% cpi'!S$17*Incurred!S$17*BH207)</f>
        <v/>
      </c>
      <c r="T207" s="16">
        <f>IF(ISTEXT('Incurred 2.5% cpi'!T207),"",'Incurred 2.5% cpi'!T207/'Incurred 2.5% cpi'!T$17*Incurred!T$17*BI207)</f>
        <v>33195.588426421979</v>
      </c>
      <c r="U207" s="16">
        <f>IF(ISTEXT('Incurred 2.5% cpi'!U207),"",'Incurred 2.5% cpi'!U207/'Incurred 2.5% cpi'!U$17*Incurred!U$17*BJ207)</f>
        <v>851647.4832160318</v>
      </c>
      <c r="V207" s="16">
        <f>IF(ISTEXT('Incurred 2.5% cpi'!V207),"",'Incurred 2.5% cpi'!V207/'Incurred 2.5% cpi'!V$17*Incurred!V$17*BK207)</f>
        <v>962367.90918130288</v>
      </c>
      <c r="W207" s="110">
        <f>IF(ISTEXT('Incurred 2.5% cpi'!W207),"",'Incurred 2.5% cpi'!W207/'Incurred 2.5% cpi'!W$17*Incurred!W$17*BL207)</f>
        <v>287084.49549548991</v>
      </c>
      <c r="X207" s="102" t="str">
        <f>IF(ISTEXT('Incurred 2.5% cpi'!X207),"",'Incurred 2.5% cpi'!X207/'Incurred 2.5% cpi'!X$17*Incurred!X$17*BM207)</f>
        <v/>
      </c>
      <c r="Y207" s="80">
        <f t="shared" si="353"/>
        <v>2134295.4763192465</v>
      </c>
      <c r="Z207" s="80">
        <f t="shared" si="319"/>
        <v>2134295.4763192465</v>
      </c>
      <c r="AA207" s="566">
        <f t="shared" si="320"/>
        <v>2204021.7574279411</v>
      </c>
      <c r="AB207" s="566">
        <f t="shared" si="321"/>
        <v>2204021.7574279411</v>
      </c>
      <c r="AC207" s="567">
        <f t="shared" si="339"/>
        <v>1</v>
      </c>
      <c r="AD207" s="568" t="str">
        <f t="shared" si="333"/>
        <v>2023</v>
      </c>
      <c r="AE207" s="569">
        <v>44776</v>
      </c>
      <c r="AF207" s="568">
        <v>2023</v>
      </c>
      <c r="AG207" s="569"/>
      <c r="AH207" s="566">
        <f t="shared" si="349"/>
        <v>1948034.0802873487</v>
      </c>
      <c r="AI207" s="80">
        <f t="shared" si="322"/>
        <v>287084.49549548991</v>
      </c>
      <c r="AJ207" s="571" t="s">
        <v>3035</v>
      </c>
      <c r="AK207" s="875">
        <f t="shared" si="310"/>
        <v>180000.00000000015</v>
      </c>
      <c r="AL207" s="28">
        <f t="shared" ref="AL207:AU209" si="359">IF($AK207=0,VLOOKUP(MID($A207,4,5),ProjectSplits,AL$23,FALSE),IF(ISNA(VLOOKUP($A207,Estimates,AL$22,FALSE)),VLOOKUP(MID($A207,4,5),ProjectSplits,AL$23,FALSE),VLOOKUP($A207,Estimates,AL$22,FALSE)))</f>
        <v>0</v>
      </c>
      <c r="AM207" s="28">
        <f t="shared" si="359"/>
        <v>0</v>
      </c>
      <c r="AN207" s="28">
        <f t="shared" si="359"/>
        <v>0</v>
      </c>
      <c r="AO207" s="28">
        <f t="shared" si="359"/>
        <v>1</v>
      </c>
      <c r="AP207" s="28">
        <f t="shared" si="359"/>
        <v>0</v>
      </c>
      <c r="AQ207" s="28">
        <f t="shared" si="359"/>
        <v>0</v>
      </c>
      <c r="AR207" s="28">
        <f t="shared" si="359"/>
        <v>0</v>
      </c>
      <c r="AS207" s="28">
        <f t="shared" si="359"/>
        <v>0</v>
      </c>
      <c r="AT207" s="28">
        <f t="shared" si="359"/>
        <v>0</v>
      </c>
      <c r="AU207" s="28">
        <f t="shared" si="359"/>
        <v>0</v>
      </c>
      <c r="AV207" s="28">
        <f t="shared" ref="AV207:BE209" si="360">IF($AK207=0,VLOOKUP(MID($A207,4,5),ProjectSplits,AV$23,FALSE),IF(ISNA(VLOOKUP($A207,Estimates,AV$22,FALSE)),VLOOKUP(MID($A207,4,5),ProjectSplits,AV$23,FALSE),VLOOKUP($A207,Estimates,AV$22,FALSE)))</f>
        <v>0</v>
      </c>
      <c r="AW207" s="28">
        <f t="shared" si="360"/>
        <v>0</v>
      </c>
      <c r="AX207" s="28">
        <f t="shared" si="360"/>
        <v>0</v>
      </c>
      <c r="AY207" s="28">
        <f t="shared" si="360"/>
        <v>0</v>
      </c>
      <c r="AZ207" s="28">
        <f t="shared" si="360"/>
        <v>0</v>
      </c>
      <c r="BA207" s="28">
        <f t="shared" si="360"/>
        <v>0</v>
      </c>
      <c r="BB207" s="28">
        <f t="shared" si="360"/>
        <v>0</v>
      </c>
      <c r="BC207" s="28">
        <f t="shared" si="360"/>
        <v>0</v>
      </c>
      <c r="BD207" s="28">
        <f t="shared" si="360"/>
        <v>0</v>
      </c>
      <c r="BE207" s="28">
        <f t="shared" si="360"/>
        <v>0</v>
      </c>
      <c r="BF207" s="27">
        <f t="shared" ref="BF207:BF209" si="361">SUM(AL207:BD207)</f>
        <v>1</v>
      </c>
      <c r="BG207" s="520">
        <f t="shared" si="343"/>
        <v>1.0053374039268514</v>
      </c>
      <c r="BH207" s="520">
        <f t="shared" si="326"/>
        <v>1.0101995960621655</v>
      </c>
      <c r="BI207" s="520">
        <f t="shared" si="327"/>
        <v>1.0154618006047689</v>
      </c>
      <c r="BJ207" s="520">
        <f t="shared" si="328"/>
        <v>1.0215402632243877</v>
      </c>
      <c r="BK207" s="520">
        <f t="shared" si="329"/>
        <v>1.0303958486738967</v>
      </c>
      <c r="BL207" s="520">
        <f t="shared" si="330"/>
        <v>1.0403568101825011</v>
      </c>
      <c r="BM207" s="520">
        <f t="shared" si="331"/>
        <v>1.0470254034806237</v>
      </c>
      <c r="BN207" s="521" t="str">
        <f t="shared" si="332"/>
        <v>Project</v>
      </c>
      <c r="BP207" s="3"/>
    </row>
    <row r="208" spans="1:68" hidden="1" x14ac:dyDescent="0.15">
      <c r="A208" s="12" t="s">
        <v>424</v>
      </c>
      <c r="B208" s="13" t="s">
        <v>425</v>
      </c>
      <c r="C208" s="13" t="s">
        <v>27</v>
      </c>
      <c r="D208" s="13" t="s">
        <v>36</v>
      </c>
      <c r="E208" s="13" t="s">
        <v>112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5">
        <v>0</v>
      </c>
      <c r="N208" s="670"/>
      <c r="O208" s="14"/>
      <c r="P208" s="15"/>
      <c r="Q208" s="15" t="str">
        <f>IF(ISTEXT('Incurred 2.5% cpi'!Q208),"",'Incurred 2.5% cpi'!Q208/'Incurred 2.5% cpi'!Q$17*Incurred!Q$17)</f>
        <v/>
      </c>
      <c r="R208" s="110" t="str">
        <f>IF(ISTEXT('Incurred 2.5% cpi'!R208),"",'Incurred 2.5% cpi'!R208/'Incurred 2.5% cpi'!R$17*Incurred!R$17*BG208)</f>
        <v/>
      </c>
      <c r="S208" s="102" t="str">
        <f>IF(ISTEXT('Incurred 2.5% cpi'!S208),"",'Incurred 2.5% cpi'!S208/'Incurred 2.5% cpi'!S$17*Incurred!S$17*BH208)</f>
        <v/>
      </c>
      <c r="T208" s="16" t="str">
        <f>IF(ISTEXT('Incurred 2.5% cpi'!T208),"",'Incurred 2.5% cpi'!T208/'Incurred 2.5% cpi'!T$17*Incurred!T$17*BI208)</f>
        <v/>
      </c>
      <c r="U208" s="16" t="str">
        <f>IF(ISTEXT('Incurred 2.5% cpi'!U208),"",'Incurred 2.5% cpi'!U208/'Incurred 2.5% cpi'!U$17*Incurred!U$17*BJ208)</f>
        <v/>
      </c>
      <c r="V208" s="16">
        <f>IF(ISTEXT('Incurred 2.5% cpi'!V208),"",'Incurred 2.5% cpi'!V208/'Incurred 2.5% cpi'!V$17*Incurred!V$17*BK208)</f>
        <v>385493.17934439122</v>
      </c>
      <c r="W208" s="110" t="str">
        <f>IF(ISTEXT('Incurred 2.5% cpi'!W208),"",'Incurred 2.5% cpi'!W208/'Incurred 2.5% cpi'!W$17*Incurred!W$17*BL208)</f>
        <v/>
      </c>
      <c r="X208" s="102" t="str">
        <f>IF(ISTEXT('Incurred 2.5% cpi'!X208),"",'Incurred 2.5% cpi'!X208/'Incurred 2.5% cpi'!X$17*Incurred!X$17*BM208)</f>
        <v/>
      </c>
      <c r="Y208" s="80">
        <f t="shared" si="353"/>
        <v>385493.17934439122</v>
      </c>
      <c r="Z208" s="80">
        <f t="shared" si="319"/>
        <v>385493.17934439122</v>
      </c>
      <c r="AA208" s="566">
        <f t="shared" si="320"/>
        <v>395130.50882800098</v>
      </c>
      <c r="AB208" s="566">
        <f t="shared" si="321"/>
        <v>385493.17934439122</v>
      </c>
      <c r="AC208" s="567">
        <f t="shared" si="339"/>
        <v>1.0249999999999999</v>
      </c>
      <c r="AD208" s="568" t="str">
        <f t="shared" si="333"/>
        <v>2022</v>
      </c>
      <c r="AE208" s="569">
        <v>44564</v>
      </c>
      <c r="AF208" s="568">
        <v>2022</v>
      </c>
      <c r="AG208" s="569"/>
      <c r="AH208" s="566">
        <f t="shared" si="349"/>
        <v>349237.79439295887</v>
      </c>
      <c r="AI208" s="80">
        <f t="shared" si="322"/>
        <v>385493.17934439122</v>
      </c>
      <c r="AJ208" s="571" t="s">
        <v>3035</v>
      </c>
      <c r="AK208" s="875">
        <f t="shared" si="310"/>
        <v>244999.99999999997</v>
      </c>
      <c r="AL208" s="28">
        <f t="shared" si="359"/>
        <v>1</v>
      </c>
      <c r="AM208" s="28">
        <f t="shared" si="359"/>
        <v>0</v>
      </c>
      <c r="AN208" s="28">
        <f t="shared" si="359"/>
        <v>0</v>
      </c>
      <c r="AO208" s="28">
        <f t="shared" si="359"/>
        <v>0</v>
      </c>
      <c r="AP208" s="28">
        <f t="shared" si="359"/>
        <v>0</v>
      </c>
      <c r="AQ208" s="28">
        <f t="shared" si="359"/>
        <v>0</v>
      </c>
      <c r="AR208" s="28">
        <f t="shared" si="359"/>
        <v>0</v>
      </c>
      <c r="AS208" s="28">
        <f t="shared" si="359"/>
        <v>0</v>
      </c>
      <c r="AT208" s="28">
        <f t="shared" si="359"/>
        <v>0</v>
      </c>
      <c r="AU208" s="28">
        <f t="shared" si="359"/>
        <v>0</v>
      </c>
      <c r="AV208" s="28">
        <f t="shared" si="360"/>
        <v>0</v>
      </c>
      <c r="AW208" s="28">
        <f t="shared" si="360"/>
        <v>0</v>
      </c>
      <c r="AX208" s="28">
        <f t="shared" si="360"/>
        <v>0</v>
      </c>
      <c r="AY208" s="28">
        <f t="shared" si="360"/>
        <v>0</v>
      </c>
      <c r="AZ208" s="28">
        <f t="shared" si="360"/>
        <v>0</v>
      </c>
      <c r="BA208" s="28">
        <f t="shared" si="360"/>
        <v>0</v>
      </c>
      <c r="BB208" s="28">
        <f t="shared" si="360"/>
        <v>0</v>
      </c>
      <c r="BC208" s="28">
        <f t="shared" si="360"/>
        <v>0</v>
      </c>
      <c r="BD208" s="28">
        <f t="shared" si="360"/>
        <v>0</v>
      </c>
      <c r="BE208" s="28">
        <f t="shared" si="360"/>
        <v>0</v>
      </c>
      <c r="BF208" s="27">
        <f t="shared" si="361"/>
        <v>1</v>
      </c>
      <c r="BG208" s="520">
        <f t="shared" si="343"/>
        <v>1.0016515807987929</v>
      </c>
      <c r="BH208" s="520">
        <f t="shared" si="326"/>
        <v>1.0031561143287224</v>
      </c>
      <c r="BI208" s="520">
        <f t="shared" si="327"/>
        <v>1.0047844257889367</v>
      </c>
      <c r="BJ208" s="520">
        <f t="shared" si="328"/>
        <v>1.0066653162529762</v>
      </c>
      <c r="BK208" s="520">
        <f t="shared" si="329"/>
        <v>1.0094055463519012</v>
      </c>
      <c r="BL208" s="520">
        <f t="shared" si="330"/>
        <v>1.012487818743234</v>
      </c>
      <c r="BM208" s="520">
        <f t="shared" si="331"/>
        <v>1.0145513164280784</v>
      </c>
      <c r="BN208" s="521" t="str">
        <f t="shared" si="332"/>
        <v>Project</v>
      </c>
      <c r="BP208" s="3"/>
    </row>
    <row r="209" spans="1:68" hidden="1" x14ac:dyDescent="0.15">
      <c r="A209" s="12" t="s">
        <v>426</v>
      </c>
      <c r="B209" s="13" t="s">
        <v>427</v>
      </c>
      <c r="C209" s="13" t="s">
        <v>27</v>
      </c>
      <c r="D209" s="13" t="s">
        <v>36</v>
      </c>
      <c r="E209" s="13" t="s">
        <v>112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5">
        <v>0</v>
      </c>
      <c r="N209" s="670"/>
      <c r="O209" s="14"/>
      <c r="P209" s="15"/>
      <c r="Q209" s="15" t="str">
        <f>IF(ISTEXT('Incurred 2.5% cpi'!Q209),"",'Incurred 2.5% cpi'!Q209/'Incurred 2.5% cpi'!Q$17*Incurred!Q$17)</f>
        <v/>
      </c>
      <c r="R209" s="110" t="str">
        <f>IF(ISTEXT('Incurred 2.5% cpi'!R209),"",'Incurred 2.5% cpi'!R209/'Incurred 2.5% cpi'!R$17*Incurred!R$17*BG209)</f>
        <v/>
      </c>
      <c r="S209" s="102" t="str">
        <f>IF(ISTEXT('Incurred 2.5% cpi'!S209),"",'Incurred 2.5% cpi'!S209/'Incurred 2.5% cpi'!S$17*Incurred!S$17*BH209)</f>
        <v/>
      </c>
      <c r="T209" s="16" t="str">
        <f>IF(ISTEXT('Incurred 2.5% cpi'!T209),"",'Incurred 2.5% cpi'!T209/'Incurred 2.5% cpi'!T$17*Incurred!T$17*BI209)</f>
        <v/>
      </c>
      <c r="U209" s="16" t="str">
        <f>IF(ISTEXT('Incurred 2.5% cpi'!U209),"",'Incurred 2.5% cpi'!U209/'Incurred 2.5% cpi'!U$17*Incurred!U$17*BJ209)</f>
        <v/>
      </c>
      <c r="V209" s="16">
        <f>IF(ISTEXT('Incurred 2.5% cpi'!V209),"",'Incurred 2.5% cpi'!V209/'Incurred 2.5% cpi'!V$17*Incurred!V$17*BK209)</f>
        <v>402301.79597769422</v>
      </c>
      <c r="W209" s="110" t="str">
        <f>IF(ISTEXT('Incurred 2.5% cpi'!W209),"",'Incurred 2.5% cpi'!W209/'Incurred 2.5% cpi'!W$17*Incurred!W$17*BL209)</f>
        <v/>
      </c>
      <c r="X209" s="102" t="str">
        <f>IF(ISTEXT('Incurred 2.5% cpi'!X209),"",'Incurred 2.5% cpi'!X209/'Incurred 2.5% cpi'!X$17*Incurred!X$17*BM209)</f>
        <v/>
      </c>
      <c r="Y209" s="80">
        <f t="shared" si="353"/>
        <v>402301.79597769422</v>
      </c>
      <c r="Z209" s="80">
        <f t="shared" si="319"/>
        <v>402301.79597769422</v>
      </c>
      <c r="AA209" s="566">
        <f t="shared" si="320"/>
        <v>412359.34087713651</v>
      </c>
      <c r="AB209" s="566">
        <f t="shared" si="321"/>
        <v>402301.79597769422</v>
      </c>
      <c r="AC209" s="567">
        <f t="shared" si="339"/>
        <v>1.0249999999999999</v>
      </c>
      <c r="AD209" s="568" t="str">
        <f t="shared" si="333"/>
        <v>2022</v>
      </c>
      <c r="AE209" s="569">
        <v>44565</v>
      </c>
      <c r="AF209" s="568">
        <v>2022</v>
      </c>
      <c r="AG209" s="569"/>
      <c r="AH209" s="566">
        <f t="shared" si="349"/>
        <v>364465.57147009159</v>
      </c>
      <c r="AI209" s="80">
        <f t="shared" si="322"/>
        <v>402301.79597769422</v>
      </c>
      <c r="AJ209" s="571" t="s">
        <v>3035</v>
      </c>
      <c r="AK209" s="875">
        <f t="shared" si="310"/>
        <v>255999.99999999994</v>
      </c>
      <c r="AL209" s="28">
        <f t="shared" si="359"/>
        <v>0.76171875000000011</v>
      </c>
      <c r="AM209" s="28">
        <f t="shared" si="359"/>
        <v>0</v>
      </c>
      <c r="AN209" s="28">
        <f t="shared" si="359"/>
        <v>0</v>
      </c>
      <c r="AO209" s="28">
        <f t="shared" si="359"/>
        <v>0</v>
      </c>
      <c r="AP209" s="28">
        <f t="shared" si="359"/>
        <v>0</v>
      </c>
      <c r="AQ209" s="28">
        <f t="shared" si="359"/>
        <v>0</v>
      </c>
      <c r="AR209" s="28">
        <f t="shared" si="359"/>
        <v>0</v>
      </c>
      <c r="AS209" s="28">
        <f t="shared" si="359"/>
        <v>0.23828125</v>
      </c>
      <c r="AT209" s="28">
        <f t="shared" si="359"/>
        <v>0</v>
      </c>
      <c r="AU209" s="28">
        <f t="shared" si="359"/>
        <v>0</v>
      </c>
      <c r="AV209" s="28">
        <f t="shared" si="360"/>
        <v>0</v>
      </c>
      <c r="AW209" s="28">
        <f t="shared" si="360"/>
        <v>0</v>
      </c>
      <c r="AX209" s="28">
        <f t="shared" si="360"/>
        <v>0</v>
      </c>
      <c r="AY209" s="28">
        <f t="shared" si="360"/>
        <v>0</v>
      </c>
      <c r="AZ209" s="28">
        <f t="shared" si="360"/>
        <v>0</v>
      </c>
      <c r="BA209" s="28">
        <f t="shared" si="360"/>
        <v>0</v>
      </c>
      <c r="BB209" s="28">
        <f t="shared" si="360"/>
        <v>0</v>
      </c>
      <c r="BC209" s="28">
        <f t="shared" si="360"/>
        <v>0</v>
      </c>
      <c r="BD209" s="28">
        <f t="shared" si="360"/>
        <v>0</v>
      </c>
      <c r="BE209" s="28">
        <f t="shared" si="360"/>
        <v>0</v>
      </c>
      <c r="BF209" s="27">
        <f t="shared" si="361"/>
        <v>1</v>
      </c>
      <c r="BG209" s="520">
        <f t="shared" si="343"/>
        <v>1.0021743515463577</v>
      </c>
      <c r="BH209" s="520">
        <f t="shared" si="326"/>
        <v>1.0041551113188982</v>
      </c>
      <c r="BI209" s="520">
        <f t="shared" si="327"/>
        <v>1.0062988281410217</v>
      </c>
      <c r="BJ209" s="520">
        <f t="shared" si="328"/>
        <v>1.0087750721685638</v>
      </c>
      <c r="BK209" s="520">
        <f t="shared" si="329"/>
        <v>1.0123826604605368</v>
      </c>
      <c r="BL209" s="520">
        <f t="shared" si="330"/>
        <v>1.0164405568379278</v>
      </c>
      <c r="BM209" s="520">
        <f t="shared" si="331"/>
        <v>1.0191572082940517</v>
      </c>
      <c r="BN209" s="521" t="str">
        <f t="shared" si="332"/>
        <v>Project</v>
      </c>
      <c r="BP209" s="3"/>
    </row>
    <row r="210" spans="1:68" hidden="1" x14ac:dyDescent="0.15">
      <c r="A210" s="12" t="s">
        <v>428</v>
      </c>
      <c r="B210" s="13" t="s">
        <v>429</v>
      </c>
      <c r="C210" s="13" t="s">
        <v>27</v>
      </c>
      <c r="D210" s="13" t="s">
        <v>36</v>
      </c>
      <c r="E210" s="13" t="s">
        <v>112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5">
        <v>0</v>
      </c>
      <c r="N210" s="670"/>
      <c r="O210" s="14"/>
      <c r="P210" s="15"/>
      <c r="Q210" s="15" t="str">
        <f>IF(ISTEXT('Incurred 2.5% cpi'!Q210),"",'Incurred 2.5% cpi'!Q210/'Incurred 2.5% cpi'!Q$17*Incurred!Q$17)</f>
        <v/>
      </c>
      <c r="R210" s="110" t="str">
        <f>IF(ISTEXT('Incurred 2.5% cpi'!R210),"",'Incurred 2.5% cpi'!R210/'Incurred 2.5% cpi'!R$17*Incurred!R$17*BG210)</f>
        <v/>
      </c>
      <c r="S210" s="102" t="str">
        <f>IF(ISTEXT('Incurred 2.5% cpi'!S210),"",'Incurred 2.5% cpi'!S210/'Incurred 2.5% cpi'!S$17*Incurred!S$17*BH210)</f>
        <v/>
      </c>
      <c r="T210" s="16" t="str">
        <f>IF(ISTEXT('Incurred 2.5% cpi'!T210),"",'Incurred 2.5% cpi'!T210/'Incurred 2.5% cpi'!T$17*Incurred!T$17*BI210)</f>
        <v/>
      </c>
      <c r="U210" s="16" t="str">
        <f>IF(ISTEXT('Incurred 2.5% cpi'!U210),"",'Incurred 2.5% cpi'!U210/'Incurred 2.5% cpi'!U$17*Incurred!U$17*BJ210)</f>
        <v/>
      </c>
      <c r="V210" s="16">
        <f>IF(ISTEXT('Incurred 2.5% cpi'!V210),"",'Incurred 2.5% cpi'!V210/'Incurred 2.5% cpi'!V$17*Incurred!V$17*BK210)</f>
        <v>271501.19079526555</v>
      </c>
      <c r="W210" s="110" t="str">
        <f>IF(ISTEXT('Incurred 2.5% cpi'!W210),"",'Incurred 2.5% cpi'!W210/'Incurred 2.5% cpi'!W$17*Incurred!W$17*BL210)</f>
        <v/>
      </c>
      <c r="X210" s="102" t="str">
        <f>IF(ISTEXT('Incurred 2.5% cpi'!X210),"",'Incurred 2.5% cpi'!X210/'Incurred 2.5% cpi'!X$17*Incurred!X$17*BM210)</f>
        <v/>
      </c>
      <c r="Y210" s="80">
        <f t="shared" si="353"/>
        <v>271501.19079526555</v>
      </c>
      <c r="Z210" s="80">
        <f t="shared" si="319"/>
        <v>271501.19079526555</v>
      </c>
      <c r="AA210" s="566">
        <f t="shared" ref="AA210:AA223" si="362">IF(ROUND(Y210,0)=0,0,SUMPRODUCT($F$20:$W$20,F210:W210))</f>
        <v>278288.72056514717</v>
      </c>
      <c r="AB210" s="566">
        <f t="shared" si="321"/>
        <v>271501.19079526555</v>
      </c>
      <c r="AC210" s="567">
        <f t="shared" si="339"/>
        <v>1.0249999999999999</v>
      </c>
      <c r="AD210" s="568" t="str">
        <f t="shared" si="333"/>
        <v>2022</v>
      </c>
      <c r="AE210" s="569">
        <v>44564</v>
      </c>
      <c r="AF210" s="568">
        <v>2022</v>
      </c>
      <c r="AG210" s="569"/>
      <c r="AH210" s="566">
        <f t="shared" si="349"/>
        <v>245966.67886487214</v>
      </c>
      <c r="AI210" s="80">
        <f t="shared" si="322"/>
        <v>271501.19079526555</v>
      </c>
      <c r="AJ210" s="571" t="s">
        <v>3035</v>
      </c>
      <c r="AK210" s="875">
        <f t="shared" si="310"/>
        <v>203999.99999999994</v>
      </c>
      <c r="AL210" s="28">
        <f t="shared" ref="AL210:AU213" si="363">IF($AK210=0,VLOOKUP(MID($A210,4,5),ProjectSplits,AL$23,FALSE),IF(ISNA(VLOOKUP($A210,Estimates,AL$22,FALSE)),VLOOKUP(MID($A210,4,5),ProjectSplits,AL$23,FALSE),VLOOKUP($A210,Estimates,AL$22,FALSE)))</f>
        <v>0</v>
      </c>
      <c r="AM210" s="28">
        <f t="shared" si="363"/>
        <v>0</v>
      </c>
      <c r="AN210" s="28">
        <f t="shared" si="363"/>
        <v>0</v>
      </c>
      <c r="AO210" s="28">
        <f t="shared" si="363"/>
        <v>0</v>
      </c>
      <c r="AP210" s="28">
        <f t="shared" si="363"/>
        <v>0</v>
      </c>
      <c r="AQ210" s="28">
        <f t="shared" si="363"/>
        <v>0</v>
      </c>
      <c r="AR210" s="28">
        <f t="shared" si="363"/>
        <v>0</v>
      </c>
      <c r="AS210" s="28">
        <f t="shared" si="363"/>
        <v>1</v>
      </c>
      <c r="AT210" s="28">
        <f t="shared" si="363"/>
        <v>0</v>
      </c>
      <c r="AU210" s="28">
        <f t="shared" si="363"/>
        <v>0</v>
      </c>
      <c r="AV210" s="28">
        <f t="shared" ref="AV210:BE213" si="364">IF($AK210=0,VLOOKUP(MID($A210,4,5),ProjectSplits,AV$23,FALSE),IF(ISNA(VLOOKUP($A210,Estimates,AV$22,FALSE)),VLOOKUP(MID($A210,4,5),ProjectSplits,AV$23,FALSE),VLOOKUP($A210,Estimates,AV$22,FALSE)))</f>
        <v>0</v>
      </c>
      <c r="AW210" s="28">
        <f t="shared" si="364"/>
        <v>0</v>
      </c>
      <c r="AX210" s="28">
        <f t="shared" si="364"/>
        <v>0</v>
      </c>
      <c r="AY210" s="28">
        <f t="shared" si="364"/>
        <v>0</v>
      </c>
      <c r="AZ210" s="28">
        <f t="shared" si="364"/>
        <v>0</v>
      </c>
      <c r="BA210" s="28">
        <f t="shared" si="364"/>
        <v>0</v>
      </c>
      <c r="BB210" s="28">
        <f t="shared" si="364"/>
        <v>0</v>
      </c>
      <c r="BC210" s="28">
        <f t="shared" si="364"/>
        <v>0</v>
      </c>
      <c r="BD210" s="28">
        <f t="shared" si="364"/>
        <v>0</v>
      </c>
      <c r="BE210" s="28">
        <f t="shared" si="364"/>
        <v>0</v>
      </c>
      <c r="BF210" s="27">
        <f t="shared" ref="BF210:BF213" si="365">SUM(AL210:BD210)</f>
        <v>1</v>
      </c>
      <c r="BG210" s="520">
        <f t="shared" si="343"/>
        <v>1.000745054832479</v>
      </c>
      <c r="BH210" s="520">
        <f t="shared" si="326"/>
        <v>1.0014237742617191</v>
      </c>
      <c r="BI210" s="520">
        <f t="shared" si="327"/>
        <v>1.0021583319189045</v>
      </c>
      <c r="BJ210" s="520">
        <f t="shared" si="328"/>
        <v>1.0030068320532126</v>
      </c>
      <c r="BK210" s="520">
        <f t="shared" si="329"/>
        <v>1.0042429942069508</v>
      </c>
      <c r="BL210" s="520">
        <f t="shared" si="330"/>
        <v>1.005633457175434</v>
      </c>
      <c r="BM210" s="520">
        <f t="shared" si="331"/>
        <v>1.0065643343829107</v>
      </c>
      <c r="BN210" s="521" t="str">
        <f t="shared" si="332"/>
        <v>Project</v>
      </c>
      <c r="BP210" s="3"/>
    </row>
    <row r="211" spans="1:68" hidden="1" x14ac:dyDescent="0.15">
      <c r="A211" s="12" t="s">
        <v>430</v>
      </c>
      <c r="B211" s="13" t="s">
        <v>2383</v>
      </c>
      <c r="C211" s="13" t="s">
        <v>27</v>
      </c>
      <c r="D211" s="13" t="s">
        <v>55</v>
      </c>
      <c r="E211" s="13" t="s">
        <v>112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5">
        <v>0</v>
      </c>
      <c r="N211" s="670"/>
      <c r="O211" s="14"/>
      <c r="P211" s="15"/>
      <c r="Q211" s="15" t="str">
        <f>IF(ISTEXT('Incurred 2.5% cpi'!Q211),"",'Incurred 2.5% cpi'!Q211/'Incurred 2.5% cpi'!Q$17*Incurred!Q$17)</f>
        <v/>
      </c>
      <c r="R211" s="110" t="str">
        <f>IF(ISTEXT('Incurred 2.5% cpi'!R211),"",'Incurred 2.5% cpi'!R211/'Incurred 2.5% cpi'!R$17*Incurred!R$17*BG211)</f>
        <v/>
      </c>
      <c r="S211" s="102" t="str">
        <f>IF(ISTEXT('Incurred 2.5% cpi'!S211),"",'Incurred 2.5% cpi'!S211/'Incurred 2.5% cpi'!S$17*Incurred!S$17*BH211)</f>
        <v/>
      </c>
      <c r="T211" s="16" t="str">
        <f>IF(ISTEXT('Incurred 2.5% cpi'!T211),"",'Incurred 2.5% cpi'!T211/'Incurred 2.5% cpi'!T$17*Incurred!T$17*BI211)</f>
        <v/>
      </c>
      <c r="U211" s="16">
        <f>IF(ISTEXT('Incurred 2.5% cpi'!U211),"",'Incurred 2.5% cpi'!U211/'Incurred 2.5% cpi'!U$17*Incurred!U$17*BJ211)</f>
        <v>728258.24691007205</v>
      </c>
      <c r="V211" s="16">
        <f>IF(ISTEXT('Incurred 2.5% cpi'!V211),"",'Incurred 2.5% cpi'!V211/'Incurred 2.5% cpi'!V$17*Incurred!V$17*BK211)</f>
        <v>647434.2755246032</v>
      </c>
      <c r="W211" s="110">
        <f>IF(ISTEXT('Incurred 2.5% cpi'!W211),"",'Incurred 2.5% cpi'!W211/'Incurred 2.5% cpi'!W$17*Incurred!W$17*BL211)</f>
        <v>29605.363614816139</v>
      </c>
      <c r="X211" s="102" t="str">
        <f>IF(ISTEXT('Incurred 2.5% cpi'!X211),"",'Incurred 2.5% cpi'!X211/'Incurred 2.5% cpi'!X$17*Incurred!X$17*BM211)</f>
        <v/>
      </c>
      <c r="Y211" s="80">
        <f t="shared" si="353"/>
        <v>1405297.8860494914</v>
      </c>
      <c r="Z211" s="80">
        <f t="shared" si="319"/>
        <v>1405297.8860494914</v>
      </c>
      <c r="AA211" s="566">
        <f t="shared" si="362"/>
        <v>1458351.8166874289</v>
      </c>
      <c r="AB211" s="566">
        <f t="shared" si="321"/>
        <v>1422782.2601828575</v>
      </c>
      <c r="AC211" s="567">
        <f t="shared" si="339"/>
        <v>1.0249999999999999</v>
      </c>
      <c r="AD211" s="568" t="str">
        <f t="shared" si="333"/>
        <v>2023</v>
      </c>
      <c r="AE211" s="569">
        <v>44657</v>
      </c>
      <c r="AF211" s="568">
        <v>2022</v>
      </c>
      <c r="AG211" s="569"/>
      <c r="AH211" s="566">
        <f t="shared" si="349"/>
        <v>1288970.5060223127</v>
      </c>
      <c r="AI211" s="80">
        <f t="shared" si="322"/>
        <v>29605.363614816139</v>
      </c>
      <c r="AJ211" s="571" t="s">
        <v>3035</v>
      </c>
      <c r="AK211" s="875">
        <f t="shared" si="310"/>
        <v>287759.99999999988</v>
      </c>
      <c r="AL211" s="28">
        <f t="shared" si="363"/>
        <v>0</v>
      </c>
      <c r="AM211" s="28">
        <f t="shared" si="363"/>
        <v>0</v>
      </c>
      <c r="AN211" s="28">
        <f t="shared" si="363"/>
        <v>0</v>
      </c>
      <c r="AO211" s="28">
        <f t="shared" si="363"/>
        <v>1</v>
      </c>
      <c r="AP211" s="28">
        <f t="shared" si="363"/>
        <v>0</v>
      </c>
      <c r="AQ211" s="28">
        <f t="shared" si="363"/>
        <v>0</v>
      </c>
      <c r="AR211" s="28">
        <f t="shared" si="363"/>
        <v>0</v>
      </c>
      <c r="AS211" s="28">
        <f t="shared" si="363"/>
        <v>0</v>
      </c>
      <c r="AT211" s="28">
        <f t="shared" si="363"/>
        <v>0</v>
      </c>
      <c r="AU211" s="28">
        <f t="shared" si="363"/>
        <v>0</v>
      </c>
      <c r="AV211" s="28">
        <f t="shared" si="364"/>
        <v>0</v>
      </c>
      <c r="AW211" s="28">
        <f t="shared" si="364"/>
        <v>0</v>
      </c>
      <c r="AX211" s="28">
        <f t="shared" si="364"/>
        <v>0</v>
      </c>
      <c r="AY211" s="28">
        <f t="shared" si="364"/>
        <v>0</v>
      </c>
      <c r="AZ211" s="28">
        <f t="shared" si="364"/>
        <v>0</v>
      </c>
      <c r="BA211" s="28">
        <f t="shared" si="364"/>
        <v>0</v>
      </c>
      <c r="BB211" s="28">
        <f t="shared" si="364"/>
        <v>0</v>
      </c>
      <c r="BC211" s="28">
        <f t="shared" si="364"/>
        <v>0</v>
      </c>
      <c r="BD211" s="28">
        <f t="shared" si="364"/>
        <v>0</v>
      </c>
      <c r="BE211" s="28">
        <f t="shared" si="364"/>
        <v>0</v>
      </c>
      <c r="BF211" s="27">
        <f t="shared" si="365"/>
        <v>1</v>
      </c>
      <c r="BG211" s="520">
        <f t="shared" si="343"/>
        <v>1.0045071410937858</v>
      </c>
      <c r="BH211" s="520">
        <f t="shared" si="326"/>
        <v>1.0086129922302731</v>
      </c>
      <c r="BI211" s="520">
        <f t="shared" si="327"/>
        <v>1.0130566316218048</v>
      </c>
      <c r="BJ211" s="520">
        <f t="shared" si="328"/>
        <v>1.0181895556117053</v>
      </c>
      <c r="BK211" s="520">
        <f t="shared" si="329"/>
        <v>1.0256676055468461</v>
      </c>
      <c r="BL211" s="520">
        <f t="shared" si="330"/>
        <v>1.0340790841541121</v>
      </c>
      <c r="BM211" s="520">
        <f t="shared" si="331"/>
        <v>1.039710340716971</v>
      </c>
      <c r="BN211" s="521" t="str">
        <f t="shared" si="332"/>
        <v>Project</v>
      </c>
      <c r="BP211" s="3"/>
    </row>
    <row r="212" spans="1:68" hidden="1" x14ac:dyDescent="0.15">
      <c r="A212" s="78" t="s">
        <v>431</v>
      </c>
      <c r="B212" s="13" t="s">
        <v>2313</v>
      </c>
      <c r="C212" s="13" t="s">
        <v>27</v>
      </c>
      <c r="D212" s="13" t="s">
        <v>55</v>
      </c>
      <c r="E212" s="13" t="s">
        <v>112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5">
        <v>0</v>
      </c>
      <c r="N212" s="670"/>
      <c r="O212" s="14"/>
      <c r="P212" s="15"/>
      <c r="Q212" s="15" t="str">
        <f>IF(ISTEXT('Incurred 2.5% cpi'!Q212),"",'Incurred 2.5% cpi'!Q212/'Incurred 2.5% cpi'!Q$17*Incurred!Q$17)</f>
        <v/>
      </c>
      <c r="R212" s="110" t="str">
        <f>IF(ISTEXT('Incurred 2.5% cpi'!R212),"",'Incurred 2.5% cpi'!R212/'Incurred 2.5% cpi'!R$17*Incurred!R$17*BG212)</f>
        <v/>
      </c>
      <c r="S212" s="102" t="str">
        <f>IF(ISTEXT('Incurred 2.5% cpi'!S212),"",'Incurred 2.5% cpi'!S212/'Incurred 2.5% cpi'!S$17*Incurred!S$17*BH212)</f>
        <v/>
      </c>
      <c r="T212" s="16" t="str">
        <f>IF(ISTEXT('Incurred 2.5% cpi'!T212),"",'Incurred 2.5% cpi'!T212/'Incurred 2.5% cpi'!T$17*Incurred!T$17*BI212)</f>
        <v/>
      </c>
      <c r="U212" s="16">
        <f>IF(ISTEXT('Incurred 2.5% cpi'!U212),"",'Incurred 2.5% cpi'!U212/'Incurred 2.5% cpi'!U$17*Incurred!U$17*BJ212)</f>
        <v>332020.05190404836</v>
      </c>
      <c r="V212" s="16">
        <f>IF(ISTEXT('Incurred 2.5% cpi'!V212),"",'Incurred 2.5% cpi'!V212/'Incurred 2.5% cpi'!V$17*Incurred!V$17*BK212)</f>
        <v>727215.89356122073</v>
      </c>
      <c r="W212" s="110">
        <f>IF(ISTEXT('Incurred 2.5% cpi'!W212),"",'Incurred 2.5% cpi'!W212/'Incurred 2.5% cpi'!W$17*Incurred!W$17*BL212)</f>
        <v>497072.73367832514</v>
      </c>
      <c r="X212" s="102" t="str">
        <f>IF(ISTEXT('Incurred 2.5% cpi'!X212),"",'Incurred 2.5% cpi'!X212/'Incurred 2.5% cpi'!X$17*Incurred!X$17*BM212)</f>
        <v/>
      </c>
      <c r="Y212" s="80">
        <f t="shared" si="353"/>
        <v>1556308.6791435941</v>
      </c>
      <c r="Z212" s="80">
        <f t="shared" si="319"/>
        <v>1556308.6791435941</v>
      </c>
      <c r="AA212" s="566">
        <f t="shared" si="362"/>
        <v>1591297.5916102671</v>
      </c>
      <c r="AB212" s="566">
        <f t="shared" si="321"/>
        <v>1591297.5916102671</v>
      </c>
      <c r="AC212" s="567">
        <f t="shared" si="339"/>
        <v>1</v>
      </c>
      <c r="AD212" s="568" t="str">
        <f t="shared" si="333"/>
        <v>2023</v>
      </c>
      <c r="AE212" s="569">
        <v>44950</v>
      </c>
      <c r="AF212" s="568">
        <v>2023</v>
      </c>
      <c r="AG212" s="569"/>
      <c r="AH212" s="566">
        <f t="shared" si="349"/>
        <v>1406475.199207433</v>
      </c>
      <c r="AI212" s="80">
        <f t="shared" si="322"/>
        <v>497072.73367832514</v>
      </c>
      <c r="AJ212" s="571" t="s">
        <v>3035</v>
      </c>
      <c r="AK212" s="875">
        <f t="shared" si="310"/>
        <v>259899.99999999994</v>
      </c>
      <c r="AL212" s="28">
        <f t="shared" si="363"/>
        <v>0</v>
      </c>
      <c r="AM212" s="28">
        <f t="shared" si="363"/>
        <v>0</v>
      </c>
      <c r="AN212" s="28">
        <f t="shared" si="363"/>
        <v>0</v>
      </c>
      <c r="AO212" s="28">
        <f t="shared" si="363"/>
        <v>1</v>
      </c>
      <c r="AP212" s="28">
        <f t="shared" si="363"/>
        <v>0</v>
      </c>
      <c r="AQ212" s="28">
        <f t="shared" si="363"/>
        <v>0</v>
      </c>
      <c r="AR212" s="28">
        <f t="shared" si="363"/>
        <v>0</v>
      </c>
      <c r="AS212" s="28">
        <f t="shared" si="363"/>
        <v>0</v>
      </c>
      <c r="AT212" s="28">
        <f t="shared" si="363"/>
        <v>0</v>
      </c>
      <c r="AU212" s="28">
        <f t="shared" si="363"/>
        <v>0</v>
      </c>
      <c r="AV212" s="28">
        <f t="shared" si="364"/>
        <v>0</v>
      </c>
      <c r="AW212" s="28">
        <f t="shared" si="364"/>
        <v>0</v>
      </c>
      <c r="AX212" s="28">
        <f t="shared" si="364"/>
        <v>0</v>
      </c>
      <c r="AY212" s="28">
        <f t="shared" si="364"/>
        <v>0</v>
      </c>
      <c r="AZ212" s="28">
        <f t="shared" si="364"/>
        <v>0</v>
      </c>
      <c r="BA212" s="28">
        <f t="shared" si="364"/>
        <v>0</v>
      </c>
      <c r="BB212" s="28">
        <f t="shared" si="364"/>
        <v>0</v>
      </c>
      <c r="BC212" s="28">
        <f t="shared" si="364"/>
        <v>0</v>
      </c>
      <c r="BD212" s="28">
        <f t="shared" si="364"/>
        <v>0</v>
      </c>
      <c r="BE212" s="28">
        <f t="shared" si="364"/>
        <v>0</v>
      </c>
      <c r="BF212" s="27">
        <f t="shared" si="365"/>
        <v>1</v>
      </c>
      <c r="BG212" s="520">
        <f t="shared" si="343"/>
        <v>1.0047443590460903</v>
      </c>
      <c r="BH212" s="520">
        <f t="shared" si="326"/>
        <v>1.0090663076108137</v>
      </c>
      <c r="BI212" s="520">
        <f t="shared" si="327"/>
        <v>1.0137438227597946</v>
      </c>
      <c r="BJ212" s="520">
        <f t="shared" si="328"/>
        <v>1.0191469006439002</v>
      </c>
      <c r="BK212" s="520">
        <f t="shared" si="329"/>
        <v>1.0270185321545748</v>
      </c>
      <c r="BL212" s="520">
        <f t="shared" si="330"/>
        <v>1.0358727201622233</v>
      </c>
      <c r="BM212" s="520">
        <f t="shared" si="331"/>
        <v>1.0418003586494431</v>
      </c>
      <c r="BN212" s="521" t="str">
        <f t="shared" si="332"/>
        <v>Project</v>
      </c>
      <c r="BP212" s="3"/>
    </row>
    <row r="213" spans="1:68" hidden="1" x14ac:dyDescent="0.15">
      <c r="A213" s="78" t="s">
        <v>432</v>
      </c>
      <c r="B213" s="13" t="s">
        <v>433</v>
      </c>
      <c r="C213" s="13" t="s">
        <v>27</v>
      </c>
      <c r="D213" s="13" t="s">
        <v>40</v>
      </c>
      <c r="E213" s="13" t="s">
        <v>112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5">
        <v>0</v>
      </c>
      <c r="N213" s="670"/>
      <c r="O213" s="14"/>
      <c r="P213" s="15"/>
      <c r="Q213" s="15" t="str">
        <f>IF(ISTEXT('Incurred 2.5% cpi'!Q213),"",'Incurred 2.5% cpi'!Q213/'Incurred 2.5% cpi'!Q$17*Incurred!Q$17)</f>
        <v/>
      </c>
      <c r="R213" s="110" t="str">
        <f>IF(ISTEXT('Incurred 2.5% cpi'!R213),"",'Incurred 2.5% cpi'!R213/'Incurred 2.5% cpi'!R$17*Incurred!R$17*BG213)</f>
        <v/>
      </c>
      <c r="S213" s="102" t="str">
        <f>IF(ISTEXT('Incurred 2.5% cpi'!S213),"",'Incurred 2.5% cpi'!S213/'Incurred 2.5% cpi'!S$17*Incurred!S$17*BH213)</f>
        <v/>
      </c>
      <c r="T213" s="16">
        <f>IF(ISTEXT('Incurred 2.5% cpi'!T213),"",'Incurred 2.5% cpi'!T213/'Incurred 2.5% cpi'!T$17*Incurred!T$17*BI213)</f>
        <v>184968.54822230432</v>
      </c>
      <c r="U213" s="16">
        <f>IF(ISTEXT('Incurred 2.5% cpi'!U213),"",'Incurred 2.5% cpi'!U213/'Incurred 2.5% cpi'!U$17*Incurred!U$17*BJ213)</f>
        <v>852897.00214945257</v>
      </c>
      <c r="V213" s="16" t="str">
        <f>IF(ISTEXT('Incurred 2.5% cpi'!V213),"",'Incurred 2.5% cpi'!V213/'Incurred 2.5% cpi'!V$17*Incurred!V$17*BK213)</f>
        <v/>
      </c>
      <c r="W213" s="110" t="str">
        <f>IF(ISTEXT('Incurred 2.5% cpi'!W213),"",'Incurred 2.5% cpi'!W213/'Incurred 2.5% cpi'!W$17*Incurred!W$17*BL213)</f>
        <v/>
      </c>
      <c r="X213" s="102" t="str">
        <f>IF(ISTEXT('Incurred 2.5% cpi'!X213),"",'Incurred 2.5% cpi'!X213/'Incurred 2.5% cpi'!X$17*Incurred!X$17*BM213)</f>
        <v/>
      </c>
      <c r="Y213" s="80">
        <f t="shared" si="353"/>
        <v>1037865.5503717569</v>
      </c>
      <c r="Z213" s="80">
        <f t="shared" si="319"/>
        <v>1037865.5503717569</v>
      </c>
      <c r="AA213" s="566">
        <f t="shared" si="362"/>
        <v>1095265.8083837284</v>
      </c>
      <c r="AB213" s="566">
        <f t="shared" si="321"/>
        <v>1042489.7640773144</v>
      </c>
      <c r="AC213" s="567">
        <f t="shared" si="339"/>
        <v>1.0506249999999999</v>
      </c>
      <c r="AD213" s="568" t="str">
        <f t="shared" si="333"/>
        <v>2021</v>
      </c>
      <c r="AE213" s="569">
        <v>44202</v>
      </c>
      <c r="AF213" s="568">
        <v>2021</v>
      </c>
      <c r="AG213" s="569"/>
      <c r="AH213" s="566">
        <f t="shared" si="349"/>
        <v>968055.38081206218</v>
      </c>
      <c r="AI213" s="80">
        <f t="shared" si="322"/>
        <v>852897.00214945257</v>
      </c>
      <c r="AJ213" s="571" t="s">
        <v>3035</v>
      </c>
      <c r="AK213" s="875">
        <f t="shared" si="310"/>
        <v>0</v>
      </c>
      <c r="AL213" s="28">
        <f t="shared" si="363"/>
        <v>0</v>
      </c>
      <c r="AM213" s="28">
        <f t="shared" si="363"/>
        <v>0</v>
      </c>
      <c r="AN213" s="28">
        <f t="shared" si="363"/>
        <v>0</v>
      </c>
      <c r="AO213" s="28">
        <f t="shared" si="363"/>
        <v>1</v>
      </c>
      <c r="AP213" s="28">
        <f t="shared" si="363"/>
        <v>0</v>
      </c>
      <c r="AQ213" s="28">
        <f t="shared" si="363"/>
        <v>0</v>
      </c>
      <c r="AR213" s="28">
        <f t="shared" si="363"/>
        <v>0</v>
      </c>
      <c r="AS213" s="28">
        <f t="shared" si="363"/>
        <v>0</v>
      </c>
      <c r="AT213" s="28">
        <f t="shared" si="363"/>
        <v>0</v>
      </c>
      <c r="AU213" s="28">
        <f t="shared" si="363"/>
        <v>0</v>
      </c>
      <c r="AV213" s="28">
        <f t="shared" si="364"/>
        <v>0</v>
      </c>
      <c r="AW213" s="28">
        <f t="shared" si="364"/>
        <v>0</v>
      </c>
      <c r="AX213" s="28">
        <f t="shared" si="364"/>
        <v>0</v>
      </c>
      <c r="AY213" s="28">
        <f t="shared" si="364"/>
        <v>0</v>
      </c>
      <c r="AZ213" s="28">
        <f t="shared" si="364"/>
        <v>0</v>
      </c>
      <c r="BA213" s="28">
        <f t="shared" si="364"/>
        <v>0</v>
      </c>
      <c r="BB213" s="28">
        <f t="shared" si="364"/>
        <v>0</v>
      </c>
      <c r="BC213" s="28">
        <f t="shared" si="364"/>
        <v>0</v>
      </c>
      <c r="BD213" s="28">
        <f t="shared" si="364"/>
        <v>0</v>
      </c>
      <c r="BE213" s="28">
        <f t="shared" si="364"/>
        <v>0</v>
      </c>
      <c r="BF213" s="27">
        <f t="shared" si="365"/>
        <v>1</v>
      </c>
      <c r="BG213" s="520">
        <f t="shared" si="343"/>
        <v>1.0059304488076128</v>
      </c>
      <c r="BH213" s="520">
        <f t="shared" si="326"/>
        <v>1.0113328845135172</v>
      </c>
      <c r="BI213" s="520">
        <f t="shared" si="327"/>
        <v>1.0171797784497432</v>
      </c>
      <c r="BJ213" s="520">
        <f t="shared" si="328"/>
        <v>1.0239336258048755</v>
      </c>
      <c r="BK213" s="520">
        <f t="shared" si="329"/>
        <v>1.0337731651932187</v>
      </c>
      <c r="BL213" s="520">
        <f t="shared" si="330"/>
        <v>1.0448409002027792</v>
      </c>
      <c r="BM213" s="520">
        <f t="shared" si="331"/>
        <v>1.052250448311804</v>
      </c>
      <c r="BN213" s="521" t="str">
        <f t="shared" si="332"/>
        <v>Project</v>
      </c>
      <c r="BP213" s="3"/>
    </row>
    <row r="214" spans="1:68" hidden="1" x14ac:dyDescent="0.15">
      <c r="A214" s="78" t="s">
        <v>434</v>
      </c>
      <c r="B214" s="13" t="s">
        <v>435</v>
      </c>
      <c r="C214" s="13" t="s">
        <v>27</v>
      </c>
      <c r="D214" s="13" t="s">
        <v>40</v>
      </c>
      <c r="E214" s="13" t="s">
        <v>112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5">
        <v>0</v>
      </c>
      <c r="N214" s="670"/>
      <c r="O214" s="14"/>
      <c r="P214" s="15"/>
      <c r="Q214" s="15" t="str">
        <f>IF(ISTEXT('Incurred 2.5% cpi'!Q214),"",'Incurred 2.5% cpi'!Q214/'Incurred 2.5% cpi'!Q$17*Incurred!Q$17)</f>
        <v/>
      </c>
      <c r="R214" s="110">
        <f>IF(ISTEXT('Incurred 2.5% cpi'!R214),"",'Incurred 2.5% cpi'!R214/'Incurred 2.5% cpi'!R$17*Incurred!R$17*BG214)</f>
        <v>21384.626313314075</v>
      </c>
      <c r="S214" s="102">
        <f>IF(ISTEXT('Incurred 2.5% cpi'!S214),"",'Incurred 2.5% cpi'!S214/'Incurred 2.5% cpi'!S$17*Incurred!S$17*BH214)</f>
        <v>1892668.5134663584</v>
      </c>
      <c r="T214" s="16">
        <f>IF(ISTEXT('Incurred 2.5% cpi'!T214),"",'Incurred 2.5% cpi'!T214/'Incurred 2.5% cpi'!T$17*Incurred!T$17*BI214)</f>
        <v>2718964.4344128692</v>
      </c>
      <c r="U214" s="16">
        <f>IF(ISTEXT('Incurred 2.5% cpi'!U214),"",'Incurred 2.5% cpi'!U214/'Incurred 2.5% cpi'!U$17*Incurred!U$17*BJ214)</f>
        <v>582595.71295318822</v>
      </c>
      <c r="V214" s="16" t="str">
        <f>IF(ISTEXT('Incurred 2.5% cpi'!V214),"",'Incurred 2.5% cpi'!V214/'Incurred 2.5% cpi'!V$17*Incurred!V$17*BK214)</f>
        <v/>
      </c>
      <c r="W214" s="110" t="str">
        <f>IF(ISTEXT('Incurred 2.5% cpi'!W214),"",'Incurred 2.5% cpi'!W214/'Incurred 2.5% cpi'!W$17*Incurred!W$17*BL214)</f>
        <v/>
      </c>
      <c r="X214" s="102" t="str">
        <f>IF(ISTEXT('Incurred 2.5% cpi'!X214),"",'Incurred 2.5% cpi'!X214/'Incurred 2.5% cpi'!X$17*Incurred!X$17*BM214)</f>
        <v/>
      </c>
      <c r="Y214" s="80">
        <f t="shared" si="353"/>
        <v>5215613.2871457301</v>
      </c>
      <c r="Z214" s="80">
        <f t="shared" si="319"/>
        <v>5215613.2871457301</v>
      </c>
      <c r="AA214" s="566">
        <f t="shared" si="362"/>
        <v>5653463.5747337928</v>
      </c>
      <c r="AB214" s="566">
        <f t="shared" si="321"/>
        <v>5381048.0187829081</v>
      </c>
      <c r="AC214" s="567">
        <f t="shared" si="339"/>
        <v>1.0506249999999999</v>
      </c>
      <c r="AD214" s="568" t="str">
        <f t="shared" si="333"/>
        <v>2021</v>
      </c>
      <c r="AE214" s="569">
        <v>44040</v>
      </c>
      <c r="AF214" s="568">
        <v>2021</v>
      </c>
      <c r="AG214" s="569"/>
      <c r="AH214" s="566">
        <f t="shared" si="349"/>
        <v>4996838.0203726897</v>
      </c>
      <c r="AI214" s="80">
        <f t="shared" si="322"/>
        <v>582595.71295318822</v>
      </c>
      <c r="AJ214" s="571" t="s">
        <v>3035</v>
      </c>
      <c r="AK214" s="875">
        <f t="shared" si="310"/>
        <v>2432639.9249999993</v>
      </c>
      <c r="AL214" s="28">
        <f t="shared" ref="AL214:AU217" si="366">IF($AK214=0,VLOOKUP(MID($A214,4,5),ProjectSplits,AL$23,FALSE),IF(ISNA(VLOOKUP($A214,Estimates,AL$22,FALSE)),VLOOKUP(MID($A214,4,5),ProjectSplits,AL$23,FALSE),VLOOKUP($A214,Estimates,AL$22,FALSE)))</f>
        <v>0</v>
      </c>
      <c r="AM214" s="28">
        <f t="shared" si="366"/>
        <v>0.12332278275832378</v>
      </c>
      <c r="AN214" s="28">
        <f t="shared" si="366"/>
        <v>0.50480138362441784</v>
      </c>
      <c r="AO214" s="28">
        <f t="shared" si="366"/>
        <v>0</v>
      </c>
      <c r="AP214" s="28">
        <f t="shared" si="366"/>
        <v>0</v>
      </c>
      <c r="AQ214" s="28">
        <f t="shared" si="366"/>
        <v>0</v>
      </c>
      <c r="AR214" s="28">
        <f t="shared" si="366"/>
        <v>0</v>
      </c>
      <c r="AS214" s="28">
        <f t="shared" si="366"/>
        <v>0</v>
      </c>
      <c r="AT214" s="28">
        <f t="shared" si="366"/>
        <v>0</v>
      </c>
      <c r="AU214" s="28">
        <f t="shared" si="366"/>
        <v>0</v>
      </c>
      <c r="AV214" s="28">
        <f t="shared" ref="AV214:BE217" si="367">IF($AK214=0,VLOOKUP(MID($A214,4,5),ProjectSplits,AV$23,FALSE),IF(ISNA(VLOOKUP($A214,Estimates,AV$22,FALSE)),VLOOKUP(MID($A214,4,5),ProjectSplits,AV$23,FALSE),VLOOKUP($A214,Estimates,AV$22,FALSE)))</f>
        <v>0</v>
      </c>
      <c r="AW214" s="28">
        <f t="shared" si="367"/>
        <v>0</v>
      </c>
      <c r="AX214" s="28">
        <f t="shared" si="367"/>
        <v>0</v>
      </c>
      <c r="AY214" s="28">
        <f t="shared" si="367"/>
        <v>0</v>
      </c>
      <c r="AZ214" s="28">
        <f t="shared" si="367"/>
        <v>0.37187583361725846</v>
      </c>
      <c r="BA214" s="28">
        <f t="shared" si="367"/>
        <v>0</v>
      </c>
      <c r="BB214" s="28">
        <f t="shared" si="367"/>
        <v>0</v>
      </c>
      <c r="BC214" s="28">
        <f t="shared" si="367"/>
        <v>0</v>
      </c>
      <c r="BD214" s="28">
        <f t="shared" si="367"/>
        <v>0</v>
      </c>
      <c r="BE214" s="28">
        <f t="shared" si="367"/>
        <v>0</v>
      </c>
      <c r="BF214" s="27">
        <f t="shared" ref="BF214:BF217" si="368">SUM(AL214:BD214)</f>
        <v>1</v>
      </c>
      <c r="BG214" s="520">
        <f t="shared" si="343"/>
        <v>1.0030533653093701</v>
      </c>
      <c r="BH214" s="520">
        <f t="shared" si="326"/>
        <v>1.0058348765078711</v>
      </c>
      <c r="BI214" s="520">
        <f t="shared" si="327"/>
        <v>1.0088452225527642</v>
      </c>
      <c r="BJ214" s="520">
        <f t="shared" si="328"/>
        <v>1.0123225248426804</v>
      </c>
      <c r="BK214" s="520">
        <f t="shared" si="329"/>
        <v>1.0173885340442068</v>
      </c>
      <c r="BL214" s="520">
        <f t="shared" si="330"/>
        <v>1.0230868950330265</v>
      </c>
      <c r="BM214" s="520">
        <f t="shared" si="331"/>
        <v>1.026901793009241</v>
      </c>
      <c r="BN214" s="521" t="str">
        <f t="shared" si="332"/>
        <v>Project</v>
      </c>
      <c r="BP214" s="3"/>
    </row>
    <row r="215" spans="1:68" hidden="1" x14ac:dyDescent="0.15">
      <c r="A215" s="78" t="s">
        <v>436</v>
      </c>
      <c r="B215" s="13" t="s">
        <v>437</v>
      </c>
      <c r="C215" s="13" t="s">
        <v>27</v>
      </c>
      <c r="D215" s="13" t="s">
        <v>36</v>
      </c>
      <c r="E215" s="13" t="s">
        <v>112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5">
        <v>0</v>
      </c>
      <c r="N215" s="670"/>
      <c r="O215" s="14"/>
      <c r="P215" s="15"/>
      <c r="Q215" s="15" t="str">
        <f>IF(ISTEXT('Incurred 2.5% cpi'!Q215),"",'Incurred 2.5% cpi'!Q215/'Incurred 2.5% cpi'!Q$17*Incurred!Q$17)</f>
        <v/>
      </c>
      <c r="R215" s="110" t="str">
        <f>IF(ISTEXT('Incurred 2.5% cpi'!R215),"",'Incurred 2.5% cpi'!R215/'Incurred 2.5% cpi'!R$17*Incurred!R$17*BG215)</f>
        <v/>
      </c>
      <c r="S215" s="102" t="str">
        <f>IF(ISTEXT('Incurred 2.5% cpi'!S215),"",'Incurred 2.5% cpi'!S215/'Incurred 2.5% cpi'!S$17*Incurred!S$17*BH215)</f>
        <v/>
      </c>
      <c r="T215" s="16" t="str">
        <f>IF(ISTEXT('Incurred 2.5% cpi'!T215),"",'Incurred 2.5% cpi'!T215/'Incurred 2.5% cpi'!T$17*Incurred!T$17*BI215)</f>
        <v/>
      </c>
      <c r="U215" s="16" t="str">
        <f>IF(ISTEXT('Incurred 2.5% cpi'!U215),"",'Incurred 2.5% cpi'!U215/'Incurred 2.5% cpi'!U$17*Incurred!U$17*BJ215)</f>
        <v/>
      </c>
      <c r="V215" s="16" t="str">
        <f>IF(ISTEXT('Incurred 2.5% cpi'!V215),"",'Incurred 2.5% cpi'!V215/'Incurred 2.5% cpi'!V$17*Incurred!V$17*BK215)</f>
        <v/>
      </c>
      <c r="W215" s="110">
        <f>IF(ISTEXT('Incurred 2.5% cpi'!W215),"",'Incurred 2.5% cpi'!W215/'Incurred 2.5% cpi'!W$17*Incurred!W$17*BL215)</f>
        <v>305674.31767801277</v>
      </c>
      <c r="X215" s="102">
        <f>IF(ISTEXT('Incurred 2.5% cpi'!X215),"",'Incurred 2.5% cpi'!X215/'Incurred 2.5% cpi'!X$17*Incurred!X$17*BM215)</f>
        <v>139463.89549823449</v>
      </c>
      <c r="Y215" s="80">
        <f t="shared" si="353"/>
        <v>305674.31767801277</v>
      </c>
      <c r="Z215" s="80">
        <f t="shared" ref="Z215:Z238" si="369">-SUMIFS(F215:W215,F215:W215,"&lt;0")+SUMIFS(F215:W215,F215:W215,"&gt;0")</f>
        <v>305674.31767801277</v>
      </c>
      <c r="AA215" s="566">
        <f t="shared" si="362"/>
        <v>305674.31767801277</v>
      </c>
      <c r="AB215" s="566">
        <f t="shared" ref="AB215:AB260" si="370">IF(AC215="","",AA215/AC215)</f>
        <v>305674.31767801277</v>
      </c>
      <c r="AC215" s="567">
        <f t="shared" si="339"/>
        <v>1</v>
      </c>
      <c r="AD215" s="568" t="str">
        <f>IF(AI215=0,"",INDEX($F$24:$X$24,1,MATCH(AI215,F215:X215,0)))</f>
        <v>2024</v>
      </c>
      <c r="AE215" s="569">
        <v>45134</v>
      </c>
      <c r="AF215" s="568">
        <v>2024</v>
      </c>
      <c r="AG215" s="569"/>
      <c r="AH215" s="566">
        <f t="shared" si="349"/>
        <v>270171.5562918252</v>
      </c>
      <c r="AI215" s="80">
        <f t="shared" ref="AI215:AI260" si="371">IF(ROUND(Z215,0)=0,0,LOOKUP(2,1/(F215:X215&lt;&gt;""),F215:X215))</f>
        <v>139463.89549823449</v>
      </c>
      <c r="AJ215" s="571" t="s">
        <v>3035</v>
      </c>
      <c r="AK215" s="875">
        <f t="shared" si="310"/>
        <v>275500.00000000035</v>
      </c>
      <c r="AL215" s="28">
        <f t="shared" si="366"/>
        <v>0.69872958257713258</v>
      </c>
      <c r="AM215" s="28">
        <f t="shared" si="366"/>
        <v>0</v>
      </c>
      <c r="AN215" s="28">
        <f t="shared" si="366"/>
        <v>0</v>
      </c>
      <c r="AO215" s="28">
        <f t="shared" si="366"/>
        <v>0</v>
      </c>
      <c r="AP215" s="28">
        <f t="shared" si="366"/>
        <v>0</v>
      </c>
      <c r="AQ215" s="28">
        <f t="shared" si="366"/>
        <v>0</v>
      </c>
      <c r="AR215" s="28">
        <f t="shared" si="366"/>
        <v>0</v>
      </c>
      <c r="AS215" s="28">
        <f t="shared" si="366"/>
        <v>0.30127041742286753</v>
      </c>
      <c r="AT215" s="28">
        <f t="shared" si="366"/>
        <v>0</v>
      </c>
      <c r="AU215" s="28">
        <f t="shared" si="366"/>
        <v>0</v>
      </c>
      <c r="AV215" s="28">
        <f t="shared" si="367"/>
        <v>0</v>
      </c>
      <c r="AW215" s="28">
        <f t="shared" si="367"/>
        <v>0</v>
      </c>
      <c r="AX215" s="28">
        <f t="shared" si="367"/>
        <v>0</v>
      </c>
      <c r="AY215" s="28">
        <f t="shared" si="367"/>
        <v>0</v>
      </c>
      <c r="AZ215" s="28">
        <f t="shared" si="367"/>
        <v>0</v>
      </c>
      <c r="BA215" s="28">
        <f t="shared" si="367"/>
        <v>0</v>
      </c>
      <c r="BB215" s="28">
        <f t="shared" si="367"/>
        <v>0</v>
      </c>
      <c r="BC215" s="28">
        <f t="shared" si="367"/>
        <v>0</v>
      </c>
      <c r="BD215" s="28">
        <f t="shared" si="367"/>
        <v>0</v>
      </c>
      <c r="BE215" s="28">
        <f t="shared" si="367"/>
        <v>0</v>
      </c>
      <c r="BF215" s="27">
        <f t="shared" si="368"/>
        <v>1</v>
      </c>
      <c r="BG215" s="520">
        <f t="shared" si="343"/>
        <v>1.0023539528458716</v>
      </c>
      <c r="BH215" s="520">
        <f t="shared" ref="BH215:BH260" si="372">1+IF(ISNA(VLOOKUP($A215,ProjLabEsc,7,FALSE)),VLOOKUP($D215,CatLabEsc,4,FALSE),VLOOKUP($A215,ProjLabEsc,7,FALSE))*LabEsc19*LabIn</f>
        <v>1.0044983232497147</v>
      </c>
      <c r="BI215" s="520">
        <f t="shared" ref="BI215:BI260" si="373">1+IF(ISNA(VLOOKUP($A215,ProjLabEsc,7,FALSE)),VLOOKUP($D215,CatLabEsc,4,FALSE),VLOOKUP($A215,ProjLabEsc,7,FALSE))*LabEsc20*LabIn</f>
        <v>1.0068191109450775</v>
      </c>
      <c r="BJ215" s="520">
        <f t="shared" ref="BJ215:BJ260" si="374">1+IF(ISNA(VLOOKUP($A215,ProjLabEsc,7,FALSE)),VLOOKUP($D215,CatLabEsc,4,FALSE),VLOOKUP($A215,ProjLabEsc,7,FALSE))*LabEsc21*LabIn</f>
        <v>1.0094998925718892</v>
      </c>
      <c r="BK215" s="520">
        <f t="shared" ref="BK215:BK260" si="375">1+IF(ISNA(VLOOKUP($A215,ProjLabEsc,7,FALSE)),VLOOKUP($D215,CatLabEsc,4,FALSE),VLOOKUP($A215,ProjLabEsc,7,FALSE))*LabEsc22*LabIn</f>
        <v>1.0134054674274589</v>
      </c>
      <c r="BL215" s="520">
        <f t="shared" ref="BL215:BL260" si="376">1+IF(ISNA(VLOOKUP($A215,ProjLabEsc,7,FALSE)),VLOOKUP($D215,CatLabEsc,4,FALSE),VLOOKUP($A215,ProjLabEsc,7,FALSE))*LabEsc23*LabIn</f>
        <v>1.0177985457876773</v>
      </c>
      <c r="BM215" s="520">
        <f t="shared" ref="BM215:BM260" si="377">1+IF(ISNA(VLOOKUP($A215,ProjLabEsc,7,FALSE)),VLOOKUP($D215,CatLabEsc,4,FALSE),VLOOKUP($A215,ProjLabEsc,7,FALSE))*LabEsc24*LabIn</f>
        <v>1.0207395924813898</v>
      </c>
      <c r="BN215" s="521" t="str">
        <f t="shared" ref="BN215:BN260" si="378">IF(ISNA(VLOOKUP($A215,ProjLabEsc,7,FALSE)),"Category","Project")</f>
        <v>Project</v>
      </c>
      <c r="BP215" s="3"/>
    </row>
    <row r="216" spans="1:68" hidden="1" x14ac:dyDescent="0.15">
      <c r="A216" s="12" t="s">
        <v>438</v>
      </c>
      <c r="B216" s="13" t="s">
        <v>439</v>
      </c>
      <c r="C216" s="13" t="s">
        <v>27</v>
      </c>
      <c r="D216" s="13" t="s">
        <v>36</v>
      </c>
      <c r="E216" s="13" t="s">
        <v>112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5">
        <v>0</v>
      </c>
      <c r="N216" s="670"/>
      <c r="O216" s="14"/>
      <c r="P216" s="15"/>
      <c r="Q216" s="15" t="str">
        <f>IF(ISTEXT('Incurred 2.5% cpi'!Q216),"",'Incurred 2.5% cpi'!Q216/'Incurred 2.5% cpi'!Q$17*Incurred!Q$17)</f>
        <v/>
      </c>
      <c r="R216" s="110" t="str">
        <f>IF(ISTEXT('Incurred 2.5% cpi'!R216),"",'Incurred 2.5% cpi'!R216/'Incurred 2.5% cpi'!R$17*Incurred!R$17*BG216)</f>
        <v/>
      </c>
      <c r="S216" s="102" t="str">
        <f>IF(ISTEXT('Incurred 2.5% cpi'!S216),"",'Incurred 2.5% cpi'!S216/'Incurred 2.5% cpi'!S$17*Incurred!S$17*BH216)</f>
        <v/>
      </c>
      <c r="T216" s="16" t="str">
        <f>IF(ISTEXT('Incurred 2.5% cpi'!T216),"",'Incurred 2.5% cpi'!T216/'Incurred 2.5% cpi'!T$17*Incurred!T$17*BI216)</f>
        <v/>
      </c>
      <c r="U216" s="16" t="str">
        <f>IF(ISTEXT('Incurred 2.5% cpi'!U216),"",'Incurred 2.5% cpi'!U216/'Incurred 2.5% cpi'!U$17*Incurred!U$17*BJ216)</f>
        <v/>
      </c>
      <c r="V216" s="16" t="str">
        <f>IF(ISTEXT('Incurred 2.5% cpi'!V216),"",'Incurred 2.5% cpi'!V216/'Incurred 2.5% cpi'!V$17*Incurred!V$17*BK216)</f>
        <v/>
      </c>
      <c r="W216" s="110">
        <f>IF(ISTEXT('Incurred 2.5% cpi'!W216),"",'Incurred 2.5% cpi'!W216/'Incurred 2.5% cpi'!W$17*Incurred!W$17*BL216)</f>
        <v>166773.5284818848</v>
      </c>
      <c r="X216" s="102">
        <f>IF(ISTEXT('Incurred 2.5% cpi'!X216),"",'Incurred 2.5% cpi'!X216/'Incurred 2.5% cpi'!X$17*Incurred!X$17*BM216)</f>
        <v>63.202174555902964</v>
      </c>
      <c r="Y216" s="80">
        <f t="shared" si="353"/>
        <v>166773.5284818848</v>
      </c>
      <c r="Z216" s="80">
        <f t="shared" si="369"/>
        <v>166773.5284818848</v>
      </c>
      <c r="AA216" s="566">
        <f t="shared" si="362"/>
        <v>166773.5284818848</v>
      </c>
      <c r="AB216" s="566">
        <f t="shared" si="370"/>
        <v>166773.5284818848</v>
      </c>
      <c r="AC216" s="567">
        <f t="shared" si="339"/>
        <v>1</v>
      </c>
      <c r="AD216" s="568" t="str">
        <f t="shared" ref="AD216:AD221" si="379">IF(AI216=0,"",INDEX($F$24:$X$24,1,MATCH(AI216,F216:X216,0)))</f>
        <v>2024</v>
      </c>
      <c r="AE216" s="569">
        <v>45050</v>
      </c>
      <c r="AF216" s="568">
        <v>2023</v>
      </c>
      <c r="AG216" s="569"/>
      <c r="AH216" s="566">
        <f t="shared" si="349"/>
        <v>147403.49820848182</v>
      </c>
      <c r="AI216" s="80">
        <f t="shared" si="371"/>
        <v>63.202174555902964</v>
      </c>
      <c r="AJ216" s="571" t="s">
        <v>3035</v>
      </c>
      <c r="AK216" s="875">
        <f t="shared" si="310"/>
        <v>122000.00000000007</v>
      </c>
      <c r="AL216" s="28">
        <f t="shared" si="366"/>
        <v>0</v>
      </c>
      <c r="AM216" s="28">
        <f t="shared" si="366"/>
        <v>0</v>
      </c>
      <c r="AN216" s="28">
        <f t="shared" si="366"/>
        <v>0</v>
      </c>
      <c r="AO216" s="28">
        <f t="shared" si="366"/>
        <v>0</v>
      </c>
      <c r="AP216" s="28">
        <f t="shared" si="366"/>
        <v>0</v>
      </c>
      <c r="AQ216" s="28">
        <f t="shared" si="366"/>
        <v>0</v>
      </c>
      <c r="AR216" s="28">
        <f t="shared" si="366"/>
        <v>0</v>
      </c>
      <c r="AS216" s="28">
        <f t="shared" si="366"/>
        <v>1</v>
      </c>
      <c r="AT216" s="28">
        <f t="shared" si="366"/>
        <v>0</v>
      </c>
      <c r="AU216" s="28">
        <f t="shared" si="366"/>
        <v>0</v>
      </c>
      <c r="AV216" s="28">
        <f t="shared" si="367"/>
        <v>0</v>
      </c>
      <c r="AW216" s="28">
        <f t="shared" si="367"/>
        <v>0</v>
      </c>
      <c r="AX216" s="28">
        <f t="shared" si="367"/>
        <v>0</v>
      </c>
      <c r="AY216" s="28">
        <f t="shared" si="367"/>
        <v>0</v>
      </c>
      <c r="AZ216" s="28">
        <f t="shared" si="367"/>
        <v>0</v>
      </c>
      <c r="BA216" s="28">
        <f t="shared" si="367"/>
        <v>0</v>
      </c>
      <c r="BB216" s="28">
        <f t="shared" si="367"/>
        <v>0</v>
      </c>
      <c r="BC216" s="28">
        <f t="shared" si="367"/>
        <v>0</v>
      </c>
      <c r="BD216" s="28">
        <f t="shared" si="367"/>
        <v>0</v>
      </c>
      <c r="BE216" s="28">
        <f t="shared" si="367"/>
        <v>0</v>
      </c>
      <c r="BF216" s="27">
        <f t="shared" si="368"/>
        <v>1</v>
      </c>
      <c r="BG216" s="520">
        <f t="shared" si="343"/>
        <v>1.000745054832479</v>
      </c>
      <c r="BH216" s="520">
        <f t="shared" si="372"/>
        <v>1.0014237742617191</v>
      </c>
      <c r="BI216" s="520">
        <f t="shared" si="373"/>
        <v>1.0021583319189045</v>
      </c>
      <c r="BJ216" s="520">
        <f t="shared" si="374"/>
        <v>1.0030068320532126</v>
      </c>
      <c r="BK216" s="520">
        <f t="shared" si="375"/>
        <v>1.0042429942069508</v>
      </c>
      <c r="BL216" s="520">
        <f t="shared" si="376"/>
        <v>1.005633457175434</v>
      </c>
      <c r="BM216" s="520">
        <f t="shared" si="377"/>
        <v>1.0065643343829107</v>
      </c>
      <c r="BN216" s="521" t="str">
        <f t="shared" si="378"/>
        <v>Project</v>
      </c>
      <c r="BP216" s="3"/>
    </row>
    <row r="217" spans="1:68" hidden="1" x14ac:dyDescent="0.15">
      <c r="A217" s="12" t="s">
        <v>440</v>
      </c>
      <c r="B217" s="13" t="s">
        <v>441</v>
      </c>
      <c r="C217" s="13" t="s">
        <v>27</v>
      </c>
      <c r="D217" s="13" t="s">
        <v>36</v>
      </c>
      <c r="E217" s="13" t="s">
        <v>112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5">
        <v>0</v>
      </c>
      <c r="N217" s="670"/>
      <c r="O217" s="14"/>
      <c r="P217" s="15"/>
      <c r="Q217" s="15" t="str">
        <f>IF(ISTEXT('Incurred 2.5% cpi'!Q217),"",'Incurred 2.5% cpi'!Q217/'Incurred 2.5% cpi'!Q$17*Incurred!Q$17)</f>
        <v/>
      </c>
      <c r="R217" s="110" t="str">
        <f>IF(ISTEXT('Incurred 2.5% cpi'!R217),"",'Incurred 2.5% cpi'!R217/'Incurred 2.5% cpi'!R$17*Incurred!R$17*BG217)</f>
        <v/>
      </c>
      <c r="S217" s="102" t="str">
        <f>IF(ISTEXT('Incurred 2.5% cpi'!S217),"",'Incurred 2.5% cpi'!S217/'Incurred 2.5% cpi'!S$17*Incurred!S$17*BH217)</f>
        <v/>
      </c>
      <c r="T217" s="16" t="str">
        <f>IF(ISTEXT('Incurred 2.5% cpi'!T217),"",'Incurred 2.5% cpi'!T217/'Incurred 2.5% cpi'!T$17*Incurred!T$17*BI217)</f>
        <v/>
      </c>
      <c r="U217" s="16" t="str">
        <f>IF(ISTEXT('Incurred 2.5% cpi'!U217),"",'Incurred 2.5% cpi'!U217/'Incurred 2.5% cpi'!U$17*Incurred!U$17*BJ217)</f>
        <v/>
      </c>
      <c r="V217" s="16" t="str">
        <f>IF(ISTEXT('Incurred 2.5% cpi'!V217),"",'Incurred 2.5% cpi'!V217/'Incurred 2.5% cpi'!V$17*Incurred!V$17*BK217)</f>
        <v/>
      </c>
      <c r="W217" s="110">
        <f>IF(ISTEXT('Incurred 2.5% cpi'!W217),"",'Incurred 2.5% cpi'!W217/'Incurred 2.5% cpi'!W$17*Incurred!W$17*BL217)</f>
        <v>142107.35500023625</v>
      </c>
      <c r="X217" s="102">
        <f>IF(ISTEXT('Incurred 2.5% cpi'!X217),"",'Incurred 2.5% cpi'!X217/'Incurred 2.5% cpi'!X$17*Incurred!X$17*BM217)</f>
        <v>64802.0611282752</v>
      </c>
      <c r="Y217" s="80">
        <f t="shared" si="353"/>
        <v>142107.35500023625</v>
      </c>
      <c r="Z217" s="80">
        <f t="shared" si="369"/>
        <v>142107.35500023625</v>
      </c>
      <c r="AA217" s="566">
        <f t="shared" si="362"/>
        <v>142107.35500023625</v>
      </c>
      <c r="AB217" s="566">
        <f t="shared" si="370"/>
        <v>142107.35500023625</v>
      </c>
      <c r="AC217" s="567">
        <f t="shared" si="339"/>
        <v>1</v>
      </c>
      <c r="AD217" s="568" t="str">
        <f t="shared" si="379"/>
        <v>2024</v>
      </c>
      <c r="AE217" s="569">
        <v>45134</v>
      </c>
      <c r="AF217" s="568">
        <v>2024</v>
      </c>
      <c r="AG217" s="569"/>
      <c r="AH217" s="566">
        <f t="shared" si="349"/>
        <v>125602.19501780656</v>
      </c>
      <c r="AI217" s="80">
        <f t="shared" si="371"/>
        <v>64802.0611282752</v>
      </c>
      <c r="AJ217" s="571" t="s">
        <v>3035</v>
      </c>
      <c r="AK217" s="875">
        <f t="shared" si="310"/>
        <v>128500.00000000017</v>
      </c>
      <c r="AL217" s="28">
        <f t="shared" si="366"/>
        <v>0</v>
      </c>
      <c r="AM217" s="28">
        <f t="shared" si="366"/>
        <v>0</v>
      </c>
      <c r="AN217" s="28">
        <f t="shared" si="366"/>
        <v>0</v>
      </c>
      <c r="AO217" s="28">
        <f t="shared" si="366"/>
        <v>0</v>
      </c>
      <c r="AP217" s="28">
        <f t="shared" si="366"/>
        <v>0</v>
      </c>
      <c r="AQ217" s="28">
        <f t="shared" si="366"/>
        <v>0</v>
      </c>
      <c r="AR217" s="28">
        <f t="shared" si="366"/>
        <v>0</v>
      </c>
      <c r="AS217" s="28">
        <f t="shared" si="366"/>
        <v>1</v>
      </c>
      <c r="AT217" s="28">
        <f t="shared" si="366"/>
        <v>0</v>
      </c>
      <c r="AU217" s="28">
        <f t="shared" si="366"/>
        <v>0</v>
      </c>
      <c r="AV217" s="28">
        <f t="shared" si="367"/>
        <v>0</v>
      </c>
      <c r="AW217" s="28">
        <f t="shared" si="367"/>
        <v>0</v>
      </c>
      <c r="AX217" s="28">
        <f t="shared" si="367"/>
        <v>0</v>
      </c>
      <c r="AY217" s="28">
        <f t="shared" si="367"/>
        <v>0</v>
      </c>
      <c r="AZ217" s="28">
        <f t="shared" si="367"/>
        <v>0</v>
      </c>
      <c r="BA217" s="28">
        <f t="shared" si="367"/>
        <v>0</v>
      </c>
      <c r="BB217" s="28">
        <f t="shared" si="367"/>
        <v>0</v>
      </c>
      <c r="BC217" s="28">
        <f t="shared" si="367"/>
        <v>0</v>
      </c>
      <c r="BD217" s="28">
        <f t="shared" si="367"/>
        <v>0</v>
      </c>
      <c r="BE217" s="28">
        <f t="shared" si="367"/>
        <v>0</v>
      </c>
      <c r="BF217" s="27">
        <f t="shared" si="368"/>
        <v>1</v>
      </c>
      <c r="BG217" s="520">
        <f t="shared" si="343"/>
        <v>1.0019134970774137</v>
      </c>
      <c r="BH217" s="520">
        <f t="shared" si="372"/>
        <v>1.0036566273647698</v>
      </c>
      <c r="BI217" s="520">
        <f t="shared" si="373"/>
        <v>1.0055431649307891</v>
      </c>
      <c r="BJ217" s="520">
        <f t="shared" si="374"/>
        <v>1.0077223367935924</v>
      </c>
      <c r="BK217" s="520">
        <f t="shared" si="375"/>
        <v>1.0108971268429598</v>
      </c>
      <c r="BL217" s="520">
        <f t="shared" si="376"/>
        <v>1.0144682020316029</v>
      </c>
      <c r="BM217" s="520">
        <f t="shared" si="377"/>
        <v>1.0168589399186538</v>
      </c>
      <c r="BN217" s="521" t="str">
        <f t="shared" si="378"/>
        <v>Project</v>
      </c>
      <c r="BP217" s="3"/>
    </row>
    <row r="218" spans="1:68" hidden="1" x14ac:dyDescent="0.15">
      <c r="A218" s="12" t="s">
        <v>442</v>
      </c>
      <c r="B218" s="13" t="s">
        <v>443</v>
      </c>
      <c r="C218" s="13" t="s">
        <v>27</v>
      </c>
      <c r="D218" s="13" t="s">
        <v>55</v>
      </c>
      <c r="E218" s="13" t="s">
        <v>112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5">
        <v>0</v>
      </c>
      <c r="N218" s="670"/>
      <c r="O218" s="14"/>
      <c r="P218" s="15"/>
      <c r="Q218" s="15" t="str">
        <f>IF(ISTEXT('Incurred 2.5% cpi'!Q218),"",'Incurred 2.5% cpi'!Q218/'Incurred 2.5% cpi'!Q$17*Incurred!Q$17)</f>
        <v/>
      </c>
      <c r="R218" s="110" t="str">
        <f>IF(ISTEXT('Incurred 2.5% cpi'!R218),"",'Incurred 2.5% cpi'!R218/'Incurred 2.5% cpi'!R$17*Incurred!R$17*BG218)</f>
        <v/>
      </c>
      <c r="S218" s="102" t="str">
        <f>IF(ISTEXT('Incurred 2.5% cpi'!S218),"",'Incurred 2.5% cpi'!S218/'Incurred 2.5% cpi'!S$17*Incurred!S$17*BH218)</f>
        <v/>
      </c>
      <c r="T218" s="16" t="str">
        <f>IF(ISTEXT('Incurred 2.5% cpi'!T218),"",'Incurred 2.5% cpi'!T218/'Incurred 2.5% cpi'!T$17*Incurred!T$17*BI218)</f>
        <v/>
      </c>
      <c r="U218" s="16" t="str">
        <f>IF(ISTEXT('Incurred 2.5% cpi'!U218),"",'Incurred 2.5% cpi'!U218/'Incurred 2.5% cpi'!U$17*Incurred!U$17*BJ218)</f>
        <v/>
      </c>
      <c r="V218" s="16">
        <f>IF(ISTEXT('Incurred 2.5% cpi'!V218),"",'Incurred 2.5% cpi'!V218/'Incurred 2.5% cpi'!V$17*Incurred!V$17*BK218)</f>
        <v>36257.816418140756</v>
      </c>
      <c r="W218" s="110">
        <f>IF(ISTEXT('Incurred 2.5% cpi'!W218),"",'Incurred 2.5% cpi'!W218/'Incurred 2.5% cpi'!W$17*Incurred!W$17*BL218)</f>
        <v>915620.77518359816</v>
      </c>
      <c r="X218" s="102">
        <f>IF(ISTEXT('Incurred 2.5% cpi'!X218),"",'Incurred 2.5% cpi'!X218/'Incurred 2.5% cpi'!X$17*Incurred!X$17*BM218)</f>
        <v>999221.85673584847</v>
      </c>
      <c r="Y218" s="80">
        <f t="shared" si="353"/>
        <v>951878.59160173894</v>
      </c>
      <c r="Z218" s="80">
        <f t="shared" si="369"/>
        <v>951878.59160173894</v>
      </c>
      <c r="AA218" s="566">
        <f t="shared" si="362"/>
        <v>952785.03701219242</v>
      </c>
      <c r="AB218" s="566">
        <f t="shared" si="370"/>
        <v>952785.03701219242</v>
      </c>
      <c r="AC218" s="567">
        <f t="shared" si="339"/>
        <v>1</v>
      </c>
      <c r="AD218" s="568" t="str">
        <f t="shared" si="379"/>
        <v>2024</v>
      </c>
      <c r="AE218" s="569">
        <v>45505</v>
      </c>
      <c r="AF218" s="568">
        <v>2025</v>
      </c>
      <c r="AG218" s="569"/>
      <c r="AH218" s="566">
        <f t="shared" si="349"/>
        <v>842123.14013341872</v>
      </c>
      <c r="AI218" s="80">
        <f t="shared" si="371"/>
        <v>999221.85673584847</v>
      </c>
      <c r="AJ218" s="571" t="s">
        <v>3035</v>
      </c>
      <c r="AK218" s="875">
        <f t="shared" si="310"/>
        <v>179999.99999999977</v>
      </c>
      <c r="AL218" s="28">
        <f t="shared" ref="AL218:BE218" si="380">IF($AK218=0,VLOOKUP(MID($A218,4,5),ProjectSplits,AL$23,FALSE),IF(ISNA(VLOOKUP($A218,Estimates,AL$22,FALSE)),VLOOKUP(MID($A218,4,5),ProjectSplits,AL$23,FALSE),VLOOKUP($A218,Estimates,AL$22,FALSE)))</f>
        <v>0</v>
      </c>
      <c r="AM218" s="28">
        <f t="shared" si="380"/>
        <v>0</v>
      </c>
      <c r="AN218" s="28">
        <f t="shared" si="380"/>
        <v>0</v>
      </c>
      <c r="AO218" s="28">
        <f t="shared" si="380"/>
        <v>1</v>
      </c>
      <c r="AP218" s="28">
        <f t="shared" si="380"/>
        <v>0</v>
      </c>
      <c r="AQ218" s="28">
        <f t="shared" si="380"/>
        <v>0</v>
      </c>
      <c r="AR218" s="28">
        <f t="shared" si="380"/>
        <v>0</v>
      </c>
      <c r="AS218" s="28">
        <f t="shared" si="380"/>
        <v>0</v>
      </c>
      <c r="AT218" s="28">
        <f t="shared" si="380"/>
        <v>0</v>
      </c>
      <c r="AU218" s="28">
        <f t="shared" si="380"/>
        <v>0</v>
      </c>
      <c r="AV218" s="28">
        <f t="shared" si="380"/>
        <v>0</v>
      </c>
      <c r="AW218" s="28">
        <f t="shared" si="380"/>
        <v>0</v>
      </c>
      <c r="AX218" s="28">
        <f t="shared" si="380"/>
        <v>0</v>
      </c>
      <c r="AY218" s="28">
        <f t="shared" si="380"/>
        <v>0</v>
      </c>
      <c r="AZ218" s="28">
        <f t="shared" si="380"/>
        <v>0</v>
      </c>
      <c r="BA218" s="28">
        <f t="shared" si="380"/>
        <v>0</v>
      </c>
      <c r="BB218" s="28">
        <f t="shared" si="380"/>
        <v>0</v>
      </c>
      <c r="BC218" s="28">
        <f t="shared" si="380"/>
        <v>0</v>
      </c>
      <c r="BD218" s="28">
        <f t="shared" si="380"/>
        <v>0</v>
      </c>
      <c r="BE218" s="28">
        <f t="shared" si="380"/>
        <v>0</v>
      </c>
      <c r="BF218" s="27">
        <f>SUM(AL218:BD218)</f>
        <v>1</v>
      </c>
      <c r="BG218" s="520">
        <f t="shared" si="343"/>
        <v>1.0053374039268514</v>
      </c>
      <c r="BH218" s="520">
        <f t="shared" si="372"/>
        <v>1.0101995960621655</v>
      </c>
      <c r="BI218" s="520">
        <f t="shared" si="373"/>
        <v>1.0154618006047689</v>
      </c>
      <c r="BJ218" s="520">
        <f t="shared" si="374"/>
        <v>1.0215402632243877</v>
      </c>
      <c r="BK218" s="520">
        <f t="shared" si="375"/>
        <v>1.0303958486738967</v>
      </c>
      <c r="BL218" s="520">
        <f t="shared" si="376"/>
        <v>1.0403568101825011</v>
      </c>
      <c r="BM218" s="520">
        <f t="shared" si="377"/>
        <v>1.0470254034806237</v>
      </c>
      <c r="BN218" s="521" t="str">
        <f t="shared" si="378"/>
        <v>Project</v>
      </c>
      <c r="BP218" s="3"/>
    </row>
    <row r="219" spans="1:68" hidden="1" x14ac:dyDescent="0.15">
      <c r="A219" s="12" t="s">
        <v>444</v>
      </c>
      <c r="B219" s="13" t="s">
        <v>2384</v>
      </c>
      <c r="C219" s="13" t="s">
        <v>27</v>
      </c>
      <c r="D219" s="13" t="s">
        <v>55</v>
      </c>
      <c r="E219" s="13" t="s">
        <v>112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5">
        <v>0</v>
      </c>
      <c r="N219" s="670"/>
      <c r="O219" s="14"/>
      <c r="P219" s="15"/>
      <c r="Q219" s="15" t="str">
        <f>IF(ISTEXT('Incurred 2.5% cpi'!Q219),"",'Incurred 2.5% cpi'!Q219/'Incurred 2.5% cpi'!Q$17*Incurred!Q$17)</f>
        <v/>
      </c>
      <c r="R219" s="110" t="str">
        <f>IF(ISTEXT('Incurred 2.5% cpi'!R219),"",'Incurred 2.5% cpi'!R219/'Incurred 2.5% cpi'!R$17*Incurred!R$17*BG219)</f>
        <v/>
      </c>
      <c r="S219" s="102" t="str">
        <f>IF(ISTEXT('Incurred 2.5% cpi'!S219),"",'Incurred 2.5% cpi'!S219/'Incurred 2.5% cpi'!S$17*Incurred!S$17*BH219)</f>
        <v/>
      </c>
      <c r="T219" s="16" t="str">
        <f>IF(ISTEXT('Incurred 2.5% cpi'!T219),"",'Incurred 2.5% cpi'!T219/'Incurred 2.5% cpi'!T$17*Incurred!T$17*BI219)</f>
        <v/>
      </c>
      <c r="U219" s="16" t="str">
        <f>IF(ISTEXT('Incurred 2.5% cpi'!U219),"",'Incurred 2.5% cpi'!U219/'Incurred 2.5% cpi'!U$17*Incurred!U$17*BJ219)</f>
        <v/>
      </c>
      <c r="V219" s="16" t="str">
        <f>IF(ISTEXT('Incurred 2.5% cpi'!V219),"",'Incurred 2.5% cpi'!V219/'Incurred 2.5% cpi'!V$17*Incurred!V$17*BK219)</f>
        <v/>
      </c>
      <c r="W219" s="110">
        <f>IF(ISTEXT('Incurred 2.5% cpi'!W219),"",'Incurred 2.5% cpi'!W219/'Incurred 2.5% cpi'!W$17*Incurred!W$17*BL219)</f>
        <v>741824.47876768862</v>
      </c>
      <c r="X219" s="102">
        <f>IF(ISTEXT('Incurred 2.5% cpi'!X219),"",'Incurred 2.5% cpi'!X219/'Incurred 2.5% cpi'!X$17*Incurred!X$17*BM219)</f>
        <v>710038.39324753953</v>
      </c>
      <c r="Y219" s="80">
        <f t="shared" si="353"/>
        <v>741824.47876768862</v>
      </c>
      <c r="Z219" s="80">
        <f t="shared" si="369"/>
        <v>741824.47876768862</v>
      </c>
      <c r="AA219" s="566">
        <f t="shared" si="362"/>
        <v>741824.47876768862</v>
      </c>
      <c r="AB219" s="566">
        <f t="shared" si="370"/>
        <v>741824.47876768862</v>
      </c>
      <c r="AC219" s="567">
        <f t="shared" si="339"/>
        <v>1</v>
      </c>
      <c r="AD219" s="568" t="str">
        <f t="shared" si="379"/>
        <v>2024</v>
      </c>
      <c r="AE219" s="569">
        <v>45386</v>
      </c>
      <c r="AF219" s="568">
        <v>2024</v>
      </c>
      <c r="AG219" s="569"/>
      <c r="AH219" s="566">
        <f t="shared" si="349"/>
        <v>655664.74621251679</v>
      </c>
      <c r="AI219" s="80">
        <f t="shared" si="371"/>
        <v>710038.39324753953</v>
      </c>
      <c r="AJ219" s="571" t="s">
        <v>3035</v>
      </c>
      <c r="AK219" s="875">
        <f t="shared" si="310"/>
        <v>287760.00000000023</v>
      </c>
      <c r="AL219" s="28">
        <f t="shared" ref="AL219:AU222" si="381">IF($AK219=0,VLOOKUP(MID($A219,4,5),ProjectSplits,AL$23,FALSE),IF(ISNA(VLOOKUP($A219,Estimates,AL$22,FALSE)),VLOOKUP(MID($A219,4,5),ProjectSplits,AL$23,FALSE),VLOOKUP($A219,Estimates,AL$22,FALSE)))</f>
        <v>0</v>
      </c>
      <c r="AM219" s="28">
        <f t="shared" si="381"/>
        <v>0</v>
      </c>
      <c r="AN219" s="28">
        <f t="shared" si="381"/>
        <v>0</v>
      </c>
      <c r="AO219" s="28">
        <f t="shared" si="381"/>
        <v>1</v>
      </c>
      <c r="AP219" s="28">
        <f t="shared" si="381"/>
        <v>0</v>
      </c>
      <c r="AQ219" s="28">
        <f t="shared" si="381"/>
        <v>0</v>
      </c>
      <c r="AR219" s="28">
        <f t="shared" si="381"/>
        <v>0</v>
      </c>
      <c r="AS219" s="28">
        <f t="shared" si="381"/>
        <v>0</v>
      </c>
      <c r="AT219" s="28">
        <f t="shared" si="381"/>
        <v>0</v>
      </c>
      <c r="AU219" s="28">
        <f t="shared" si="381"/>
        <v>0</v>
      </c>
      <c r="AV219" s="28">
        <f t="shared" ref="AV219:BE222" si="382">IF($AK219=0,VLOOKUP(MID($A219,4,5),ProjectSplits,AV$23,FALSE),IF(ISNA(VLOOKUP($A219,Estimates,AV$22,FALSE)),VLOOKUP(MID($A219,4,5),ProjectSplits,AV$23,FALSE),VLOOKUP($A219,Estimates,AV$22,FALSE)))</f>
        <v>0</v>
      </c>
      <c r="AW219" s="28">
        <f t="shared" si="382"/>
        <v>0</v>
      </c>
      <c r="AX219" s="28">
        <f t="shared" si="382"/>
        <v>0</v>
      </c>
      <c r="AY219" s="28">
        <f t="shared" si="382"/>
        <v>0</v>
      </c>
      <c r="AZ219" s="28">
        <f t="shared" si="382"/>
        <v>0</v>
      </c>
      <c r="BA219" s="28">
        <f t="shared" si="382"/>
        <v>0</v>
      </c>
      <c r="BB219" s="28">
        <f t="shared" si="382"/>
        <v>0</v>
      </c>
      <c r="BC219" s="28">
        <f t="shared" si="382"/>
        <v>0</v>
      </c>
      <c r="BD219" s="28">
        <f t="shared" si="382"/>
        <v>0</v>
      </c>
      <c r="BE219" s="28">
        <f t="shared" si="382"/>
        <v>0</v>
      </c>
      <c r="BF219" s="27">
        <f t="shared" ref="BF219:BF222" si="383">SUM(AL219:BD219)</f>
        <v>1</v>
      </c>
      <c r="BG219" s="520">
        <f t="shared" si="343"/>
        <v>1.0045071410937858</v>
      </c>
      <c r="BH219" s="520">
        <f t="shared" si="372"/>
        <v>1.0086129922302731</v>
      </c>
      <c r="BI219" s="520">
        <f t="shared" si="373"/>
        <v>1.0130566316218048</v>
      </c>
      <c r="BJ219" s="520">
        <f t="shared" si="374"/>
        <v>1.0181895556117053</v>
      </c>
      <c r="BK219" s="520">
        <f t="shared" si="375"/>
        <v>1.0256676055468461</v>
      </c>
      <c r="BL219" s="520">
        <f t="shared" si="376"/>
        <v>1.0340790841541121</v>
      </c>
      <c r="BM219" s="520">
        <f t="shared" si="377"/>
        <v>1.039710340716971</v>
      </c>
      <c r="BN219" s="521" t="str">
        <f t="shared" si="378"/>
        <v>Project</v>
      </c>
      <c r="BP219" s="3"/>
    </row>
    <row r="220" spans="1:68" hidden="1" x14ac:dyDescent="0.15">
      <c r="A220" s="12" t="s">
        <v>445</v>
      </c>
      <c r="B220" s="13" t="s">
        <v>2314</v>
      </c>
      <c r="C220" s="13" t="s">
        <v>27</v>
      </c>
      <c r="D220" s="13" t="s">
        <v>55</v>
      </c>
      <c r="E220" s="13" t="s">
        <v>112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5">
        <v>0</v>
      </c>
      <c r="N220" s="670"/>
      <c r="O220" s="14"/>
      <c r="P220" s="15"/>
      <c r="Q220" s="15" t="str">
        <f>IF(ISTEXT('Incurred 2.5% cpi'!Q220),"",'Incurred 2.5% cpi'!Q220/'Incurred 2.5% cpi'!Q$17*Incurred!Q$17)</f>
        <v/>
      </c>
      <c r="R220" s="110" t="str">
        <f>IF(ISTEXT('Incurred 2.5% cpi'!R220),"",'Incurred 2.5% cpi'!R220/'Incurred 2.5% cpi'!R$17*Incurred!R$17*BG220)</f>
        <v/>
      </c>
      <c r="S220" s="102" t="str">
        <f>IF(ISTEXT('Incurred 2.5% cpi'!S220),"",'Incurred 2.5% cpi'!S220/'Incurred 2.5% cpi'!S$17*Incurred!S$17*BH220)</f>
        <v/>
      </c>
      <c r="T220" s="16">
        <f>IF(ISTEXT('Incurred 2.5% cpi'!T220),"",'Incurred 2.5% cpi'!T220/'Incurred 2.5% cpi'!T$17*Incurred!T$17*BI220)</f>
        <v>26027.984161178229</v>
      </c>
      <c r="U220" s="16">
        <f>IF(ISTEXT('Incurred 2.5% cpi'!U220),"",'Incurred 2.5% cpi'!U220/'Incurred 2.5% cpi'!U$17*Incurred!U$17*BJ220)</f>
        <v>1088169.2665525556</v>
      </c>
      <c r="V220" s="16">
        <f>IF(ISTEXT('Incurred 2.5% cpi'!V220),"",'Incurred 2.5% cpi'!V220/'Incurred 2.5% cpi'!V$17*Incurred!V$17*BK220)</f>
        <v>1591769.0803410981</v>
      </c>
      <c r="W220" s="110" t="str">
        <f>IF(ISTEXT('Incurred 2.5% cpi'!W220),"",'Incurred 2.5% cpi'!W220/'Incurred 2.5% cpi'!W$17*Incurred!W$17*BL220)</f>
        <v/>
      </c>
      <c r="X220" s="102" t="str">
        <f>IF(ISTEXT('Incurred 2.5% cpi'!X220),"",'Incurred 2.5% cpi'!X220/'Incurred 2.5% cpi'!X$17*Incurred!X$17*BM220)</f>
        <v/>
      </c>
      <c r="Y220" s="80">
        <f t="shared" si="353"/>
        <v>2705966.3310548319</v>
      </c>
      <c r="Z220" s="80">
        <f t="shared" si="369"/>
        <v>2705966.3310548319</v>
      </c>
      <c r="AA220" s="566">
        <f t="shared" si="362"/>
        <v>2802850.4351522252</v>
      </c>
      <c r="AB220" s="566">
        <f t="shared" si="370"/>
        <v>2734488.2294168053</v>
      </c>
      <c r="AC220" s="567">
        <f t="shared" si="339"/>
        <v>1.0249999999999999</v>
      </c>
      <c r="AD220" s="568" t="str">
        <f t="shared" si="379"/>
        <v>2022</v>
      </c>
      <c r="AE220" s="569">
        <v>44582</v>
      </c>
      <c r="AF220" s="568">
        <v>2022</v>
      </c>
      <c r="AG220" s="569"/>
      <c r="AH220" s="566">
        <f t="shared" si="349"/>
        <v>2477311.3746374953</v>
      </c>
      <c r="AI220" s="80">
        <f t="shared" si="371"/>
        <v>1591769.0803410981</v>
      </c>
      <c r="AJ220" s="571" t="s">
        <v>3035</v>
      </c>
      <c r="AK220" s="875">
        <f t="shared" si="310"/>
        <v>459999.99999999948</v>
      </c>
      <c r="AL220" s="28">
        <f t="shared" si="381"/>
        <v>0</v>
      </c>
      <c r="AM220" s="28">
        <f t="shared" si="381"/>
        <v>0</v>
      </c>
      <c r="AN220" s="28">
        <f t="shared" si="381"/>
        <v>0</v>
      </c>
      <c r="AO220" s="28">
        <f t="shared" si="381"/>
        <v>1</v>
      </c>
      <c r="AP220" s="28">
        <f t="shared" si="381"/>
        <v>0</v>
      </c>
      <c r="AQ220" s="28">
        <f t="shared" si="381"/>
        <v>0</v>
      </c>
      <c r="AR220" s="28">
        <f t="shared" si="381"/>
        <v>0</v>
      </c>
      <c r="AS220" s="28">
        <f t="shared" si="381"/>
        <v>0</v>
      </c>
      <c r="AT220" s="28">
        <f t="shared" si="381"/>
        <v>0</v>
      </c>
      <c r="AU220" s="28">
        <f t="shared" si="381"/>
        <v>0</v>
      </c>
      <c r="AV220" s="28">
        <f t="shared" si="382"/>
        <v>0</v>
      </c>
      <c r="AW220" s="28">
        <f t="shared" si="382"/>
        <v>0</v>
      </c>
      <c r="AX220" s="28">
        <f t="shared" si="382"/>
        <v>0</v>
      </c>
      <c r="AY220" s="28">
        <f t="shared" si="382"/>
        <v>0</v>
      </c>
      <c r="AZ220" s="28">
        <f t="shared" si="382"/>
        <v>0</v>
      </c>
      <c r="BA220" s="28">
        <f t="shared" si="382"/>
        <v>0</v>
      </c>
      <c r="BB220" s="28">
        <f t="shared" si="382"/>
        <v>0</v>
      </c>
      <c r="BC220" s="28">
        <f t="shared" si="382"/>
        <v>0</v>
      </c>
      <c r="BD220" s="28">
        <f t="shared" si="382"/>
        <v>0</v>
      </c>
      <c r="BE220" s="28">
        <f t="shared" si="382"/>
        <v>0</v>
      </c>
      <c r="BF220" s="27">
        <f t="shared" si="383"/>
        <v>1</v>
      </c>
      <c r="BG220" s="520">
        <f t="shared" si="343"/>
        <v>1.0047443590460903</v>
      </c>
      <c r="BH220" s="520">
        <f t="shared" si="372"/>
        <v>1.0090663076108137</v>
      </c>
      <c r="BI220" s="520">
        <f t="shared" si="373"/>
        <v>1.0137438227597946</v>
      </c>
      <c r="BJ220" s="520">
        <f t="shared" si="374"/>
        <v>1.0191469006439002</v>
      </c>
      <c r="BK220" s="520">
        <f t="shared" si="375"/>
        <v>1.0270185321545748</v>
      </c>
      <c r="BL220" s="520">
        <f t="shared" si="376"/>
        <v>1.0358727201622233</v>
      </c>
      <c r="BM220" s="520">
        <f t="shared" si="377"/>
        <v>1.0418003586494431</v>
      </c>
      <c r="BN220" s="521" t="str">
        <f t="shared" si="378"/>
        <v>Project</v>
      </c>
      <c r="BP220" s="3"/>
    </row>
    <row r="221" spans="1:68" hidden="1" x14ac:dyDescent="0.15">
      <c r="A221" s="12" t="s">
        <v>446</v>
      </c>
      <c r="B221" s="13" t="s">
        <v>2315</v>
      </c>
      <c r="C221" s="13" t="s">
        <v>27</v>
      </c>
      <c r="D221" s="13" t="s">
        <v>55</v>
      </c>
      <c r="E221" s="13" t="s">
        <v>112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5">
        <v>0</v>
      </c>
      <c r="N221" s="670"/>
      <c r="O221" s="14"/>
      <c r="P221" s="15"/>
      <c r="Q221" s="15" t="str">
        <f>IF(ISTEXT('Incurred 2.5% cpi'!Q221),"",'Incurred 2.5% cpi'!Q221/'Incurred 2.5% cpi'!Q$17*Incurred!Q$17)</f>
        <v/>
      </c>
      <c r="R221" s="110" t="str">
        <f>IF(ISTEXT('Incurred 2.5% cpi'!R221),"",'Incurred 2.5% cpi'!R221/'Incurred 2.5% cpi'!R$17*Incurred!R$17*BG221)</f>
        <v/>
      </c>
      <c r="S221" s="102" t="str">
        <f>IF(ISTEXT('Incurred 2.5% cpi'!S221),"",'Incurred 2.5% cpi'!S221/'Incurred 2.5% cpi'!S$17*Incurred!S$17*BH221)</f>
        <v/>
      </c>
      <c r="T221" s="16">
        <f>IF(ISTEXT('Incurred 2.5% cpi'!T221),"",'Incurred 2.5% cpi'!T221/'Incurred 2.5% cpi'!T$17*Incurred!T$17*BI221)</f>
        <v>80203.936872544611</v>
      </c>
      <c r="U221" s="16">
        <f>IF(ISTEXT('Incurred 2.5% cpi'!U221),"",'Incurred 2.5% cpi'!U221/'Incurred 2.5% cpi'!U$17*Incurred!U$17*BJ221)</f>
        <v>701147.48478648171</v>
      </c>
      <c r="V221" s="16">
        <f>IF(ISTEXT('Incurred 2.5% cpi'!V221),"",'Incurred 2.5% cpi'!V221/'Incurred 2.5% cpi'!V$17*Incurred!V$17*BK221)</f>
        <v>934696.7273968393</v>
      </c>
      <c r="W221" s="110">
        <f>IF(ISTEXT('Incurred 2.5% cpi'!W221),"",'Incurred 2.5% cpi'!W221/'Incurred 2.5% cpi'!W$17*Incurred!W$17*BL221)</f>
        <v>856823.33571245219</v>
      </c>
      <c r="X221" s="102">
        <f>IF(ISTEXT('Incurred 2.5% cpi'!X221),"",'Incurred 2.5% cpi'!X221/'Incurred 2.5% cpi'!X$17*Incurred!X$17*BM221)</f>
        <v>6883.2639258030767</v>
      </c>
      <c r="Y221" s="80">
        <f t="shared" si="353"/>
        <v>2572871.484768318</v>
      </c>
      <c r="Z221" s="80">
        <f t="shared" si="369"/>
        <v>2572871.484768318</v>
      </c>
      <c r="AA221" s="566">
        <f t="shared" si="362"/>
        <v>2637901.4252041448</v>
      </c>
      <c r="AB221" s="566">
        <f t="shared" si="370"/>
        <v>2637901.4252041448</v>
      </c>
      <c r="AC221" s="567">
        <f t="shared" si="339"/>
        <v>1</v>
      </c>
      <c r="AD221" s="568" t="str">
        <f t="shared" si="379"/>
        <v>2024</v>
      </c>
      <c r="AE221" s="569">
        <v>44993</v>
      </c>
      <c r="AF221" s="568">
        <v>2023</v>
      </c>
      <c r="AG221" s="569"/>
      <c r="AH221" s="566">
        <f t="shared" si="349"/>
        <v>2331520.4849579395</v>
      </c>
      <c r="AI221" s="80">
        <f t="shared" si="371"/>
        <v>6883.2639258030767</v>
      </c>
      <c r="AJ221" s="571" t="s">
        <v>3035</v>
      </c>
      <c r="AK221" s="875">
        <f t="shared" si="310"/>
        <v>432300.00000000058</v>
      </c>
      <c r="AL221" s="28">
        <f t="shared" si="381"/>
        <v>0</v>
      </c>
      <c r="AM221" s="28">
        <f t="shared" si="381"/>
        <v>0</v>
      </c>
      <c r="AN221" s="28">
        <f t="shared" si="381"/>
        <v>0</v>
      </c>
      <c r="AO221" s="28">
        <f t="shared" si="381"/>
        <v>1</v>
      </c>
      <c r="AP221" s="28">
        <f t="shared" si="381"/>
        <v>0</v>
      </c>
      <c r="AQ221" s="28">
        <f t="shared" si="381"/>
        <v>0</v>
      </c>
      <c r="AR221" s="28">
        <f t="shared" si="381"/>
        <v>0</v>
      </c>
      <c r="AS221" s="28">
        <f t="shared" si="381"/>
        <v>0</v>
      </c>
      <c r="AT221" s="28">
        <f t="shared" si="381"/>
        <v>0</v>
      </c>
      <c r="AU221" s="28">
        <f t="shared" si="381"/>
        <v>0</v>
      </c>
      <c r="AV221" s="28">
        <f t="shared" si="382"/>
        <v>0</v>
      </c>
      <c r="AW221" s="28">
        <f t="shared" si="382"/>
        <v>0</v>
      </c>
      <c r="AX221" s="28">
        <f t="shared" si="382"/>
        <v>0</v>
      </c>
      <c r="AY221" s="28">
        <f t="shared" si="382"/>
        <v>0</v>
      </c>
      <c r="AZ221" s="28">
        <f t="shared" si="382"/>
        <v>0</v>
      </c>
      <c r="BA221" s="28">
        <f t="shared" si="382"/>
        <v>0</v>
      </c>
      <c r="BB221" s="28">
        <f t="shared" si="382"/>
        <v>0</v>
      </c>
      <c r="BC221" s="28">
        <f t="shared" si="382"/>
        <v>0</v>
      </c>
      <c r="BD221" s="28">
        <f t="shared" si="382"/>
        <v>0</v>
      </c>
      <c r="BE221" s="28">
        <f t="shared" si="382"/>
        <v>0</v>
      </c>
      <c r="BF221" s="27">
        <f t="shared" si="383"/>
        <v>1</v>
      </c>
      <c r="BG221" s="520">
        <f t="shared" si="343"/>
        <v>1.0047448133904682</v>
      </c>
      <c r="BH221" s="520">
        <f t="shared" si="372"/>
        <v>1.0090671758473557</v>
      </c>
      <c r="BI221" s="520">
        <f t="shared" si="373"/>
        <v>1.0137451389393968</v>
      </c>
      <c r="BJ221" s="520">
        <f t="shared" si="374"/>
        <v>1.0191487342502059</v>
      </c>
      <c r="BK221" s="520">
        <f t="shared" si="375"/>
        <v>1.0270211195890555</v>
      </c>
      <c r="BL221" s="520">
        <f t="shared" si="376"/>
        <v>1.0358761555195748</v>
      </c>
      <c r="BM221" s="520">
        <f t="shared" si="377"/>
        <v>1.0418043616681363</v>
      </c>
      <c r="BN221" s="521" t="str">
        <f t="shared" si="378"/>
        <v>Project</v>
      </c>
      <c r="BP221" s="3"/>
    </row>
    <row r="222" spans="1:68" hidden="1" x14ac:dyDescent="0.15">
      <c r="A222" s="12" t="s">
        <v>447</v>
      </c>
      <c r="B222" s="13" t="s">
        <v>2317</v>
      </c>
      <c r="C222" s="13" t="s">
        <v>27</v>
      </c>
      <c r="D222" s="13" t="s">
        <v>55</v>
      </c>
      <c r="E222" s="13" t="s">
        <v>112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5">
        <v>0</v>
      </c>
      <c r="N222" s="670"/>
      <c r="O222" s="14"/>
      <c r="P222" s="15"/>
      <c r="Q222" s="15" t="str">
        <f>IF(ISTEXT('Incurred 2.5% cpi'!Q222),"",'Incurred 2.5% cpi'!Q222/'Incurred 2.5% cpi'!Q$17*Incurred!Q$17)</f>
        <v/>
      </c>
      <c r="R222" s="110" t="str">
        <f>IF(ISTEXT('Incurred 2.5% cpi'!R222),"",'Incurred 2.5% cpi'!R222/'Incurred 2.5% cpi'!R$17*Incurred!R$17*BG222)</f>
        <v/>
      </c>
      <c r="S222" s="102" t="str">
        <f>IF(ISTEXT('Incurred 2.5% cpi'!S222),"",'Incurred 2.5% cpi'!S222/'Incurred 2.5% cpi'!S$17*Incurred!S$17*BH222)</f>
        <v/>
      </c>
      <c r="T222" s="16" t="str">
        <f>IF(ISTEXT('Incurred 2.5% cpi'!T222),"",'Incurred 2.5% cpi'!T222/'Incurred 2.5% cpi'!T$17*Incurred!T$17*BI222)</f>
        <v/>
      </c>
      <c r="U222" s="16" t="str">
        <f>IF(ISTEXT('Incurred 2.5% cpi'!U222),"",'Incurred 2.5% cpi'!U222/'Incurred 2.5% cpi'!U$17*Incurred!U$17*BJ222)</f>
        <v/>
      </c>
      <c r="V222" s="16">
        <f>IF(ISTEXT('Incurred 2.5% cpi'!V222),"",'Incurred 2.5% cpi'!V222/'Incurred 2.5% cpi'!V$17*Incurred!V$17*BK222)</f>
        <v>247307.58253024923</v>
      </c>
      <c r="W222" s="110">
        <f>IF(ISTEXT('Incurred 2.5% cpi'!W222),"",'Incurred 2.5% cpi'!W222/'Incurred 2.5% cpi'!W$17*Incurred!W$17*BL222)</f>
        <v>238422.16257249823</v>
      </c>
      <c r="X222" s="102" t="str">
        <f>IF(ISTEXT('Incurred 2.5% cpi'!X222),"",'Incurred 2.5% cpi'!X222/'Incurred 2.5% cpi'!X$17*Incurred!X$17*BM222)</f>
        <v/>
      </c>
      <c r="Y222" s="80">
        <f t="shared" si="353"/>
        <v>485729.74510274746</v>
      </c>
      <c r="Z222" s="80">
        <f t="shared" si="369"/>
        <v>485729.74510274746</v>
      </c>
      <c r="AA222" s="566">
        <f t="shared" si="362"/>
        <v>491912.43466600368</v>
      </c>
      <c r="AB222" s="566">
        <f t="shared" si="370"/>
        <v>491912.43466600368</v>
      </c>
      <c r="AC222" s="567">
        <f t="shared" si="339"/>
        <v>1</v>
      </c>
      <c r="AD222" s="568" t="str">
        <f t="shared" ref="AD222:AD260" si="384">IF(AI222=0,"",INDEX($F$24:$W$24,1,MATCH(AI222,F222:W222,0)))</f>
        <v>2023</v>
      </c>
      <c r="AE222" s="569">
        <v>45020</v>
      </c>
      <c r="AF222" s="568">
        <v>2023</v>
      </c>
      <c r="AG222" s="569"/>
      <c r="AH222" s="566">
        <f t="shared" si="349"/>
        <v>434778.91450798383</v>
      </c>
      <c r="AI222" s="80">
        <f t="shared" si="371"/>
        <v>238422.16257249823</v>
      </c>
      <c r="AJ222" s="571" t="s">
        <v>3035</v>
      </c>
      <c r="AK222" s="875">
        <f t="shared" si="310"/>
        <v>80000</v>
      </c>
      <c r="AL222" s="28">
        <f t="shared" si="381"/>
        <v>0</v>
      </c>
      <c r="AM222" s="28">
        <f t="shared" si="381"/>
        <v>0</v>
      </c>
      <c r="AN222" s="28">
        <f t="shared" si="381"/>
        <v>0</v>
      </c>
      <c r="AO222" s="28">
        <f t="shared" si="381"/>
        <v>1</v>
      </c>
      <c r="AP222" s="28">
        <f t="shared" si="381"/>
        <v>0</v>
      </c>
      <c r="AQ222" s="28">
        <f t="shared" si="381"/>
        <v>0</v>
      </c>
      <c r="AR222" s="28">
        <f t="shared" si="381"/>
        <v>0</v>
      </c>
      <c r="AS222" s="28">
        <f t="shared" si="381"/>
        <v>0</v>
      </c>
      <c r="AT222" s="28">
        <f t="shared" si="381"/>
        <v>0</v>
      </c>
      <c r="AU222" s="28">
        <f t="shared" si="381"/>
        <v>0</v>
      </c>
      <c r="AV222" s="28">
        <f t="shared" si="382"/>
        <v>0</v>
      </c>
      <c r="AW222" s="28">
        <f t="shared" si="382"/>
        <v>0</v>
      </c>
      <c r="AX222" s="28">
        <f t="shared" si="382"/>
        <v>0</v>
      </c>
      <c r="AY222" s="28">
        <f t="shared" si="382"/>
        <v>0</v>
      </c>
      <c r="AZ222" s="28">
        <f t="shared" si="382"/>
        <v>0</v>
      </c>
      <c r="BA222" s="28">
        <f t="shared" si="382"/>
        <v>0</v>
      </c>
      <c r="BB222" s="28">
        <f t="shared" si="382"/>
        <v>0</v>
      </c>
      <c r="BC222" s="28">
        <f t="shared" si="382"/>
        <v>0</v>
      </c>
      <c r="BD222" s="28">
        <f t="shared" si="382"/>
        <v>0</v>
      </c>
      <c r="BE222" s="28">
        <f t="shared" si="382"/>
        <v>0</v>
      </c>
      <c r="BF222" s="27">
        <f t="shared" si="383"/>
        <v>1</v>
      </c>
      <c r="BG222" s="520">
        <f t="shared" si="343"/>
        <v>1.0047443590460903</v>
      </c>
      <c r="BH222" s="520">
        <f t="shared" si="372"/>
        <v>1.0090663076108137</v>
      </c>
      <c r="BI222" s="520">
        <f t="shared" si="373"/>
        <v>1.0137438227597946</v>
      </c>
      <c r="BJ222" s="520">
        <f t="shared" si="374"/>
        <v>1.0191469006439002</v>
      </c>
      <c r="BK222" s="520">
        <f t="shared" si="375"/>
        <v>1.0270185321545748</v>
      </c>
      <c r="BL222" s="520">
        <f t="shared" si="376"/>
        <v>1.0358727201622233</v>
      </c>
      <c r="BM222" s="520">
        <f t="shared" si="377"/>
        <v>1.0418003586494431</v>
      </c>
      <c r="BN222" s="521" t="str">
        <f t="shared" si="378"/>
        <v>Project</v>
      </c>
      <c r="BP222" s="3"/>
    </row>
    <row r="223" spans="1:68" hidden="1" x14ac:dyDescent="0.15">
      <c r="A223" s="12" t="s">
        <v>449</v>
      </c>
      <c r="B223" s="13" t="s">
        <v>2318</v>
      </c>
      <c r="C223" s="13" t="s">
        <v>27</v>
      </c>
      <c r="D223" s="13" t="s">
        <v>40</v>
      </c>
      <c r="E223" s="13" t="s">
        <v>112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5">
        <v>0</v>
      </c>
      <c r="N223" s="670"/>
      <c r="O223" s="14"/>
      <c r="P223" s="15"/>
      <c r="Q223" s="15" t="str">
        <f>IF(ISTEXT('Incurred 2.5% cpi'!Q223),"",'Incurred 2.5% cpi'!Q223/'Incurred 2.5% cpi'!Q$17*Incurred!Q$17)</f>
        <v/>
      </c>
      <c r="R223" s="110" t="str">
        <f>IF(ISTEXT('Incurred 2.5% cpi'!R223),"",'Incurred 2.5% cpi'!R223/'Incurred 2.5% cpi'!R$17*Incurred!R$17*BG223)</f>
        <v/>
      </c>
      <c r="S223" s="102" t="str">
        <f>IF(ISTEXT('Incurred 2.5% cpi'!S223),"",'Incurred 2.5% cpi'!S223/'Incurred 2.5% cpi'!S$17*Incurred!S$17*BH223)</f>
        <v/>
      </c>
      <c r="T223" s="16">
        <f>IF(ISTEXT('Incurred 2.5% cpi'!T223),"",'Incurred 2.5% cpi'!T223/'Incurred 2.5% cpi'!T$17*Incurred!T$17*BI223)</f>
        <v>154036.44898832982</v>
      </c>
      <c r="U223" s="16">
        <f>IF(ISTEXT('Incurred 2.5% cpi'!U223),"",'Incurred 2.5% cpi'!U223/'Incurred 2.5% cpi'!U$17*Incurred!U$17*BJ223)</f>
        <v>368302.51259460626</v>
      </c>
      <c r="V223" s="16">
        <f>IF(ISTEXT('Incurred 2.5% cpi'!V223),"",'Incurred 2.5% cpi'!V223/'Incurred 2.5% cpi'!V$17*Incurred!V$17*BK223)</f>
        <v>277465.74265757692</v>
      </c>
      <c r="W223" s="110">
        <f>IF(ISTEXT('Incurred 2.5% cpi'!W223),"",'Incurred 2.5% cpi'!W223/'Incurred 2.5% cpi'!W$17*Incurred!W$17*BL223)</f>
        <v>203022.50230320467</v>
      </c>
      <c r="X223" s="102" t="str">
        <f>IF(ISTEXT('Incurred 2.5% cpi'!X223),"",'Incurred 2.5% cpi'!X223/'Incurred 2.5% cpi'!X$17*Incurred!X$17*BM223)</f>
        <v/>
      </c>
      <c r="Y223" s="80">
        <f t="shared" si="353"/>
        <v>1002827.2065437178</v>
      </c>
      <c r="Z223" s="80">
        <f t="shared" si="369"/>
        <v>1002827.2065437178</v>
      </c>
      <c r="AA223" s="566">
        <f t="shared" si="362"/>
        <v>1040253.1236457522</v>
      </c>
      <c r="AB223" s="566">
        <f t="shared" si="370"/>
        <v>1040253.1236457522</v>
      </c>
      <c r="AC223" s="567">
        <f t="shared" si="339"/>
        <v>1</v>
      </c>
      <c r="AD223" s="568" t="str">
        <f t="shared" si="384"/>
        <v>2023</v>
      </c>
      <c r="AE223" s="569">
        <v>44922</v>
      </c>
      <c r="AF223" s="568">
        <v>2023</v>
      </c>
      <c r="AG223" s="569"/>
      <c r="AH223" s="566">
        <f t="shared" si="349"/>
        <v>919432.18353349133</v>
      </c>
      <c r="AI223" s="80">
        <f t="shared" si="371"/>
        <v>203022.50230320467</v>
      </c>
      <c r="AJ223" s="571" t="s">
        <v>3035</v>
      </c>
      <c r="AK223" s="875">
        <f t="shared" si="310"/>
        <v>160000.00000000009</v>
      </c>
      <c r="AL223" s="28">
        <f t="shared" ref="AL223:BE223" si="385">IF($AK223=0,VLOOKUP(MID($A223,4,5),ProjectSplits,AL$23,FALSE),IF(ISNA(VLOOKUP($A223,Estimates,AL$22,FALSE)),VLOOKUP(MID($A223,4,5),ProjectSplits,AL$23,FALSE),VLOOKUP($A223,Estimates,AL$22,FALSE)))</f>
        <v>0</v>
      </c>
      <c r="AM223" s="28">
        <f t="shared" si="385"/>
        <v>0</v>
      </c>
      <c r="AN223" s="28">
        <f t="shared" si="385"/>
        <v>0</v>
      </c>
      <c r="AO223" s="28">
        <f t="shared" si="385"/>
        <v>1</v>
      </c>
      <c r="AP223" s="28">
        <f t="shared" si="385"/>
        <v>0</v>
      </c>
      <c r="AQ223" s="28">
        <f t="shared" si="385"/>
        <v>0</v>
      </c>
      <c r="AR223" s="28">
        <f t="shared" si="385"/>
        <v>0</v>
      </c>
      <c r="AS223" s="28">
        <f t="shared" si="385"/>
        <v>0</v>
      </c>
      <c r="AT223" s="28">
        <f t="shared" si="385"/>
        <v>0</v>
      </c>
      <c r="AU223" s="28">
        <f t="shared" si="385"/>
        <v>0</v>
      </c>
      <c r="AV223" s="28">
        <f t="shared" si="385"/>
        <v>0</v>
      </c>
      <c r="AW223" s="28">
        <f t="shared" si="385"/>
        <v>0</v>
      </c>
      <c r="AX223" s="28">
        <f t="shared" si="385"/>
        <v>0</v>
      </c>
      <c r="AY223" s="28">
        <f t="shared" si="385"/>
        <v>0</v>
      </c>
      <c r="AZ223" s="28">
        <f t="shared" si="385"/>
        <v>0</v>
      </c>
      <c r="BA223" s="28">
        <f t="shared" si="385"/>
        <v>0</v>
      </c>
      <c r="BB223" s="28">
        <f t="shared" si="385"/>
        <v>0</v>
      </c>
      <c r="BC223" s="28">
        <f t="shared" si="385"/>
        <v>0</v>
      </c>
      <c r="BD223" s="28">
        <f t="shared" si="385"/>
        <v>0</v>
      </c>
      <c r="BE223" s="28">
        <f t="shared" si="385"/>
        <v>0</v>
      </c>
      <c r="BF223" s="27">
        <f>SUM(AL223:BD223)</f>
        <v>1</v>
      </c>
      <c r="BG223" s="520">
        <f t="shared" si="343"/>
        <v>1.0047446842747898</v>
      </c>
      <c r="BH223" s="520">
        <f t="shared" si="372"/>
        <v>1.0090669291117176</v>
      </c>
      <c r="BI223" s="520">
        <f t="shared" si="373"/>
        <v>1.013744764907208</v>
      </c>
      <c r="BJ223" s="520">
        <f t="shared" si="374"/>
        <v>1.0191482131755907</v>
      </c>
      <c r="BK223" s="520">
        <f t="shared" si="375"/>
        <v>1.0270203842913954</v>
      </c>
      <c r="BL223" s="520">
        <f t="shared" si="376"/>
        <v>1.0358751792590195</v>
      </c>
      <c r="BM223" s="520">
        <f t="shared" si="377"/>
        <v>1.0418032240894648</v>
      </c>
      <c r="BN223" s="521" t="str">
        <f t="shared" si="378"/>
        <v>Project</v>
      </c>
      <c r="BP223" s="3"/>
    </row>
    <row r="224" spans="1:68" hidden="1" x14ac:dyDescent="0.15">
      <c r="A224" s="12" t="s">
        <v>450</v>
      </c>
      <c r="B224" s="13" t="s">
        <v>451</v>
      </c>
      <c r="C224" s="13" t="s">
        <v>27</v>
      </c>
      <c r="D224" s="13" t="s">
        <v>28</v>
      </c>
      <c r="E224" s="13" t="s">
        <v>32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5">
        <v>0</v>
      </c>
      <c r="N224" s="670">
        <v>227479.92</v>
      </c>
      <c r="O224" s="14">
        <v>915419.84</v>
      </c>
      <c r="P224" s="15">
        <v>110131.04</v>
      </c>
      <c r="Q224" s="15">
        <f>IF(ISTEXT('Incurred 2.5% cpi'!Q224),"",'Incurred 2.5% cpi'!Q224/'Incurred 2.5% cpi'!Q$17*Incurred!Q$17)</f>
        <v>-3441.67</v>
      </c>
      <c r="R224" s="110" t="str">
        <f>IF(ISTEXT('Incurred 2.5% cpi'!R224),"",'Incurred 2.5% cpi'!R224/'Incurred 2.5% cpi'!R$17*Incurred!R$17*BG224)</f>
        <v/>
      </c>
      <c r="S224" s="102" t="str">
        <f>IF(ISTEXT('Incurred 2.5% cpi'!S224),"",'Incurred 2.5% cpi'!S224/'Incurred 2.5% cpi'!S$17*Incurred!S$17*BH224)</f>
        <v/>
      </c>
      <c r="T224" s="16" t="str">
        <f>IF(ISTEXT('Incurred 2.5% cpi'!T224),"",'Incurred 2.5% cpi'!T224/'Incurred 2.5% cpi'!T$17*Incurred!T$17*BI224)</f>
        <v/>
      </c>
      <c r="U224" s="16" t="str">
        <f>IF(ISTEXT('Incurred 2.5% cpi'!U224),"",'Incurred 2.5% cpi'!U224/'Incurred 2.5% cpi'!U$17*Incurred!U$17*BJ224)</f>
        <v/>
      </c>
      <c r="V224" s="16" t="str">
        <f>IF(ISTEXT('Incurred 2.5% cpi'!V224),"",'Incurred 2.5% cpi'!V224/'Incurred 2.5% cpi'!V$17*Incurred!V$17*BK224)</f>
        <v/>
      </c>
      <c r="W224" s="110" t="str">
        <f>IF(ISTEXT('Incurred 2.5% cpi'!W224),"",'Incurred 2.5% cpi'!W224/'Incurred 2.5% cpi'!W$17*Incurred!W$17*BL224)</f>
        <v/>
      </c>
      <c r="X224" s="102" t="str">
        <f>IF(ISTEXT('Incurred 2.5% cpi'!X224),"",'Incurred 2.5% cpi'!X224/'Incurred 2.5% cpi'!X$17*Incurred!X$17*BM224)</f>
        <v/>
      </c>
      <c r="Y224" s="80">
        <f t="shared" si="353"/>
        <v>1249589.1300000001</v>
      </c>
      <c r="Z224" s="80">
        <f t="shared" si="369"/>
        <v>1256472.47</v>
      </c>
      <c r="AA224" s="566">
        <f t="shared" ref="AA224:AA239" si="386">IF(ROUND(Y224,0)=0,0,SUMPRODUCT($F$20:$W$20,F224:W224))</f>
        <v>1501398.538271745</v>
      </c>
      <c r="AB224" s="566">
        <f t="shared" si="370"/>
        <v>1294651.2541094085</v>
      </c>
      <c r="AC224" s="567">
        <f t="shared" ref="AC224:AC273" si="387">IF(AF224="","",IF(AF224&lt;AD224,INDEX($F$20:$W$20,1,MATCH(TEXT(AF224,"000"),$F$24:$W$24)),INDEX($F$20:$W$20,1,MATCH(AD224,$F$24:$W$24))))</f>
        <v>1.1596934182128902</v>
      </c>
      <c r="AD224" s="568" t="str">
        <f t="shared" si="384"/>
        <v>2017</v>
      </c>
      <c r="AE224" s="569">
        <v>41943</v>
      </c>
      <c r="AF224" s="568" t="s">
        <v>3152</v>
      </c>
      <c r="AG224" s="569"/>
      <c r="AH224" s="566">
        <f t="shared" ref="AH224:AH239" si="388">IF(ROUND(Y224,0)=0,0,SUMPRODUCT($F$19:$W$19,F224:W224))</f>
        <v>1327017.5354621436</v>
      </c>
      <c r="AI224" s="80">
        <f t="shared" si="371"/>
        <v>-3441.67</v>
      </c>
      <c r="AJ224" s="571" t="s">
        <v>0</v>
      </c>
      <c r="AK224" s="875">
        <f t="shared" ref="AK224:AK251" si="389">IF(ISNA(VLOOKUP($A224,Estimates,71,FALSE)),0,VLOOKUP($A224,Estimates,71,FALSE))</f>
        <v>0</v>
      </c>
      <c r="AL224" s="28">
        <f t="shared" ref="AL224:AU233" si="390">IF($AK224=0,VLOOKUP(MID($A224,4,5),ProjectSplits,AL$23,FALSE),IF(ISNA(VLOOKUP($A224,Estimates,AL$22,FALSE)),VLOOKUP(MID($A224,4,5),ProjectSplits,AL$23,FALSE),VLOOKUP($A224,Estimates,AL$22,FALSE)))</f>
        <v>0</v>
      </c>
      <c r="AM224" s="28">
        <f t="shared" si="390"/>
        <v>0</v>
      </c>
      <c r="AN224" s="28">
        <f t="shared" si="390"/>
        <v>0</v>
      </c>
      <c r="AO224" s="28">
        <f t="shared" si="390"/>
        <v>0</v>
      </c>
      <c r="AP224" s="28">
        <f t="shared" si="390"/>
        <v>0</v>
      </c>
      <c r="AQ224" s="28">
        <f t="shared" si="390"/>
        <v>0</v>
      </c>
      <c r="AR224" s="28">
        <f t="shared" si="390"/>
        <v>0</v>
      </c>
      <c r="AS224" s="28">
        <f t="shared" si="390"/>
        <v>0</v>
      </c>
      <c r="AT224" s="28">
        <f t="shared" si="390"/>
        <v>0</v>
      </c>
      <c r="AU224" s="28">
        <f t="shared" si="390"/>
        <v>0</v>
      </c>
      <c r="AV224" s="28">
        <f t="shared" ref="AV224:BE233" si="391">IF($AK224=0,VLOOKUP(MID($A224,4,5),ProjectSplits,AV$23,FALSE),IF(ISNA(VLOOKUP($A224,Estimates,AV$22,FALSE)),VLOOKUP(MID($A224,4,5),ProjectSplits,AV$23,FALSE),VLOOKUP($A224,Estimates,AV$22,FALSE)))</f>
        <v>0</v>
      </c>
      <c r="AW224" s="28">
        <f t="shared" si="391"/>
        <v>0</v>
      </c>
      <c r="AX224" s="28">
        <f t="shared" si="391"/>
        <v>0</v>
      </c>
      <c r="AY224" s="28">
        <f t="shared" si="391"/>
        <v>0</v>
      </c>
      <c r="AZ224" s="28">
        <f t="shared" si="391"/>
        <v>1</v>
      </c>
      <c r="BA224" s="28">
        <f t="shared" si="391"/>
        <v>0</v>
      </c>
      <c r="BB224" s="28">
        <f t="shared" si="391"/>
        <v>0</v>
      </c>
      <c r="BC224" s="28">
        <f t="shared" si="391"/>
        <v>0</v>
      </c>
      <c r="BD224" s="28">
        <f t="shared" si="391"/>
        <v>0</v>
      </c>
      <c r="BE224" s="28">
        <f t="shared" si="391"/>
        <v>0</v>
      </c>
      <c r="BF224" s="27">
        <f t="shared" ref="BF224:BF239" si="392">SUM(AL224:BD224)</f>
        <v>1</v>
      </c>
      <c r="BG224" s="520">
        <f t="shared" ref="BG224:BG274" si="393">1+IF(ISNA(VLOOKUP($A224,ProjLabEsc,7,FALSE)),VLOOKUP(D224,CatLabEsc,4,FALSE),VLOOKUP(A224,ProjLabEsc,7,FALSE))*Labesc18*LabIn</f>
        <v>1.0030444840366091</v>
      </c>
      <c r="BH224" s="520">
        <f t="shared" si="372"/>
        <v>1.0058179046998681</v>
      </c>
      <c r="BI224" s="520">
        <f t="shared" si="373"/>
        <v>1.0088194946014175</v>
      </c>
      <c r="BJ224" s="520">
        <f t="shared" si="374"/>
        <v>1.0122866825201464</v>
      </c>
      <c r="BK224" s="520">
        <f t="shared" si="375"/>
        <v>1.0173379563051834</v>
      </c>
      <c r="BL224" s="520">
        <f t="shared" si="376"/>
        <v>1.023019742566414</v>
      </c>
      <c r="BM224" s="520">
        <f t="shared" si="377"/>
        <v>1.026823544212498</v>
      </c>
      <c r="BN224" s="521" t="str">
        <f t="shared" si="378"/>
        <v>Category</v>
      </c>
      <c r="BP224" s="3"/>
    </row>
    <row r="225" spans="1:68" x14ac:dyDescent="0.15">
      <c r="A225" s="12" t="s">
        <v>452</v>
      </c>
      <c r="B225" s="13" t="s">
        <v>2385</v>
      </c>
      <c r="C225" s="13" t="s">
        <v>27</v>
      </c>
      <c r="D225" s="13" t="s">
        <v>55</v>
      </c>
      <c r="E225" s="13" t="s">
        <v>32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5">
        <v>0</v>
      </c>
      <c r="N225" s="670"/>
      <c r="O225" s="14">
        <v>290805.39</v>
      </c>
      <c r="P225" s="15">
        <v>29718.66</v>
      </c>
      <c r="Q225" s="15">
        <f>IF(ISTEXT('Incurred 2.5% cpi'!Q225),"",'Incurred 2.5% cpi'!Q225/'Incurred 2.5% cpi'!Q$17*Incurred!Q$17)</f>
        <v>-320524.05</v>
      </c>
      <c r="R225" s="110" t="str">
        <f>IF(ISTEXT('Incurred 2.5% cpi'!R225),"",'Incurred 2.5% cpi'!R225/'Incurred 2.5% cpi'!R$17*Incurred!R$17*BG225)</f>
        <v/>
      </c>
      <c r="S225" s="102" t="str">
        <f>IF(ISTEXT('Incurred 2.5% cpi'!S225),"",'Incurred 2.5% cpi'!S225/'Incurred 2.5% cpi'!S$17*Incurred!S$17*BH225)</f>
        <v/>
      </c>
      <c r="T225" s="16" t="str">
        <f>IF(ISTEXT('Incurred 2.5% cpi'!T225),"",'Incurred 2.5% cpi'!T225/'Incurred 2.5% cpi'!T$17*Incurred!T$17*BI225)</f>
        <v/>
      </c>
      <c r="U225" s="16" t="str">
        <f>IF(ISTEXT('Incurred 2.5% cpi'!U225),"",'Incurred 2.5% cpi'!U225/'Incurred 2.5% cpi'!U$17*Incurred!U$17*BJ225)</f>
        <v/>
      </c>
      <c r="V225" s="16" t="str">
        <f>IF(ISTEXT('Incurred 2.5% cpi'!V225),"",'Incurred 2.5% cpi'!V225/'Incurred 2.5% cpi'!V$17*Incurred!V$17*BK225)</f>
        <v/>
      </c>
      <c r="W225" s="110" t="str">
        <f>IF(ISTEXT('Incurred 2.5% cpi'!W225),"",'Incurred 2.5% cpi'!W225/'Incurred 2.5% cpi'!W$17*Incurred!W$17*BL225)</f>
        <v/>
      </c>
      <c r="X225" s="102" t="str">
        <f>IF(ISTEXT('Incurred 2.5% cpi'!X225),"",'Incurred 2.5% cpi'!X225/'Incurred 2.5% cpi'!X$17*Incurred!X$17*BM225)</f>
        <v/>
      </c>
      <c r="Y225" s="80">
        <f t="shared" si="353"/>
        <v>0</v>
      </c>
      <c r="Z225" s="80">
        <f t="shared" si="369"/>
        <v>641048.1</v>
      </c>
      <c r="AA225" s="566">
        <f t="shared" si="386"/>
        <v>0</v>
      </c>
      <c r="AB225" s="566" t="str">
        <f t="shared" si="370"/>
        <v/>
      </c>
      <c r="AC225" s="567" t="str">
        <f t="shared" si="387"/>
        <v/>
      </c>
      <c r="AD225" s="568" t="str">
        <f t="shared" si="384"/>
        <v>2017</v>
      </c>
      <c r="AE225" s="569" t="s">
        <v>0</v>
      </c>
      <c r="AF225" s="568" t="s">
        <v>0</v>
      </c>
      <c r="AG225" s="569"/>
      <c r="AH225" s="566">
        <f t="shared" si="388"/>
        <v>0</v>
      </c>
      <c r="AI225" s="80">
        <f t="shared" si="371"/>
        <v>-320524.05</v>
      </c>
      <c r="AJ225" s="571" t="s">
        <v>0</v>
      </c>
      <c r="AK225" s="875">
        <f t="shared" si="389"/>
        <v>0</v>
      </c>
      <c r="AL225" s="28">
        <f t="shared" si="390"/>
        <v>0</v>
      </c>
      <c r="AM225" s="28">
        <f t="shared" si="390"/>
        <v>0</v>
      </c>
      <c r="AN225" s="28">
        <f t="shared" si="390"/>
        <v>0</v>
      </c>
      <c r="AO225" s="28">
        <f t="shared" si="390"/>
        <v>1</v>
      </c>
      <c r="AP225" s="28">
        <f t="shared" si="390"/>
        <v>0</v>
      </c>
      <c r="AQ225" s="28">
        <f t="shared" si="390"/>
        <v>0</v>
      </c>
      <c r="AR225" s="28">
        <f t="shared" si="390"/>
        <v>0</v>
      </c>
      <c r="AS225" s="28">
        <f t="shared" si="390"/>
        <v>0</v>
      </c>
      <c r="AT225" s="28">
        <f t="shared" si="390"/>
        <v>0</v>
      </c>
      <c r="AU225" s="28">
        <f t="shared" si="390"/>
        <v>0</v>
      </c>
      <c r="AV225" s="28">
        <f t="shared" si="391"/>
        <v>0</v>
      </c>
      <c r="AW225" s="28">
        <f t="shared" si="391"/>
        <v>0</v>
      </c>
      <c r="AX225" s="28">
        <f t="shared" si="391"/>
        <v>0</v>
      </c>
      <c r="AY225" s="28">
        <f t="shared" si="391"/>
        <v>0</v>
      </c>
      <c r="AZ225" s="28">
        <f t="shared" si="391"/>
        <v>0</v>
      </c>
      <c r="BA225" s="28">
        <f t="shared" si="391"/>
        <v>0</v>
      </c>
      <c r="BB225" s="28">
        <f t="shared" si="391"/>
        <v>0</v>
      </c>
      <c r="BC225" s="28">
        <f t="shared" si="391"/>
        <v>0</v>
      </c>
      <c r="BD225" s="28">
        <f t="shared" si="391"/>
        <v>0</v>
      </c>
      <c r="BE225" s="28">
        <f t="shared" si="391"/>
        <v>0</v>
      </c>
      <c r="BF225" s="27">
        <f t="shared" si="392"/>
        <v>1</v>
      </c>
      <c r="BG225" s="520">
        <f t="shared" si="393"/>
        <v>1.0046190746045656</v>
      </c>
      <c r="BH225" s="520">
        <f t="shared" si="372"/>
        <v>1.0088268933348963</v>
      </c>
      <c r="BI225" s="520">
        <f t="shared" si="373"/>
        <v>1.0133808891912874</v>
      </c>
      <c r="BJ225" s="520">
        <f t="shared" si="374"/>
        <v>1.018641287824382</v>
      </c>
      <c r="BK225" s="520">
        <f t="shared" si="375"/>
        <v>1.0263050529092395</v>
      </c>
      <c r="BL225" s="520">
        <f t="shared" si="376"/>
        <v>1.0349254280901359</v>
      </c>
      <c r="BM225" s="520">
        <f t="shared" si="377"/>
        <v>1.0406965352376705</v>
      </c>
      <c r="BN225" s="521" t="str">
        <f t="shared" si="378"/>
        <v>Category</v>
      </c>
      <c r="BP225" s="3"/>
    </row>
    <row r="226" spans="1:68" hidden="1" x14ac:dyDescent="0.15">
      <c r="A226" s="12" t="s">
        <v>454</v>
      </c>
      <c r="B226" s="13" t="s">
        <v>2386</v>
      </c>
      <c r="C226" s="13" t="s">
        <v>27</v>
      </c>
      <c r="D226" s="13" t="s">
        <v>54</v>
      </c>
      <c r="E226" s="13" t="s">
        <v>45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5">
        <v>0</v>
      </c>
      <c r="N226" s="670"/>
      <c r="O226" s="14"/>
      <c r="P226" s="15"/>
      <c r="Q226" s="15" t="str">
        <f>IF(ISTEXT('Incurred 2.5% cpi'!Q226),"",'Incurred 2.5% cpi'!Q226/'Incurred 2.5% cpi'!Q$17*Incurred!Q$17)</f>
        <v/>
      </c>
      <c r="R226" s="110">
        <f>IF(ISTEXT('Incurred 2.5% cpi'!R226),"",'Incurred 2.5% cpi'!R226/'Incurred 2.5% cpi'!R$17*Incurred!R$17*BG226)</f>
        <v>411632.94950826961</v>
      </c>
      <c r="S226" s="102">
        <f>IF(ISTEXT('Incurred 2.5% cpi'!S226),"",'Incurred 2.5% cpi'!S226/'Incurred 2.5% cpi'!S$17*Incurred!S$17*BH226)</f>
        <v>47948.658110775716</v>
      </c>
      <c r="T226" s="16" t="str">
        <f>IF(ISTEXT('Incurred 2.5% cpi'!T226),"",'Incurred 2.5% cpi'!T226/'Incurred 2.5% cpi'!T$17*Incurred!T$17*BI226)</f>
        <v/>
      </c>
      <c r="U226" s="16" t="str">
        <f>IF(ISTEXT('Incurred 2.5% cpi'!U226),"",'Incurred 2.5% cpi'!U226/'Incurred 2.5% cpi'!U$17*Incurred!U$17*BJ226)</f>
        <v/>
      </c>
      <c r="V226" s="16" t="str">
        <f>IF(ISTEXT('Incurred 2.5% cpi'!V226),"",'Incurred 2.5% cpi'!V226/'Incurred 2.5% cpi'!V$17*Incurred!V$17*BK226)</f>
        <v/>
      </c>
      <c r="W226" s="110" t="str">
        <f>IF(ISTEXT('Incurred 2.5% cpi'!W226),"",'Incurred 2.5% cpi'!W226/'Incurred 2.5% cpi'!W$17*Incurred!W$17*BL226)</f>
        <v/>
      </c>
      <c r="X226" s="102" t="str">
        <f>IF(ISTEXT('Incurred 2.5% cpi'!X226),"",'Incurred 2.5% cpi'!X226/'Incurred 2.5% cpi'!X$17*Incurred!X$17*BM226)</f>
        <v/>
      </c>
      <c r="Y226" s="80">
        <f t="shared" si="353"/>
        <v>459581.6076190453</v>
      </c>
      <c r="Z226" s="80">
        <f t="shared" si="369"/>
        <v>459581.6076190453</v>
      </c>
      <c r="AA226" s="566">
        <f t="shared" si="386"/>
        <v>518651.24668089324</v>
      </c>
      <c r="AB226" s="566">
        <f t="shared" si="370"/>
        <v>469872.431356752</v>
      </c>
      <c r="AC226" s="567">
        <f t="shared" si="387"/>
        <v>1.1038128906249998</v>
      </c>
      <c r="AD226" s="568" t="str">
        <f t="shared" si="384"/>
        <v>2019</v>
      </c>
      <c r="AE226" s="569">
        <v>43251</v>
      </c>
      <c r="AF226" s="568">
        <v>2019</v>
      </c>
      <c r="AG226" s="569"/>
      <c r="AH226" s="566">
        <f t="shared" si="388"/>
        <v>458412.12815292884</v>
      </c>
      <c r="AI226" s="80">
        <f t="shared" si="371"/>
        <v>47948.658110775716</v>
      </c>
      <c r="AJ226" s="571" t="s">
        <v>0</v>
      </c>
      <c r="AK226" s="875">
        <f t="shared" si="389"/>
        <v>0</v>
      </c>
      <c r="AL226" s="28">
        <f t="shared" si="390"/>
        <v>0</v>
      </c>
      <c r="AM226" s="28">
        <f t="shared" si="390"/>
        <v>0</v>
      </c>
      <c r="AN226" s="28">
        <f t="shared" si="390"/>
        <v>0</v>
      </c>
      <c r="AO226" s="28">
        <f t="shared" si="390"/>
        <v>0</v>
      </c>
      <c r="AP226" s="28">
        <f t="shared" si="390"/>
        <v>0</v>
      </c>
      <c r="AQ226" s="28">
        <f t="shared" si="390"/>
        <v>0</v>
      </c>
      <c r="AR226" s="28">
        <f t="shared" si="390"/>
        <v>1</v>
      </c>
      <c r="AS226" s="28">
        <f t="shared" si="390"/>
        <v>0</v>
      </c>
      <c r="AT226" s="28">
        <f t="shared" si="390"/>
        <v>0</v>
      </c>
      <c r="AU226" s="28">
        <f t="shared" si="390"/>
        <v>0</v>
      </c>
      <c r="AV226" s="28">
        <f t="shared" si="391"/>
        <v>0</v>
      </c>
      <c r="AW226" s="28">
        <f t="shared" si="391"/>
        <v>0</v>
      </c>
      <c r="AX226" s="28">
        <f t="shared" si="391"/>
        <v>0</v>
      </c>
      <c r="AY226" s="28">
        <f t="shared" si="391"/>
        <v>0</v>
      </c>
      <c r="AZ226" s="28">
        <f t="shared" si="391"/>
        <v>0</v>
      </c>
      <c r="BA226" s="28">
        <f t="shared" si="391"/>
        <v>0</v>
      </c>
      <c r="BB226" s="28">
        <f t="shared" si="391"/>
        <v>0</v>
      </c>
      <c r="BC226" s="28">
        <f t="shared" si="391"/>
        <v>0</v>
      </c>
      <c r="BD226" s="28">
        <f t="shared" si="391"/>
        <v>0</v>
      </c>
      <c r="BE226" s="28">
        <f t="shared" si="391"/>
        <v>0</v>
      </c>
      <c r="BF226" s="27">
        <f t="shared" si="392"/>
        <v>1</v>
      </c>
      <c r="BG226" s="520">
        <f t="shared" si="393"/>
        <v>1.0030818160192299</v>
      </c>
      <c r="BH226" s="520">
        <f t="shared" si="372"/>
        <v>1.0058892448397847</v>
      </c>
      <c r="BI226" s="520">
        <f t="shared" si="373"/>
        <v>1.0089276407487533</v>
      </c>
      <c r="BJ226" s="520">
        <f t="shared" si="374"/>
        <v>1.0124373439172154</v>
      </c>
      <c r="BK226" s="520">
        <f t="shared" si="375"/>
        <v>1.0175505572831101</v>
      </c>
      <c r="BL226" s="520">
        <f t="shared" si="376"/>
        <v>1.023302014576742</v>
      </c>
      <c r="BM226" s="520">
        <f t="shared" si="377"/>
        <v>1.0271524590875074</v>
      </c>
      <c r="BN226" s="521" t="str">
        <f t="shared" si="378"/>
        <v>Category</v>
      </c>
      <c r="BP226" s="3"/>
    </row>
    <row r="227" spans="1:68" hidden="1" x14ac:dyDescent="0.15">
      <c r="A227" s="78" t="s">
        <v>455</v>
      </c>
      <c r="B227" s="13" t="s">
        <v>456</v>
      </c>
      <c r="C227" s="13" t="s">
        <v>27</v>
      </c>
      <c r="D227" s="13" t="s">
        <v>40</v>
      </c>
      <c r="E227" s="13" t="s">
        <v>29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5">
        <v>0</v>
      </c>
      <c r="N227" s="670"/>
      <c r="O227" s="14">
        <v>27587.72</v>
      </c>
      <c r="P227" s="15">
        <v>206586.78</v>
      </c>
      <c r="Q227" s="15">
        <f>IF(ISTEXT('Incurred 2.5% cpi'!Q227),"",'Incurred 2.5% cpi'!Q227/'Incurred 2.5% cpi'!Q$17*Incurred!Q$17)</f>
        <v>144434.71</v>
      </c>
      <c r="R227" s="110" t="str">
        <f>IF(ISTEXT('Incurred 2.5% cpi'!R227),"",'Incurred 2.5% cpi'!R227/'Incurred 2.5% cpi'!R$17*Incurred!R$17*BG227)</f>
        <v/>
      </c>
      <c r="S227" s="102" t="str">
        <f>IF(ISTEXT('Incurred 2.5% cpi'!S227),"",'Incurred 2.5% cpi'!S227/'Incurred 2.5% cpi'!S$17*Incurred!S$17*BH227)</f>
        <v/>
      </c>
      <c r="T227" s="16" t="str">
        <f>IF(ISTEXT('Incurred 2.5% cpi'!T227),"",'Incurred 2.5% cpi'!T227/'Incurred 2.5% cpi'!T$17*Incurred!T$17*BI227)</f>
        <v/>
      </c>
      <c r="U227" s="16" t="str">
        <f>IF(ISTEXT('Incurred 2.5% cpi'!U227),"",'Incurred 2.5% cpi'!U227/'Incurred 2.5% cpi'!U$17*Incurred!U$17*BJ227)</f>
        <v/>
      </c>
      <c r="V227" s="16" t="str">
        <f>IF(ISTEXT('Incurred 2.5% cpi'!V227),"",'Incurred 2.5% cpi'!V227/'Incurred 2.5% cpi'!V$17*Incurred!V$17*BK227)</f>
        <v/>
      </c>
      <c r="W227" s="110" t="str">
        <f>IF(ISTEXT('Incurred 2.5% cpi'!W227),"",'Incurred 2.5% cpi'!W227/'Incurred 2.5% cpi'!W$17*Incurred!W$17*BL227)</f>
        <v/>
      </c>
      <c r="X227" s="102" t="str">
        <f>IF(ISTEXT('Incurred 2.5% cpi'!X227),"",'Incurred 2.5% cpi'!X227/'Incurred 2.5% cpi'!X$17*Incurred!X$17*BM227)</f>
        <v/>
      </c>
      <c r="Y227" s="80">
        <f t="shared" si="353"/>
        <v>378609.20999999996</v>
      </c>
      <c r="Z227" s="80">
        <f t="shared" si="369"/>
        <v>378609.20999999996</v>
      </c>
      <c r="AA227" s="566">
        <f t="shared" si="386"/>
        <v>445271.66983320471</v>
      </c>
      <c r="AB227" s="566">
        <f t="shared" si="370"/>
        <v>383956.36539817299</v>
      </c>
      <c r="AC227" s="567">
        <f t="shared" si="387"/>
        <v>1.1596934182128902</v>
      </c>
      <c r="AD227" s="568" t="str">
        <f t="shared" si="384"/>
        <v>2017</v>
      </c>
      <c r="AE227" s="569">
        <v>42520</v>
      </c>
      <c r="AF227" s="568">
        <v>2017</v>
      </c>
      <c r="AG227" s="569"/>
      <c r="AH227" s="566">
        <f t="shared" si="388"/>
        <v>393555.27453312732</v>
      </c>
      <c r="AI227" s="80">
        <f t="shared" si="371"/>
        <v>144434.71</v>
      </c>
      <c r="AJ227" s="571" t="s">
        <v>0</v>
      </c>
      <c r="AK227" s="875">
        <f t="shared" si="389"/>
        <v>0</v>
      </c>
      <c r="AL227" s="28">
        <f t="shared" si="390"/>
        <v>0</v>
      </c>
      <c r="AM227" s="28">
        <f t="shared" si="390"/>
        <v>0</v>
      </c>
      <c r="AN227" s="28">
        <f t="shared" si="390"/>
        <v>0</v>
      </c>
      <c r="AO227" s="28">
        <f t="shared" si="390"/>
        <v>0</v>
      </c>
      <c r="AP227" s="28">
        <f t="shared" si="390"/>
        <v>0</v>
      </c>
      <c r="AQ227" s="28">
        <f t="shared" si="390"/>
        <v>0</v>
      </c>
      <c r="AR227" s="28">
        <f t="shared" si="390"/>
        <v>0</v>
      </c>
      <c r="AS227" s="28">
        <f t="shared" si="390"/>
        <v>0</v>
      </c>
      <c r="AT227" s="28">
        <f t="shared" si="390"/>
        <v>0</v>
      </c>
      <c r="AU227" s="28">
        <f t="shared" si="390"/>
        <v>0</v>
      </c>
      <c r="AV227" s="28">
        <f t="shared" si="391"/>
        <v>0</v>
      </c>
      <c r="AW227" s="28">
        <f t="shared" si="391"/>
        <v>0</v>
      </c>
      <c r="AX227" s="28">
        <f t="shared" si="391"/>
        <v>0</v>
      </c>
      <c r="AY227" s="28">
        <f t="shared" si="391"/>
        <v>0</v>
      </c>
      <c r="AZ227" s="28">
        <f t="shared" si="391"/>
        <v>1</v>
      </c>
      <c r="BA227" s="28">
        <f t="shared" si="391"/>
        <v>0</v>
      </c>
      <c r="BB227" s="28">
        <f t="shared" si="391"/>
        <v>0</v>
      </c>
      <c r="BC227" s="28">
        <f t="shared" si="391"/>
        <v>0</v>
      </c>
      <c r="BD227" s="28">
        <f t="shared" si="391"/>
        <v>0</v>
      </c>
      <c r="BE227" s="28">
        <f t="shared" si="391"/>
        <v>0</v>
      </c>
      <c r="BF227" s="27">
        <f t="shared" si="392"/>
        <v>1</v>
      </c>
      <c r="BG227" s="520">
        <f t="shared" si="393"/>
        <v>1.0034498951996242</v>
      </c>
      <c r="BH227" s="520">
        <f t="shared" si="372"/>
        <v>1.0065926315443261</v>
      </c>
      <c r="BI227" s="520">
        <f t="shared" si="373"/>
        <v>1.0099939207178206</v>
      </c>
      <c r="BJ227" s="520">
        <f t="shared" si="374"/>
        <v>1.0139228081132494</v>
      </c>
      <c r="BK227" s="520">
        <f t="shared" si="375"/>
        <v>1.0196467222390713</v>
      </c>
      <c r="BL227" s="520">
        <f t="shared" si="376"/>
        <v>1.0260851094706045</v>
      </c>
      <c r="BM227" s="520">
        <f t="shared" si="377"/>
        <v>1.0303954349252136</v>
      </c>
      <c r="BN227" s="521" t="str">
        <f t="shared" si="378"/>
        <v>Category</v>
      </c>
      <c r="BP227" s="3"/>
    </row>
    <row r="228" spans="1:68" hidden="1" x14ac:dyDescent="0.15">
      <c r="A228" s="78" t="s">
        <v>457</v>
      </c>
      <c r="B228" s="13" t="s">
        <v>458</v>
      </c>
      <c r="C228" s="13" t="s">
        <v>27</v>
      </c>
      <c r="D228" s="13" t="s">
        <v>55</v>
      </c>
      <c r="E228" s="13" t="s">
        <v>112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5">
        <v>0</v>
      </c>
      <c r="N228" s="670"/>
      <c r="O228" s="14"/>
      <c r="P228" s="15"/>
      <c r="Q228" s="15" t="str">
        <f>IF(ISTEXT('Incurred 2.5% cpi'!Q228),"",'Incurred 2.5% cpi'!Q228/'Incurred 2.5% cpi'!Q$17*Incurred!Q$17)</f>
        <v/>
      </c>
      <c r="R228" s="110" t="str">
        <f>IF(ISTEXT('Incurred 2.5% cpi'!R228),"",'Incurred 2.5% cpi'!R228/'Incurred 2.5% cpi'!R$17*Incurred!R$17*BG228)</f>
        <v/>
      </c>
      <c r="S228" s="102">
        <f>IF(ISTEXT('Incurred 2.5% cpi'!S228),"",'Incurred 2.5% cpi'!S228/'Incurred 2.5% cpi'!S$17*Incurred!S$17*BH228)</f>
        <v>147873.10958139694</v>
      </c>
      <c r="T228" s="16">
        <f>IF(ISTEXT('Incurred 2.5% cpi'!T228),"",'Incurred 2.5% cpi'!T228/'Incurred 2.5% cpi'!T$17*Incurred!T$17*BI228)</f>
        <v>338875.20777552674</v>
      </c>
      <c r="U228" s="16">
        <f>IF(ISTEXT('Incurred 2.5% cpi'!U228),"",'Incurred 2.5% cpi'!U228/'Incurred 2.5% cpi'!U$17*Incurred!U$17*BJ228)</f>
        <v>81522.402144467836</v>
      </c>
      <c r="V228" s="16" t="str">
        <f>IF(ISTEXT('Incurred 2.5% cpi'!V228),"",'Incurred 2.5% cpi'!V228/'Incurred 2.5% cpi'!V$17*Incurred!V$17*BK228)</f>
        <v/>
      </c>
      <c r="W228" s="110" t="str">
        <f>IF(ISTEXT('Incurred 2.5% cpi'!W228),"",'Incurred 2.5% cpi'!W228/'Incurred 2.5% cpi'!W$17*Incurred!W$17*BL228)</f>
        <v/>
      </c>
      <c r="X228" s="102" t="str">
        <f>IF(ISTEXT('Incurred 2.5% cpi'!X228),"",'Incurred 2.5% cpi'!X228/'Incurred 2.5% cpi'!X$17*Incurred!X$17*BM228)</f>
        <v/>
      </c>
      <c r="Y228" s="80">
        <f t="shared" si="353"/>
        <v>568270.71950139152</v>
      </c>
      <c r="Z228" s="80">
        <f t="shared" si="369"/>
        <v>568270.71950139152</v>
      </c>
      <c r="AA228" s="566">
        <f t="shared" si="386"/>
        <v>613805.25258417241</v>
      </c>
      <c r="AB228" s="566">
        <f t="shared" si="370"/>
        <v>584228.67586833786</v>
      </c>
      <c r="AC228" s="567">
        <f t="shared" si="387"/>
        <v>1.0506249999999999</v>
      </c>
      <c r="AD228" s="568" t="str">
        <f t="shared" si="384"/>
        <v>2021</v>
      </c>
      <c r="AE228" s="569">
        <v>44028</v>
      </c>
      <c r="AF228" s="568">
        <v>2021</v>
      </c>
      <c r="AG228" s="569"/>
      <c r="AH228" s="566">
        <f t="shared" si="388"/>
        <v>542514.40425376338</v>
      </c>
      <c r="AI228" s="80">
        <f t="shared" si="371"/>
        <v>81522.402144467836</v>
      </c>
      <c r="AJ228" s="571" t="s">
        <v>3035</v>
      </c>
      <c r="AK228" s="875">
        <f>IF(ISNA(VLOOKUP(LEFT($A228,8),Estimates,72,FALSE)),0,VLOOKUP(LEFT($A228,8),Estimates,72,FALSE))</f>
        <v>0</v>
      </c>
      <c r="AL228" s="28">
        <f t="shared" si="390"/>
        <v>0</v>
      </c>
      <c r="AM228" s="28">
        <f t="shared" si="390"/>
        <v>0</v>
      </c>
      <c r="AN228" s="28">
        <f t="shared" si="390"/>
        <v>0</v>
      </c>
      <c r="AO228" s="28">
        <f t="shared" si="390"/>
        <v>1</v>
      </c>
      <c r="AP228" s="28">
        <f t="shared" si="390"/>
        <v>0</v>
      </c>
      <c r="AQ228" s="28">
        <f t="shared" si="390"/>
        <v>0</v>
      </c>
      <c r="AR228" s="28">
        <f t="shared" si="390"/>
        <v>0</v>
      </c>
      <c r="AS228" s="28">
        <f t="shared" si="390"/>
        <v>0</v>
      </c>
      <c r="AT228" s="28">
        <f t="shared" si="390"/>
        <v>0</v>
      </c>
      <c r="AU228" s="28">
        <f t="shared" si="390"/>
        <v>0</v>
      </c>
      <c r="AV228" s="28">
        <f t="shared" si="391"/>
        <v>0</v>
      </c>
      <c r="AW228" s="28">
        <f t="shared" si="391"/>
        <v>0</v>
      </c>
      <c r="AX228" s="28">
        <f t="shared" si="391"/>
        <v>0</v>
      </c>
      <c r="AY228" s="28">
        <f t="shared" si="391"/>
        <v>0</v>
      </c>
      <c r="AZ228" s="28">
        <f t="shared" si="391"/>
        <v>0</v>
      </c>
      <c r="BA228" s="28">
        <f t="shared" si="391"/>
        <v>0</v>
      </c>
      <c r="BB228" s="28">
        <f t="shared" si="391"/>
        <v>0</v>
      </c>
      <c r="BC228" s="28">
        <f t="shared" si="391"/>
        <v>0</v>
      </c>
      <c r="BD228" s="28">
        <f t="shared" si="391"/>
        <v>0</v>
      </c>
      <c r="BE228" s="28">
        <f t="shared" si="391"/>
        <v>0</v>
      </c>
      <c r="BF228" s="27">
        <f t="shared" si="392"/>
        <v>1</v>
      </c>
      <c r="BG228" s="520">
        <f t="shared" si="393"/>
        <v>1.0046190746045656</v>
      </c>
      <c r="BH228" s="520">
        <f t="shared" si="372"/>
        <v>1.0088268933348963</v>
      </c>
      <c r="BI228" s="520">
        <f t="shared" si="373"/>
        <v>1.0133808891912874</v>
      </c>
      <c r="BJ228" s="520">
        <f t="shared" si="374"/>
        <v>1.018641287824382</v>
      </c>
      <c r="BK228" s="520">
        <f t="shared" si="375"/>
        <v>1.0263050529092395</v>
      </c>
      <c r="BL228" s="520">
        <f t="shared" si="376"/>
        <v>1.0349254280901359</v>
      </c>
      <c r="BM228" s="520">
        <f t="shared" si="377"/>
        <v>1.0406965352376705</v>
      </c>
      <c r="BN228" s="521" t="str">
        <f t="shared" si="378"/>
        <v>Category</v>
      </c>
      <c r="BP228" s="3"/>
    </row>
    <row r="229" spans="1:68" hidden="1" x14ac:dyDescent="0.15">
      <c r="A229" s="78" t="s">
        <v>459</v>
      </c>
      <c r="B229" s="13" t="s">
        <v>460</v>
      </c>
      <c r="C229" s="13" t="s">
        <v>27</v>
      </c>
      <c r="D229" s="13" t="s">
        <v>40</v>
      </c>
      <c r="E229" s="13" t="s">
        <v>112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5">
        <v>0</v>
      </c>
      <c r="N229" s="670"/>
      <c r="O229" s="14"/>
      <c r="P229" s="15"/>
      <c r="Q229" s="15" t="str">
        <f>IF(ISTEXT('Incurred 2.5% cpi'!Q229),"",'Incurred 2.5% cpi'!Q229/'Incurred 2.5% cpi'!Q$17*Incurred!Q$17)</f>
        <v/>
      </c>
      <c r="R229" s="110" t="str">
        <f>IF(ISTEXT('Incurred 2.5% cpi'!R229),"",'Incurred 2.5% cpi'!R229/'Incurred 2.5% cpi'!R$17*Incurred!R$17*BG229)</f>
        <v/>
      </c>
      <c r="S229" s="102">
        <f>IF(ISTEXT('Incurred 2.5% cpi'!S229),"",'Incurred 2.5% cpi'!S229/'Incurred 2.5% cpi'!S$17*Incurred!S$17*BH229)</f>
        <v>110149.57395001086</v>
      </c>
      <c r="T229" s="16">
        <f>IF(ISTEXT('Incurred 2.5% cpi'!T229),"",'Incurred 2.5% cpi'!T229/'Incurred 2.5% cpi'!T$17*Incurred!T$17*BI229)</f>
        <v>298891.00506204116</v>
      </c>
      <c r="U229" s="16">
        <f>IF(ISTEXT('Incurred 2.5% cpi'!U229),"",'Incurred 2.5% cpi'!U229/'Incurred 2.5% cpi'!U$17*Incurred!U$17*BJ229)</f>
        <v>155384.39539592803</v>
      </c>
      <c r="V229" s="16" t="str">
        <f>IF(ISTEXT('Incurred 2.5% cpi'!V229),"",'Incurred 2.5% cpi'!V229/'Incurred 2.5% cpi'!V$17*Incurred!V$17*BK229)</f>
        <v/>
      </c>
      <c r="W229" s="110" t="str">
        <f>IF(ISTEXT('Incurred 2.5% cpi'!W229),"",'Incurred 2.5% cpi'!W229/'Incurred 2.5% cpi'!W$17*Incurred!W$17*BL229)</f>
        <v/>
      </c>
      <c r="X229" s="102" t="str">
        <f>IF(ISTEXT('Incurred 2.5% cpi'!X229),"",'Incurred 2.5% cpi'!X229/'Incurred 2.5% cpi'!X$17*Incurred!X$17*BM229)</f>
        <v/>
      </c>
      <c r="Y229" s="80">
        <f t="shared" si="353"/>
        <v>564424.9744079801</v>
      </c>
      <c r="Z229" s="80">
        <f t="shared" si="369"/>
        <v>564424.9744079801</v>
      </c>
      <c r="AA229" s="566">
        <f t="shared" si="386"/>
        <v>606708.17128386023</v>
      </c>
      <c r="AB229" s="566">
        <f t="shared" si="370"/>
        <v>577473.57171575038</v>
      </c>
      <c r="AC229" s="567">
        <f t="shared" si="387"/>
        <v>1.0506249999999999</v>
      </c>
      <c r="AD229" s="568" t="str">
        <f t="shared" si="384"/>
        <v>2021</v>
      </c>
      <c r="AE229" s="569">
        <v>44084</v>
      </c>
      <c r="AF229" s="568">
        <v>2021</v>
      </c>
      <c r="AG229" s="569"/>
      <c r="AH229" s="566">
        <f t="shared" si="388"/>
        <v>536241.61851696903</v>
      </c>
      <c r="AI229" s="80">
        <f t="shared" si="371"/>
        <v>155384.39539592803</v>
      </c>
      <c r="AJ229" s="571" t="s">
        <v>3035</v>
      </c>
      <c r="AK229" s="875">
        <f>IF(ISNA(VLOOKUP(LEFT($A229,8),Estimates,72,FALSE)),0,VLOOKUP(LEFT($A229,8),Estimates,72,FALSE))</f>
        <v>0</v>
      </c>
      <c r="AL229" s="28">
        <f t="shared" si="390"/>
        <v>0</v>
      </c>
      <c r="AM229" s="28">
        <f t="shared" si="390"/>
        <v>0</v>
      </c>
      <c r="AN229" s="28">
        <f t="shared" si="390"/>
        <v>0</v>
      </c>
      <c r="AO229" s="28">
        <f t="shared" si="390"/>
        <v>1</v>
      </c>
      <c r="AP229" s="28">
        <f t="shared" si="390"/>
        <v>0</v>
      </c>
      <c r="AQ229" s="28">
        <f t="shared" si="390"/>
        <v>0</v>
      </c>
      <c r="AR229" s="28">
        <f t="shared" si="390"/>
        <v>0</v>
      </c>
      <c r="AS229" s="28">
        <f t="shared" si="390"/>
        <v>0</v>
      </c>
      <c r="AT229" s="28">
        <f t="shared" si="390"/>
        <v>0</v>
      </c>
      <c r="AU229" s="28">
        <f t="shared" si="390"/>
        <v>0</v>
      </c>
      <c r="AV229" s="28">
        <f t="shared" si="391"/>
        <v>0</v>
      </c>
      <c r="AW229" s="28">
        <f t="shared" si="391"/>
        <v>0</v>
      </c>
      <c r="AX229" s="28">
        <f t="shared" si="391"/>
        <v>0</v>
      </c>
      <c r="AY229" s="28">
        <f t="shared" si="391"/>
        <v>0</v>
      </c>
      <c r="AZ229" s="28">
        <f t="shared" si="391"/>
        <v>0</v>
      </c>
      <c r="BA229" s="28">
        <f t="shared" si="391"/>
        <v>0</v>
      </c>
      <c r="BB229" s="28">
        <f t="shared" si="391"/>
        <v>0</v>
      </c>
      <c r="BC229" s="28">
        <f t="shared" si="391"/>
        <v>0</v>
      </c>
      <c r="BD229" s="28">
        <f t="shared" si="391"/>
        <v>0</v>
      </c>
      <c r="BE229" s="28">
        <f t="shared" si="391"/>
        <v>0</v>
      </c>
      <c r="BF229" s="27">
        <f t="shared" si="392"/>
        <v>1</v>
      </c>
      <c r="BG229" s="520">
        <f t="shared" si="393"/>
        <v>1.0059304488076128</v>
      </c>
      <c r="BH229" s="520">
        <f t="shared" si="372"/>
        <v>1.0113328845135172</v>
      </c>
      <c r="BI229" s="520">
        <f t="shared" si="373"/>
        <v>1.0171797784497432</v>
      </c>
      <c r="BJ229" s="520">
        <f t="shared" si="374"/>
        <v>1.0239336258048755</v>
      </c>
      <c r="BK229" s="520">
        <f t="shared" si="375"/>
        <v>1.0337731651932187</v>
      </c>
      <c r="BL229" s="520">
        <f t="shared" si="376"/>
        <v>1.0448409002027792</v>
      </c>
      <c r="BM229" s="520">
        <f t="shared" si="377"/>
        <v>1.052250448311804</v>
      </c>
      <c r="BN229" s="521" t="str">
        <f t="shared" si="378"/>
        <v>Project</v>
      </c>
      <c r="BP229" s="3"/>
    </row>
    <row r="230" spans="1:68" hidden="1" x14ac:dyDescent="0.15">
      <c r="A230" s="78" t="s">
        <v>461</v>
      </c>
      <c r="B230" s="13" t="s">
        <v>462</v>
      </c>
      <c r="C230" s="13" t="s">
        <v>27</v>
      </c>
      <c r="D230" s="13" t="s">
        <v>54</v>
      </c>
      <c r="E230" s="13" t="s">
        <v>29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5">
        <v>0</v>
      </c>
      <c r="N230" s="670"/>
      <c r="O230" s="14">
        <v>37898.5</v>
      </c>
      <c r="P230" s="15">
        <v>285581.27</v>
      </c>
      <c r="Q230" s="15">
        <f>IF(ISTEXT('Incurred 2.5% cpi'!Q230),"",'Incurred 2.5% cpi'!Q230/'Incurred 2.5% cpi'!Q$17*Incurred!Q$17)</f>
        <v>96251.93</v>
      </c>
      <c r="R230" s="110">
        <f>IF(ISTEXT('Incurred 2.5% cpi'!R230),"",'Incurred 2.5% cpi'!R230/'Incurred 2.5% cpi'!R$17*Incurred!R$17*BG230)</f>
        <v>18734.860002335965</v>
      </c>
      <c r="S230" s="102" t="str">
        <f>IF(ISTEXT('Incurred 2.5% cpi'!S230),"",'Incurred 2.5% cpi'!S230/'Incurred 2.5% cpi'!S$17*Incurred!S$17*BH230)</f>
        <v/>
      </c>
      <c r="T230" s="16" t="str">
        <f>IF(ISTEXT('Incurred 2.5% cpi'!T230),"",'Incurred 2.5% cpi'!T230/'Incurred 2.5% cpi'!T$17*Incurred!T$17*BI230)</f>
        <v/>
      </c>
      <c r="U230" s="16" t="str">
        <f>IF(ISTEXT('Incurred 2.5% cpi'!U230),"",'Incurred 2.5% cpi'!U230/'Incurred 2.5% cpi'!U$17*Incurred!U$17*BJ230)</f>
        <v/>
      </c>
      <c r="V230" s="16" t="str">
        <f>IF(ISTEXT('Incurred 2.5% cpi'!V230),"",'Incurred 2.5% cpi'!V230/'Incurred 2.5% cpi'!V$17*Incurred!V$17*BK230)</f>
        <v/>
      </c>
      <c r="W230" s="110" t="str">
        <f>IF(ISTEXT('Incurred 2.5% cpi'!W230),"",'Incurred 2.5% cpi'!W230/'Incurred 2.5% cpi'!W$17*Incurred!W$17*BL230)</f>
        <v/>
      </c>
      <c r="X230" s="102" t="str">
        <f>IF(ISTEXT('Incurred 2.5% cpi'!X230),"",'Incurred 2.5% cpi'!X230/'Incurred 2.5% cpi'!X$17*Incurred!X$17*BM230)</f>
        <v/>
      </c>
      <c r="Y230" s="80">
        <f t="shared" si="353"/>
        <v>438466.56000233599</v>
      </c>
      <c r="Z230" s="80">
        <f t="shared" si="369"/>
        <v>438466.56000233599</v>
      </c>
      <c r="AA230" s="566">
        <f t="shared" si="386"/>
        <v>516519.5123853496</v>
      </c>
      <c r="AB230" s="566">
        <f t="shared" si="370"/>
        <v>456527.98565576837</v>
      </c>
      <c r="AC230" s="567">
        <f t="shared" si="387"/>
        <v>1.1314082128906247</v>
      </c>
      <c r="AD230" s="568" t="str">
        <f t="shared" si="384"/>
        <v>2018</v>
      </c>
      <c r="AE230" s="569">
        <v>42727</v>
      </c>
      <c r="AF230" s="568">
        <v>2018</v>
      </c>
      <c r="AG230" s="569"/>
      <c r="AH230" s="566">
        <f t="shared" si="388"/>
        <v>456527.98565576837</v>
      </c>
      <c r="AI230" s="80">
        <f t="shared" si="371"/>
        <v>18734.860002335965</v>
      </c>
      <c r="AJ230" s="571" t="s">
        <v>0</v>
      </c>
      <c r="AK230" s="875">
        <f t="shared" si="389"/>
        <v>0</v>
      </c>
      <c r="AL230" s="28">
        <f t="shared" si="390"/>
        <v>0</v>
      </c>
      <c r="AM230" s="28">
        <f t="shared" si="390"/>
        <v>0</v>
      </c>
      <c r="AN230" s="28">
        <f t="shared" si="390"/>
        <v>0</v>
      </c>
      <c r="AO230" s="28">
        <f t="shared" si="390"/>
        <v>1</v>
      </c>
      <c r="AP230" s="28">
        <f t="shared" si="390"/>
        <v>0</v>
      </c>
      <c r="AQ230" s="28">
        <f t="shared" si="390"/>
        <v>0</v>
      </c>
      <c r="AR230" s="28">
        <f t="shared" si="390"/>
        <v>0</v>
      </c>
      <c r="AS230" s="28">
        <f t="shared" si="390"/>
        <v>0</v>
      </c>
      <c r="AT230" s="28">
        <f t="shared" si="390"/>
        <v>0</v>
      </c>
      <c r="AU230" s="28">
        <f t="shared" si="390"/>
        <v>0</v>
      </c>
      <c r="AV230" s="28">
        <f t="shared" si="391"/>
        <v>0</v>
      </c>
      <c r="AW230" s="28">
        <f t="shared" si="391"/>
        <v>0</v>
      </c>
      <c r="AX230" s="28">
        <f t="shared" si="391"/>
        <v>0</v>
      </c>
      <c r="AY230" s="28">
        <f t="shared" si="391"/>
        <v>0</v>
      </c>
      <c r="AZ230" s="28">
        <f t="shared" si="391"/>
        <v>0</v>
      </c>
      <c r="BA230" s="28">
        <f t="shared" si="391"/>
        <v>0</v>
      </c>
      <c r="BB230" s="28">
        <f t="shared" si="391"/>
        <v>0</v>
      </c>
      <c r="BC230" s="28">
        <f t="shared" si="391"/>
        <v>0</v>
      </c>
      <c r="BD230" s="28">
        <f t="shared" si="391"/>
        <v>0</v>
      </c>
      <c r="BE230" s="28">
        <f t="shared" si="391"/>
        <v>0</v>
      </c>
      <c r="BF230" s="27">
        <f t="shared" si="392"/>
        <v>1</v>
      </c>
      <c r="BG230" s="520">
        <f t="shared" si="393"/>
        <v>1.0030818160192299</v>
      </c>
      <c r="BH230" s="520">
        <f t="shared" si="372"/>
        <v>1.0058892448397847</v>
      </c>
      <c r="BI230" s="520">
        <f t="shared" si="373"/>
        <v>1.0089276407487533</v>
      </c>
      <c r="BJ230" s="520">
        <f t="shared" si="374"/>
        <v>1.0124373439172154</v>
      </c>
      <c r="BK230" s="520">
        <f t="shared" si="375"/>
        <v>1.0175505572831101</v>
      </c>
      <c r="BL230" s="520">
        <f t="shared" si="376"/>
        <v>1.023302014576742</v>
      </c>
      <c r="BM230" s="520">
        <f t="shared" si="377"/>
        <v>1.0271524590875074</v>
      </c>
      <c r="BN230" s="521" t="str">
        <f t="shared" si="378"/>
        <v>Category</v>
      </c>
      <c r="BP230" s="3"/>
    </row>
    <row r="231" spans="1:68" hidden="1" x14ac:dyDescent="0.15">
      <c r="A231" s="78" t="s">
        <v>463</v>
      </c>
      <c r="B231" s="13" t="s">
        <v>464</v>
      </c>
      <c r="C231" s="13" t="s">
        <v>27</v>
      </c>
      <c r="D231" s="13" t="s">
        <v>40</v>
      </c>
      <c r="E231" s="13" t="s">
        <v>112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5">
        <v>0</v>
      </c>
      <c r="N231" s="670"/>
      <c r="O231" s="14"/>
      <c r="P231" s="15"/>
      <c r="Q231" s="15" t="str">
        <f>IF(ISTEXT('Incurred 2.5% cpi'!Q231),"",'Incurred 2.5% cpi'!Q231/'Incurred 2.5% cpi'!Q$17*Incurred!Q$17)</f>
        <v/>
      </c>
      <c r="R231" s="110" t="str">
        <f>IF(ISTEXT('Incurred 2.5% cpi'!R231),"",'Incurred 2.5% cpi'!R231/'Incurred 2.5% cpi'!R$17*Incurred!R$17*BG231)</f>
        <v/>
      </c>
      <c r="S231" s="102" t="str">
        <f>IF(ISTEXT('Incurred 2.5% cpi'!S231),"",'Incurred 2.5% cpi'!S231/'Incurred 2.5% cpi'!S$17*Incurred!S$17*BH231)</f>
        <v/>
      </c>
      <c r="T231" s="16" t="str">
        <f>IF(ISTEXT('Incurred 2.5% cpi'!T231),"",'Incurred 2.5% cpi'!T231/'Incurred 2.5% cpi'!T$17*Incurred!T$17*BI231)</f>
        <v/>
      </c>
      <c r="U231" s="16" t="str">
        <f>IF(ISTEXT('Incurred 2.5% cpi'!U231),"",'Incurred 2.5% cpi'!U231/'Incurred 2.5% cpi'!U$17*Incurred!U$17*BJ231)</f>
        <v/>
      </c>
      <c r="V231" s="16">
        <f>IF(ISTEXT('Incurred 2.5% cpi'!V231),"",'Incurred 2.5% cpi'!V231/'Incurred 2.5% cpi'!V$17*Incurred!V$17*BK231)</f>
        <v>238026.3850007868</v>
      </c>
      <c r="W231" s="110">
        <f>IF(ISTEXT('Incurred 2.5% cpi'!W231),"",'Incurred 2.5% cpi'!W231/'Incurred 2.5% cpi'!W$17*Incurred!W$17*BL231)</f>
        <v>873809.32598723599</v>
      </c>
      <c r="X231" s="102" t="str">
        <f>IF(ISTEXT('Incurred 2.5% cpi'!X231),"",'Incurred 2.5% cpi'!X231/'Incurred 2.5% cpi'!X$17*Incurred!X$17*BM231)</f>
        <v/>
      </c>
      <c r="Y231" s="80">
        <f t="shared" si="353"/>
        <v>1111835.7109880229</v>
      </c>
      <c r="Z231" s="80">
        <f t="shared" si="369"/>
        <v>1111835.7109880229</v>
      </c>
      <c r="AA231" s="566">
        <f t="shared" si="386"/>
        <v>1117786.3706130425</v>
      </c>
      <c r="AB231" s="566">
        <f t="shared" si="370"/>
        <v>1117786.3706130425</v>
      </c>
      <c r="AC231" s="567">
        <f t="shared" si="387"/>
        <v>1</v>
      </c>
      <c r="AD231" s="568" t="str">
        <f t="shared" si="384"/>
        <v>2023</v>
      </c>
      <c r="AE231" s="569">
        <v>44939</v>
      </c>
      <c r="AF231" s="568">
        <v>2023</v>
      </c>
      <c r="AG231" s="569"/>
      <c r="AH231" s="566">
        <f t="shared" si="388"/>
        <v>987960.2762978184</v>
      </c>
      <c r="AI231" s="80">
        <f t="shared" si="371"/>
        <v>873809.32598723599</v>
      </c>
      <c r="AJ231" s="571" t="s">
        <v>3035</v>
      </c>
      <c r="AK231" s="875">
        <f>IF(ISNA(VLOOKUP(LEFT($A231,8),Estimates,72,FALSE)),0,VLOOKUP(LEFT($A231,8),Estimates,72,FALSE))</f>
        <v>0</v>
      </c>
      <c r="AL231" s="28">
        <f t="shared" si="390"/>
        <v>0</v>
      </c>
      <c r="AM231" s="28">
        <f t="shared" si="390"/>
        <v>0</v>
      </c>
      <c r="AN231" s="28">
        <f t="shared" si="390"/>
        <v>0</v>
      </c>
      <c r="AO231" s="28">
        <f t="shared" si="390"/>
        <v>1</v>
      </c>
      <c r="AP231" s="28">
        <f t="shared" si="390"/>
        <v>0</v>
      </c>
      <c r="AQ231" s="28">
        <f t="shared" si="390"/>
        <v>0</v>
      </c>
      <c r="AR231" s="28">
        <f t="shared" si="390"/>
        <v>0</v>
      </c>
      <c r="AS231" s="28">
        <f t="shared" si="390"/>
        <v>0</v>
      </c>
      <c r="AT231" s="28">
        <f t="shared" si="390"/>
        <v>0</v>
      </c>
      <c r="AU231" s="28">
        <f t="shared" si="390"/>
        <v>0</v>
      </c>
      <c r="AV231" s="28">
        <f t="shared" si="391"/>
        <v>0</v>
      </c>
      <c r="AW231" s="28">
        <f t="shared" si="391"/>
        <v>0</v>
      </c>
      <c r="AX231" s="28">
        <f t="shared" si="391"/>
        <v>0</v>
      </c>
      <c r="AY231" s="28">
        <f t="shared" si="391"/>
        <v>0</v>
      </c>
      <c r="AZ231" s="28">
        <f t="shared" si="391"/>
        <v>0</v>
      </c>
      <c r="BA231" s="28">
        <f t="shared" si="391"/>
        <v>0</v>
      </c>
      <c r="BB231" s="28">
        <f t="shared" si="391"/>
        <v>0</v>
      </c>
      <c r="BC231" s="28">
        <f t="shared" si="391"/>
        <v>0</v>
      </c>
      <c r="BD231" s="28">
        <f t="shared" si="391"/>
        <v>0</v>
      </c>
      <c r="BE231" s="28">
        <f t="shared" si="391"/>
        <v>0</v>
      </c>
      <c r="BF231" s="27">
        <f t="shared" si="392"/>
        <v>1</v>
      </c>
      <c r="BG231" s="520">
        <f t="shared" si="393"/>
        <v>1.0059304488076128</v>
      </c>
      <c r="BH231" s="520">
        <f t="shared" si="372"/>
        <v>1.0113328845135172</v>
      </c>
      <c r="BI231" s="520">
        <f t="shared" si="373"/>
        <v>1.0171797784497432</v>
      </c>
      <c r="BJ231" s="520">
        <f t="shared" si="374"/>
        <v>1.0239336258048755</v>
      </c>
      <c r="BK231" s="520">
        <f t="shared" si="375"/>
        <v>1.0337731651932187</v>
      </c>
      <c r="BL231" s="520">
        <f t="shared" si="376"/>
        <v>1.0448409002027792</v>
      </c>
      <c r="BM231" s="520">
        <f t="shared" si="377"/>
        <v>1.052250448311804</v>
      </c>
      <c r="BN231" s="521" t="str">
        <f t="shared" si="378"/>
        <v>Project</v>
      </c>
      <c r="BP231" s="3"/>
    </row>
    <row r="232" spans="1:68" hidden="1" x14ac:dyDescent="0.15">
      <c r="A232" s="78" t="s">
        <v>465</v>
      </c>
      <c r="B232" s="13" t="s">
        <v>466</v>
      </c>
      <c r="C232" s="13" t="s">
        <v>27</v>
      </c>
      <c r="D232" s="13" t="s">
        <v>40</v>
      </c>
      <c r="E232" s="13" t="s">
        <v>112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5">
        <v>0</v>
      </c>
      <c r="N232" s="670"/>
      <c r="O232" s="14"/>
      <c r="P232" s="15"/>
      <c r="Q232" s="15" t="str">
        <f>IF(ISTEXT('Incurred 2.5% cpi'!Q232),"",'Incurred 2.5% cpi'!Q232/'Incurred 2.5% cpi'!Q$17*Incurred!Q$17)</f>
        <v/>
      </c>
      <c r="R232" s="110" t="str">
        <f>IF(ISTEXT('Incurred 2.5% cpi'!R232),"",'Incurred 2.5% cpi'!R232/'Incurred 2.5% cpi'!R$17*Incurred!R$17*BG232)</f>
        <v/>
      </c>
      <c r="S232" s="102" t="str">
        <f>IF(ISTEXT('Incurred 2.5% cpi'!S232),"",'Incurred 2.5% cpi'!S232/'Incurred 2.5% cpi'!S$17*Incurred!S$17*BH232)</f>
        <v/>
      </c>
      <c r="T232" s="16" t="str">
        <f>IF(ISTEXT('Incurred 2.5% cpi'!T232),"",'Incurred 2.5% cpi'!T232/'Incurred 2.5% cpi'!T$17*Incurred!T$17*BI232)</f>
        <v/>
      </c>
      <c r="U232" s="16">
        <f>IF(ISTEXT('Incurred 2.5% cpi'!U232),"",'Incurred 2.5% cpi'!U232/'Incurred 2.5% cpi'!U$17*Incurred!U$17*BJ232)</f>
        <v>182503.63585213921</v>
      </c>
      <c r="V232" s="16">
        <f>IF(ISTEXT('Incurred 2.5% cpi'!V232),"",'Incurred 2.5% cpi'!V232/'Incurred 2.5% cpi'!V$17*Incurred!V$17*BK232)</f>
        <v>700333.9932829031</v>
      </c>
      <c r="W232" s="110">
        <f>IF(ISTEXT('Incurred 2.5% cpi'!W232),"",'Incurred 2.5% cpi'!W232/'Incurred 2.5% cpi'!W$17*Incurred!W$17*BL232)</f>
        <v>945611.83749007119</v>
      </c>
      <c r="X232" s="102" t="str">
        <f>IF(ISTEXT('Incurred 2.5% cpi'!X232),"",'Incurred 2.5% cpi'!X232/'Incurred 2.5% cpi'!X$17*Incurred!X$17*BM232)</f>
        <v/>
      </c>
      <c r="Y232" s="80">
        <f t="shared" si="353"/>
        <v>1828449.4666251135</v>
      </c>
      <c r="Z232" s="80">
        <f t="shared" si="369"/>
        <v>1828449.4666251135</v>
      </c>
      <c r="AA232" s="566">
        <f t="shared" si="386"/>
        <v>1855197.0630222005</v>
      </c>
      <c r="AB232" s="566">
        <f t="shared" si="370"/>
        <v>1855197.0630222005</v>
      </c>
      <c r="AC232" s="567">
        <f t="shared" si="387"/>
        <v>1</v>
      </c>
      <c r="AD232" s="568" t="str">
        <f t="shared" si="384"/>
        <v>2023</v>
      </c>
      <c r="AE232" s="569">
        <v>44923</v>
      </c>
      <c r="AF232" s="568">
        <v>2023</v>
      </c>
      <c r="AG232" s="569"/>
      <c r="AH232" s="566">
        <f t="shared" si="388"/>
        <v>1639723.8785127555</v>
      </c>
      <c r="AI232" s="80">
        <f t="shared" si="371"/>
        <v>945611.83749007119</v>
      </c>
      <c r="AJ232" s="571" t="s">
        <v>3035</v>
      </c>
      <c r="AK232" s="875">
        <f t="shared" si="389"/>
        <v>1500000.0000000019</v>
      </c>
      <c r="AL232" s="28">
        <f t="shared" si="390"/>
        <v>0</v>
      </c>
      <c r="AM232" s="28">
        <f t="shared" si="390"/>
        <v>0</v>
      </c>
      <c r="AN232" s="28">
        <f t="shared" si="390"/>
        <v>0</v>
      </c>
      <c r="AO232" s="378">
        <f t="shared" si="390"/>
        <v>1</v>
      </c>
      <c r="AP232" s="378">
        <f t="shared" si="390"/>
        <v>0</v>
      </c>
      <c r="AQ232" s="378">
        <f t="shared" si="390"/>
        <v>0</v>
      </c>
      <c r="AR232" s="378">
        <f t="shared" si="390"/>
        <v>0</v>
      </c>
      <c r="AS232" s="28">
        <f t="shared" si="390"/>
        <v>0</v>
      </c>
      <c r="AT232" s="28">
        <f t="shared" si="390"/>
        <v>0</v>
      </c>
      <c r="AU232" s="28">
        <f t="shared" si="390"/>
        <v>0</v>
      </c>
      <c r="AV232" s="28">
        <f t="shared" si="391"/>
        <v>0</v>
      </c>
      <c r="AW232" s="28">
        <f t="shared" si="391"/>
        <v>0</v>
      </c>
      <c r="AX232" s="28">
        <f t="shared" si="391"/>
        <v>0</v>
      </c>
      <c r="AY232" s="28">
        <f t="shared" si="391"/>
        <v>0</v>
      </c>
      <c r="AZ232" s="28">
        <f t="shared" si="391"/>
        <v>0</v>
      </c>
      <c r="BA232" s="28">
        <f t="shared" si="391"/>
        <v>0</v>
      </c>
      <c r="BB232" s="28">
        <f t="shared" si="391"/>
        <v>0</v>
      </c>
      <c r="BC232" s="28">
        <f t="shared" si="391"/>
        <v>0</v>
      </c>
      <c r="BD232" s="28">
        <f t="shared" si="391"/>
        <v>0</v>
      </c>
      <c r="BE232" s="28">
        <f t="shared" si="391"/>
        <v>0</v>
      </c>
      <c r="BF232" s="27">
        <f t="shared" si="392"/>
        <v>1</v>
      </c>
      <c r="BG232" s="520">
        <f t="shared" si="393"/>
        <v>1.0059304488076128</v>
      </c>
      <c r="BH232" s="520">
        <f t="shared" si="372"/>
        <v>1.0113328845135172</v>
      </c>
      <c r="BI232" s="520">
        <f t="shared" si="373"/>
        <v>1.0171797784497432</v>
      </c>
      <c r="BJ232" s="520">
        <f t="shared" si="374"/>
        <v>1.0239336258048755</v>
      </c>
      <c r="BK232" s="520">
        <f t="shared" si="375"/>
        <v>1.0337731651932187</v>
      </c>
      <c r="BL232" s="520">
        <f t="shared" si="376"/>
        <v>1.0448409002027792</v>
      </c>
      <c r="BM232" s="520">
        <f t="shared" si="377"/>
        <v>1.052250448311804</v>
      </c>
      <c r="BN232" s="521" t="str">
        <f t="shared" si="378"/>
        <v>Project</v>
      </c>
      <c r="BP232" s="3"/>
    </row>
    <row r="233" spans="1:68" hidden="1" x14ac:dyDescent="0.15">
      <c r="A233" s="78" t="s">
        <v>467</v>
      </c>
      <c r="B233" s="13" t="s">
        <v>2319</v>
      </c>
      <c r="C233" s="13" t="s">
        <v>27</v>
      </c>
      <c r="D233" s="13" t="s">
        <v>55</v>
      </c>
      <c r="E233" s="13" t="s">
        <v>29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5">
        <v>0</v>
      </c>
      <c r="N233" s="670"/>
      <c r="O233" s="14"/>
      <c r="P233" s="15"/>
      <c r="Q233" s="15">
        <f>IF(ISTEXT('Incurred 2.5% cpi'!Q233),"",'Incurred 2.5% cpi'!Q233/'Incurred 2.5% cpi'!Q$17*Incurred!Q$17)</f>
        <v>1394.38</v>
      </c>
      <c r="R233" s="110">
        <f>IF(ISTEXT('Incurred 2.5% cpi'!R233),"",'Incurred 2.5% cpi'!R233/'Incurred 2.5% cpi'!R$17*Incurred!R$17*BG233)</f>
        <v>264963.67977159249</v>
      </c>
      <c r="S233" s="102" t="str">
        <f>IF(ISTEXT('Incurred 2.5% cpi'!S233),"",'Incurred 2.5% cpi'!S233/'Incurred 2.5% cpi'!S$17*Incurred!S$17*BH233)</f>
        <v/>
      </c>
      <c r="T233" s="16" t="str">
        <f>IF(ISTEXT('Incurred 2.5% cpi'!T233),"",'Incurred 2.5% cpi'!T233/'Incurred 2.5% cpi'!T$17*Incurred!T$17*BI233)</f>
        <v/>
      </c>
      <c r="U233" s="16" t="str">
        <f>IF(ISTEXT('Incurred 2.5% cpi'!U233),"",'Incurred 2.5% cpi'!U233/'Incurred 2.5% cpi'!U$17*Incurred!U$17*BJ233)</f>
        <v/>
      </c>
      <c r="V233" s="16" t="str">
        <f>IF(ISTEXT('Incurred 2.5% cpi'!V233),"",'Incurred 2.5% cpi'!V233/'Incurred 2.5% cpi'!V$17*Incurred!V$17*BK233)</f>
        <v/>
      </c>
      <c r="W233" s="110" t="str">
        <f>IF(ISTEXT('Incurred 2.5% cpi'!W233),"",'Incurred 2.5% cpi'!W233/'Incurred 2.5% cpi'!W$17*Incurred!W$17*BL233)</f>
        <v/>
      </c>
      <c r="X233" s="102" t="str">
        <f>IF(ISTEXT('Incurred 2.5% cpi'!X233),"",'Incurred 2.5% cpi'!X233/'Incurred 2.5% cpi'!X$17*Incurred!X$17*BM233)</f>
        <v/>
      </c>
      <c r="Y233" s="80">
        <f t="shared" si="353"/>
        <v>266358.0597715925</v>
      </c>
      <c r="Z233" s="80">
        <f t="shared" si="369"/>
        <v>266358.0597715925</v>
      </c>
      <c r="AA233" s="566">
        <f t="shared" si="386"/>
        <v>301399.13671978889</v>
      </c>
      <c r="AB233" s="566">
        <f t="shared" si="370"/>
        <v>266392.91927159246</v>
      </c>
      <c r="AC233" s="567">
        <f t="shared" si="387"/>
        <v>1.1314082128906247</v>
      </c>
      <c r="AD233" s="568" t="str">
        <f t="shared" si="384"/>
        <v>2018</v>
      </c>
      <c r="AE233" s="569">
        <v>42982</v>
      </c>
      <c r="AF233" s="568">
        <v>2018</v>
      </c>
      <c r="AG233" s="569"/>
      <c r="AH233" s="566">
        <f t="shared" si="388"/>
        <v>266392.91927159252</v>
      </c>
      <c r="AI233" s="80">
        <f t="shared" si="371"/>
        <v>264963.67977159249</v>
      </c>
      <c r="AJ233" s="571" t="s">
        <v>0</v>
      </c>
      <c r="AK233" s="875">
        <f>IF(ISNA(VLOOKUP(LEFT($A233,8),Estimates,72,FALSE)),0,VLOOKUP(LEFT($A233,8),Estimates,72,FALSE))</f>
        <v>0</v>
      </c>
      <c r="AL233" s="28">
        <f t="shared" si="390"/>
        <v>0</v>
      </c>
      <c r="AM233" s="28">
        <f t="shared" si="390"/>
        <v>0</v>
      </c>
      <c r="AN233" s="28">
        <f t="shared" si="390"/>
        <v>0</v>
      </c>
      <c r="AO233" s="28">
        <f t="shared" si="390"/>
        <v>1</v>
      </c>
      <c r="AP233" s="28">
        <f t="shared" si="390"/>
        <v>0</v>
      </c>
      <c r="AQ233" s="28">
        <f t="shared" si="390"/>
        <v>0</v>
      </c>
      <c r="AR233" s="28">
        <f t="shared" si="390"/>
        <v>0</v>
      </c>
      <c r="AS233" s="28">
        <f t="shared" si="390"/>
        <v>0</v>
      </c>
      <c r="AT233" s="28">
        <f t="shared" si="390"/>
        <v>0</v>
      </c>
      <c r="AU233" s="28">
        <f t="shared" si="390"/>
        <v>0</v>
      </c>
      <c r="AV233" s="28">
        <f t="shared" si="391"/>
        <v>0</v>
      </c>
      <c r="AW233" s="28">
        <f t="shared" si="391"/>
        <v>0</v>
      </c>
      <c r="AX233" s="28">
        <f t="shared" si="391"/>
        <v>0</v>
      </c>
      <c r="AY233" s="28">
        <f t="shared" si="391"/>
        <v>0</v>
      </c>
      <c r="AZ233" s="28">
        <f t="shared" si="391"/>
        <v>0</v>
      </c>
      <c r="BA233" s="28">
        <f t="shared" si="391"/>
        <v>0</v>
      </c>
      <c r="BB233" s="28">
        <f t="shared" si="391"/>
        <v>0</v>
      </c>
      <c r="BC233" s="28">
        <f t="shared" si="391"/>
        <v>0</v>
      </c>
      <c r="BD233" s="28">
        <f t="shared" si="391"/>
        <v>0</v>
      </c>
      <c r="BE233" s="28">
        <f t="shared" si="391"/>
        <v>0</v>
      </c>
      <c r="BF233" s="27">
        <f t="shared" si="392"/>
        <v>1</v>
      </c>
      <c r="BG233" s="520">
        <f t="shared" si="393"/>
        <v>1.0046190746045656</v>
      </c>
      <c r="BH233" s="520">
        <f t="shared" si="372"/>
        <v>1.0088268933348963</v>
      </c>
      <c r="BI233" s="520">
        <f t="shared" si="373"/>
        <v>1.0133808891912874</v>
      </c>
      <c r="BJ233" s="520">
        <f t="shared" si="374"/>
        <v>1.018641287824382</v>
      </c>
      <c r="BK233" s="520">
        <f t="shared" si="375"/>
        <v>1.0263050529092395</v>
      </c>
      <c r="BL233" s="520">
        <f t="shared" si="376"/>
        <v>1.0349254280901359</v>
      </c>
      <c r="BM233" s="520">
        <f t="shared" si="377"/>
        <v>1.0406965352376705</v>
      </c>
      <c r="BN233" s="521" t="str">
        <f t="shared" si="378"/>
        <v>Category</v>
      </c>
      <c r="BP233" s="3"/>
    </row>
    <row r="234" spans="1:68" hidden="1" x14ac:dyDescent="0.15">
      <c r="A234" s="78" t="s">
        <v>468</v>
      </c>
      <c r="B234" s="13" t="s">
        <v>469</v>
      </c>
      <c r="C234" s="13" t="s">
        <v>27</v>
      </c>
      <c r="D234" s="13" t="s">
        <v>55</v>
      </c>
      <c r="E234" s="13" t="s">
        <v>29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5">
        <v>0</v>
      </c>
      <c r="N234" s="670"/>
      <c r="O234" s="14"/>
      <c r="P234" s="15">
        <v>49993.08</v>
      </c>
      <c r="Q234" s="15">
        <f>IF(ISTEXT('Incurred 2.5% cpi'!Q234),"",'Incurred 2.5% cpi'!Q234/'Incurred 2.5% cpi'!Q$17*Incurred!Q$17)</f>
        <v>1585770.66</v>
      </c>
      <c r="R234" s="110">
        <f>IF(ISTEXT('Incurred 2.5% cpi'!R234),"",'Incurred 2.5% cpi'!R234/'Incurred 2.5% cpi'!R$17*Incurred!R$17*BG234)</f>
        <v>265313.10637812142</v>
      </c>
      <c r="S234" s="102" t="str">
        <f>IF(ISTEXT('Incurred 2.5% cpi'!S234),"",'Incurred 2.5% cpi'!S234/'Incurred 2.5% cpi'!S$17*Incurred!S$17*BH234)</f>
        <v/>
      </c>
      <c r="T234" s="16" t="str">
        <f>IF(ISTEXT('Incurred 2.5% cpi'!T234),"",'Incurred 2.5% cpi'!T234/'Incurred 2.5% cpi'!T$17*Incurred!T$17*BI234)</f>
        <v/>
      </c>
      <c r="U234" s="16" t="str">
        <f>IF(ISTEXT('Incurred 2.5% cpi'!U234),"",'Incurred 2.5% cpi'!U234/'Incurred 2.5% cpi'!U$17*Incurred!U$17*BJ234)</f>
        <v/>
      </c>
      <c r="V234" s="16" t="str">
        <f>IF(ISTEXT('Incurred 2.5% cpi'!V234),"",'Incurred 2.5% cpi'!V234/'Incurred 2.5% cpi'!V$17*Incurred!V$17*BK234)</f>
        <v/>
      </c>
      <c r="W234" s="110" t="str">
        <f>IF(ISTEXT('Incurred 2.5% cpi'!W234),"",'Incurred 2.5% cpi'!W234/'Incurred 2.5% cpi'!W$17*Incurred!W$17*BL234)</f>
        <v/>
      </c>
      <c r="X234" s="102" t="str">
        <f>IF(ISTEXT('Incurred 2.5% cpi'!X234),"",'Incurred 2.5% cpi'!X234/'Incurred 2.5% cpi'!X$17*Incurred!X$17*BM234)</f>
        <v/>
      </c>
      <c r="Y234" s="80">
        <f t="shared" si="353"/>
        <v>1901076.8463781215</v>
      </c>
      <c r="Z234" s="80">
        <f t="shared" si="369"/>
        <v>1901076.8463781215</v>
      </c>
      <c r="AA234" s="566">
        <f t="shared" si="386"/>
        <v>2198394.2761683553</v>
      </c>
      <c r="AB234" s="566">
        <f t="shared" si="370"/>
        <v>1943060.2068476218</v>
      </c>
      <c r="AC234" s="567">
        <f t="shared" si="387"/>
        <v>1.1314082128906247</v>
      </c>
      <c r="AD234" s="568" t="str">
        <f t="shared" si="384"/>
        <v>2018</v>
      </c>
      <c r="AE234" s="569">
        <v>42923</v>
      </c>
      <c r="AF234" s="568">
        <v>2018</v>
      </c>
      <c r="AG234" s="569"/>
      <c r="AH234" s="566">
        <f t="shared" si="388"/>
        <v>1943060.2068476221</v>
      </c>
      <c r="AI234" s="80">
        <f t="shared" si="371"/>
        <v>265313.10637812142</v>
      </c>
      <c r="AJ234" s="571" t="s">
        <v>0</v>
      </c>
      <c r="AK234" s="875">
        <f t="shared" si="389"/>
        <v>0</v>
      </c>
      <c r="AL234" s="28">
        <f t="shared" ref="AL234:AU239" si="394">IF($AK234=0,VLOOKUP(MID($A234,4,5),ProjectSplits,AL$23,FALSE),IF(ISNA(VLOOKUP($A234,Estimates,AL$22,FALSE)),VLOOKUP(MID($A234,4,5),ProjectSplits,AL$23,FALSE),VLOOKUP($A234,Estimates,AL$22,FALSE)))</f>
        <v>0</v>
      </c>
      <c r="AM234" s="28">
        <f t="shared" si="394"/>
        <v>0</v>
      </c>
      <c r="AN234" s="28">
        <f t="shared" si="394"/>
        <v>0</v>
      </c>
      <c r="AO234" s="28">
        <f t="shared" si="394"/>
        <v>1</v>
      </c>
      <c r="AP234" s="28">
        <f t="shared" si="394"/>
        <v>0</v>
      </c>
      <c r="AQ234" s="28">
        <f t="shared" si="394"/>
        <v>0</v>
      </c>
      <c r="AR234" s="28">
        <f t="shared" si="394"/>
        <v>0</v>
      </c>
      <c r="AS234" s="28">
        <f t="shared" si="394"/>
        <v>0</v>
      </c>
      <c r="AT234" s="28">
        <f t="shared" si="394"/>
        <v>0</v>
      </c>
      <c r="AU234" s="28">
        <f t="shared" si="394"/>
        <v>0</v>
      </c>
      <c r="AV234" s="28">
        <f t="shared" ref="AV234:BE239" si="395">IF($AK234=0,VLOOKUP(MID($A234,4,5),ProjectSplits,AV$23,FALSE),IF(ISNA(VLOOKUP($A234,Estimates,AV$22,FALSE)),VLOOKUP(MID($A234,4,5),ProjectSplits,AV$23,FALSE),VLOOKUP($A234,Estimates,AV$22,FALSE)))</f>
        <v>0</v>
      </c>
      <c r="AW234" s="28">
        <f t="shared" si="395"/>
        <v>0</v>
      </c>
      <c r="AX234" s="28">
        <f t="shared" si="395"/>
        <v>0</v>
      </c>
      <c r="AY234" s="28">
        <f t="shared" si="395"/>
        <v>0</v>
      </c>
      <c r="AZ234" s="28">
        <f t="shared" si="395"/>
        <v>0</v>
      </c>
      <c r="BA234" s="28">
        <f t="shared" si="395"/>
        <v>0</v>
      </c>
      <c r="BB234" s="28">
        <f t="shared" si="395"/>
        <v>0</v>
      </c>
      <c r="BC234" s="28">
        <f t="shared" si="395"/>
        <v>0</v>
      </c>
      <c r="BD234" s="28">
        <f t="shared" si="395"/>
        <v>0</v>
      </c>
      <c r="BE234" s="28">
        <f t="shared" si="395"/>
        <v>0</v>
      </c>
      <c r="BF234" s="27">
        <f t="shared" si="392"/>
        <v>1</v>
      </c>
      <c r="BG234" s="520">
        <f t="shared" si="393"/>
        <v>1.0046190746045656</v>
      </c>
      <c r="BH234" s="520">
        <f t="shared" si="372"/>
        <v>1.0088268933348963</v>
      </c>
      <c r="BI234" s="520">
        <f t="shared" si="373"/>
        <v>1.0133808891912874</v>
      </c>
      <c r="BJ234" s="520">
        <f t="shared" si="374"/>
        <v>1.018641287824382</v>
      </c>
      <c r="BK234" s="520">
        <f t="shared" si="375"/>
        <v>1.0263050529092395</v>
      </c>
      <c r="BL234" s="520">
        <f t="shared" si="376"/>
        <v>1.0349254280901359</v>
      </c>
      <c r="BM234" s="520">
        <f t="shared" si="377"/>
        <v>1.0406965352376705</v>
      </c>
      <c r="BN234" s="521" t="str">
        <f t="shared" si="378"/>
        <v>Category</v>
      </c>
      <c r="BP234" s="3"/>
    </row>
    <row r="235" spans="1:68" hidden="1" x14ac:dyDescent="0.15">
      <c r="A235" s="78" t="s">
        <v>470</v>
      </c>
      <c r="B235" s="13" t="s">
        <v>471</v>
      </c>
      <c r="C235" s="13" t="s">
        <v>27</v>
      </c>
      <c r="D235" s="13" t="s">
        <v>40</v>
      </c>
      <c r="E235" s="13" t="s">
        <v>112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5">
        <v>0</v>
      </c>
      <c r="N235" s="670"/>
      <c r="O235" s="14"/>
      <c r="P235" s="15"/>
      <c r="Q235" s="15" t="str">
        <f>IF(ISTEXT('Incurred 2.5% cpi'!Q235),"",'Incurred 2.5% cpi'!Q235/'Incurred 2.5% cpi'!Q$17*Incurred!Q$17)</f>
        <v/>
      </c>
      <c r="R235" s="110" t="str">
        <f>IF(ISTEXT('Incurred 2.5% cpi'!R235),"",'Incurred 2.5% cpi'!R235/'Incurred 2.5% cpi'!R$17*Incurred!R$17*BG235)</f>
        <v/>
      </c>
      <c r="S235" s="102">
        <f>IF(ISTEXT('Incurred 2.5% cpi'!S235),"",'Incurred 2.5% cpi'!S235/'Incurred 2.5% cpi'!S$17*Incurred!S$17*BH235)</f>
        <v>223799.90701975179</v>
      </c>
      <c r="T235" s="16">
        <f>IF(ISTEXT('Incurred 2.5% cpi'!T235),"",'Incurred 2.5% cpi'!T235/'Incurred 2.5% cpi'!T$17*Incurred!T$17*BI235)</f>
        <v>783877.5528537177</v>
      </c>
      <c r="U235" s="16" t="str">
        <f>IF(ISTEXT('Incurred 2.5% cpi'!U235),"",'Incurred 2.5% cpi'!U235/'Incurred 2.5% cpi'!U$17*Incurred!U$17*BJ235)</f>
        <v/>
      </c>
      <c r="V235" s="16" t="str">
        <f>IF(ISTEXT('Incurred 2.5% cpi'!V235),"",'Incurred 2.5% cpi'!V235/'Incurred 2.5% cpi'!V$17*Incurred!V$17*BK235)</f>
        <v/>
      </c>
      <c r="W235" s="110" t="str">
        <f>IF(ISTEXT('Incurred 2.5% cpi'!W235),"",'Incurred 2.5% cpi'!W235/'Incurred 2.5% cpi'!W$17*Incurred!W$17*BL235)</f>
        <v/>
      </c>
      <c r="X235" s="102" t="str">
        <f>IF(ISTEXT('Incurred 2.5% cpi'!X235),"",'Incurred 2.5% cpi'!X235/'Incurred 2.5% cpi'!X$17*Incurred!X$17*BM235)</f>
        <v/>
      </c>
      <c r="Y235" s="80">
        <f t="shared" si="353"/>
        <v>1007677.4598734695</v>
      </c>
      <c r="Z235" s="80">
        <f t="shared" si="369"/>
        <v>1007677.4598734695</v>
      </c>
      <c r="AA235" s="566">
        <f t="shared" si="386"/>
        <v>1091183.610105189</v>
      </c>
      <c r="AB235" s="566">
        <f t="shared" si="370"/>
        <v>1013272.4575489634</v>
      </c>
      <c r="AC235" s="567">
        <f t="shared" si="387"/>
        <v>1.0768906249999999</v>
      </c>
      <c r="AD235" s="568" t="str">
        <f t="shared" si="384"/>
        <v>2020</v>
      </c>
      <c r="AE235" s="569">
        <v>43754</v>
      </c>
      <c r="AF235" s="568">
        <v>2020</v>
      </c>
      <c r="AG235" s="569"/>
      <c r="AH235" s="566">
        <f t="shared" si="388"/>
        <v>964447.31236070278</v>
      </c>
      <c r="AI235" s="80">
        <f t="shared" si="371"/>
        <v>783877.5528537177</v>
      </c>
      <c r="AJ235" s="571" t="s">
        <v>3035</v>
      </c>
      <c r="AK235" s="875">
        <f t="shared" ref="AK235:AK242" si="396">IF(ISNA(VLOOKUP(LEFT($A235,8),Estimates,72,FALSE)),0,VLOOKUP(LEFT($A235,8),Estimates,72,FALSE))</f>
        <v>0</v>
      </c>
      <c r="AL235" s="28">
        <f t="shared" si="394"/>
        <v>0</v>
      </c>
      <c r="AM235" s="28">
        <f t="shared" si="394"/>
        <v>0</v>
      </c>
      <c r="AN235" s="28">
        <f t="shared" si="394"/>
        <v>0</v>
      </c>
      <c r="AO235" s="28">
        <f t="shared" si="394"/>
        <v>1</v>
      </c>
      <c r="AP235" s="28">
        <f t="shared" si="394"/>
        <v>0</v>
      </c>
      <c r="AQ235" s="28">
        <f t="shared" si="394"/>
        <v>0</v>
      </c>
      <c r="AR235" s="28">
        <f t="shared" si="394"/>
        <v>0</v>
      </c>
      <c r="AS235" s="28">
        <f t="shared" si="394"/>
        <v>0</v>
      </c>
      <c r="AT235" s="28">
        <f t="shared" si="394"/>
        <v>0</v>
      </c>
      <c r="AU235" s="28">
        <f t="shared" si="394"/>
        <v>0</v>
      </c>
      <c r="AV235" s="28">
        <f t="shared" si="395"/>
        <v>0</v>
      </c>
      <c r="AW235" s="28">
        <f t="shared" si="395"/>
        <v>0</v>
      </c>
      <c r="AX235" s="28">
        <f t="shared" si="395"/>
        <v>0</v>
      </c>
      <c r="AY235" s="28">
        <f t="shared" si="395"/>
        <v>0</v>
      </c>
      <c r="AZ235" s="28">
        <f t="shared" si="395"/>
        <v>0</v>
      </c>
      <c r="BA235" s="28">
        <f t="shared" si="395"/>
        <v>0</v>
      </c>
      <c r="BB235" s="28">
        <f t="shared" si="395"/>
        <v>0</v>
      </c>
      <c r="BC235" s="28">
        <f t="shared" si="395"/>
        <v>0</v>
      </c>
      <c r="BD235" s="28">
        <f t="shared" si="395"/>
        <v>0</v>
      </c>
      <c r="BE235" s="28">
        <f t="shared" si="395"/>
        <v>0</v>
      </c>
      <c r="BF235" s="27">
        <f t="shared" si="392"/>
        <v>1</v>
      </c>
      <c r="BG235" s="520">
        <f t="shared" si="393"/>
        <v>1.0059304488076128</v>
      </c>
      <c r="BH235" s="520">
        <f t="shared" si="372"/>
        <v>1.0113328845135172</v>
      </c>
      <c r="BI235" s="520">
        <f t="shared" si="373"/>
        <v>1.0171797784497432</v>
      </c>
      <c r="BJ235" s="520">
        <f t="shared" si="374"/>
        <v>1.0239336258048755</v>
      </c>
      <c r="BK235" s="520">
        <f t="shared" si="375"/>
        <v>1.0337731651932187</v>
      </c>
      <c r="BL235" s="520">
        <f t="shared" si="376"/>
        <v>1.0448409002027792</v>
      </c>
      <c r="BM235" s="520">
        <f t="shared" si="377"/>
        <v>1.052250448311804</v>
      </c>
      <c r="BN235" s="521" t="str">
        <f t="shared" si="378"/>
        <v>Project</v>
      </c>
      <c r="BP235" s="3"/>
    </row>
    <row r="236" spans="1:68" hidden="1" x14ac:dyDescent="0.15">
      <c r="A236" s="78" t="s">
        <v>472</v>
      </c>
      <c r="B236" s="13" t="s">
        <v>2320</v>
      </c>
      <c r="C236" s="13" t="s">
        <v>27</v>
      </c>
      <c r="D236" s="13" t="s">
        <v>55</v>
      </c>
      <c r="E236" s="13" t="s">
        <v>29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5">
        <v>0</v>
      </c>
      <c r="N236" s="670"/>
      <c r="O236" s="14"/>
      <c r="P236" s="15"/>
      <c r="Q236" s="15">
        <f>IF(ISTEXT('Incurred 2.5% cpi'!Q236),"",'Incurred 2.5% cpi'!Q236/'Incurred 2.5% cpi'!Q$17*Incurred!Q$17)</f>
        <v>72576.850000000006</v>
      </c>
      <c r="R236" s="110">
        <f>IF(ISTEXT('Incurred 2.5% cpi'!R236),"",'Incurred 2.5% cpi'!R236/'Incurred 2.5% cpi'!R$17*Incurred!R$17*BG236)</f>
        <v>597798.9620986951</v>
      </c>
      <c r="S236" s="102" t="str">
        <f>IF(ISTEXT('Incurred 2.5% cpi'!S236),"",'Incurred 2.5% cpi'!S236/'Incurred 2.5% cpi'!S$17*Incurred!S$17*BH236)</f>
        <v/>
      </c>
      <c r="T236" s="16" t="str">
        <f>IF(ISTEXT('Incurred 2.5% cpi'!T236),"",'Incurred 2.5% cpi'!T236/'Incurred 2.5% cpi'!T$17*Incurred!T$17*BI236)</f>
        <v/>
      </c>
      <c r="U236" s="16" t="str">
        <f>IF(ISTEXT('Incurred 2.5% cpi'!U236),"",'Incurred 2.5% cpi'!U236/'Incurred 2.5% cpi'!U$17*Incurred!U$17*BJ236)</f>
        <v/>
      </c>
      <c r="V236" s="16" t="str">
        <f>IF(ISTEXT('Incurred 2.5% cpi'!V236),"",'Incurred 2.5% cpi'!V236/'Incurred 2.5% cpi'!V$17*Incurred!V$17*BK236)</f>
        <v/>
      </c>
      <c r="W236" s="110" t="str">
        <f>IF(ISTEXT('Incurred 2.5% cpi'!W236),"",'Incurred 2.5% cpi'!W236/'Incurred 2.5% cpi'!W$17*Incurred!W$17*BL236)</f>
        <v/>
      </c>
      <c r="X236" s="102" t="str">
        <f>IF(ISTEXT('Incurred 2.5% cpi'!X236),"",'Incurred 2.5% cpi'!X236/'Incurred 2.5% cpi'!X$17*Incurred!X$17*BM236)</f>
        <v/>
      </c>
      <c r="Y236" s="80">
        <f t="shared" si="353"/>
        <v>670375.81209869508</v>
      </c>
      <c r="Z236" s="80">
        <f t="shared" si="369"/>
        <v>670375.81209869508</v>
      </c>
      <c r="AA236" s="566">
        <f t="shared" si="386"/>
        <v>760521.55063557916</v>
      </c>
      <c r="AB236" s="566">
        <f t="shared" si="370"/>
        <v>672190.23334869521</v>
      </c>
      <c r="AC236" s="567">
        <f t="shared" si="387"/>
        <v>1.1314082128906247</v>
      </c>
      <c r="AD236" s="568" t="str">
        <f t="shared" si="384"/>
        <v>2018</v>
      </c>
      <c r="AE236" s="569">
        <v>42909</v>
      </c>
      <c r="AF236" s="568">
        <v>2018</v>
      </c>
      <c r="AG236" s="569"/>
      <c r="AH236" s="566">
        <f t="shared" si="388"/>
        <v>672190.2333486951</v>
      </c>
      <c r="AI236" s="80">
        <f t="shared" si="371"/>
        <v>597798.9620986951</v>
      </c>
      <c r="AJ236" s="571" t="s">
        <v>0</v>
      </c>
      <c r="AK236" s="875">
        <f t="shared" si="396"/>
        <v>0</v>
      </c>
      <c r="AL236" s="28">
        <f t="shared" si="394"/>
        <v>0</v>
      </c>
      <c r="AM236" s="28">
        <f t="shared" si="394"/>
        <v>0</v>
      </c>
      <c r="AN236" s="28">
        <f t="shared" si="394"/>
        <v>0</v>
      </c>
      <c r="AO236" s="28">
        <f t="shared" si="394"/>
        <v>1</v>
      </c>
      <c r="AP236" s="28">
        <f t="shared" si="394"/>
        <v>0</v>
      </c>
      <c r="AQ236" s="28">
        <f t="shared" si="394"/>
        <v>0</v>
      </c>
      <c r="AR236" s="28">
        <f t="shared" si="394"/>
        <v>0</v>
      </c>
      <c r="AS236" s="28">
        <f t="shared" si="394"/>
        <v>0</v>
      </c>
      <c r="AT236" s="28">
        <f t="shared" si="394"/>
        <v>0</v>
      </c>
      <c r="AU236" s="28">
        <f t="shared" si="394"/>
        <v>0</v>
      </c>
      <c r="AV236" s="28">
        <f t="shared" si="395"/>
        <v>0</v>
      </c>
      <c r="AW236" s="28">
        <f t="shared" si="395"/>
        <v>0</v>
      </c>
      <c r="AX236" s="28">
        <f t="shared" si="395"/>
        <v>0</v>
      </c>
      <c r="AY236" s="28">
        <f t="shared" si="395"/>
        <v>0</v>
      </c>
      <c r="AZ236" s="28">
        <f t="shared" si="395"/>
        <v>0</v>
      </c>
      <c r="BA236" s="28">
        <f t="shared" si="395"/>
        <v>0</v>
      </c>
      <c r="BB236" s="28">
        <f t="shared" si="395"/>
        <v>0</v>
      </c>
      <c r="BC236" s="28">
        <f t="shared" si="395"/>
        <v>0</v>
      </c>
      <c r="BD236" s="28">
        <f t="shared" si="395"/>
        <v>0</v>
      </c>
      <c r="BE236" s="28">
        <f t="shared" si="395"/>
        <v>0</v>
      </c>
      <c r="BF236" s="27">
        <f t="shared" si="392"/>
        <v>1</v>
      </c>
      <c r="BG236" s="520">
        <f t="shared" si="393"/>
        <v>1.0046190746045656</v>
      </c>
      <c r="BH236" s="520">
        <f t="shared" si="372"/>
        <v>1.0088268933348963</v>
      </c>
      <c r="BI236" s="520">
        <f t="shared" si="373"/>
        <v>1.0133808891912874</v>
      </c>
      <c r="BJ236" s="520">
        <f t="shared" si="374"/>
        <v>1.018641287824382</v>
      </c>
      <c r="BK236" s="520">
        <f t="shared" si="375"/>
        <v>1.0263050529092395</v>
      </c>
      <c r="BL236" s="520">
        <f t="shared" si="376"/>
        <v>1.0349254280901359</v>
      </c>
      <c r="BM236" s="520">
        <f t="shared" si="377"/>
        <v>1.0406965352376705</v>
      </c>
      <c r="BN236" s="521" t="str">
        <f t="shared" si="378"/>
        <v>Category</v>
      </c>
      <c r="BP236" s="3"/>
    </row>
    <row r="237" spans="1:68" hidden="1" x14ac:dyDescent="0.15">
      <c r="A237" s="12" t="s">
        <v>473</v>
      </c>
      <c r="B237" s="13" t="s">
        <v>474</v>
      </c>
      <c r="C237" s="13" t="s">
        <v>27</v>
      </c>
      <c r="D237" s="13" t="s">
        <v>55</v>
      </c>
      <c r="E237" s="13" t="s">
        <v>112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5">
        <v>0</v>
      </c>
      <c r="N237" s="670"/>
      <c r="O237" s="14"/>
      <c r="P237" s="15"/>
      <c r="Q237" s="15" t="str">
        <f>IF(ISTEXT('Incurred 2.5% cpi'!Q237),"",'Incurred 2.5% cpi'!Q237/'Incurred 2.5% cpi'!Q$17*Incurred!Q$17)</f>
        <v/>
      </c>
      <c r="R237" s="110" t="str">
        <f>IF(ISTEXT('Incurred 2.5% cpi'!R237),"",'Incurred 2.5% cpi'!R237/'Incurred 2.5% cpi'!R$17*Incurred!R$17*BG237)</f>
        <v/>
      </c>
      <c r="S237" s="102">
        <f>IF(ISTEXT('Incurred 2.5% cpi'!S237),"",'Incurred 2.5% cpi'!S237/'Incurred 2.5% cpi'!S$17*Incurred!S$17*BH237)</f>
        <v>306448.4348099762</v>
      </c>
      <c r="T237" s="16">
        <f>IF(ISTEXT('Incurred 2.5% cpi'!T237),"",'Incurred 2.5% cpi'!T237/'Incurred 2.5% cpi'!T$17*Incurred!T$17*BI237)</f>
        <v>246961.62232855978</v>
      </c>
      <c r="U237" s="16" t="str">
        <f>IF(ISTEXT('Incurred 2.5% cpi'!U237),"",'Incurred 2.5% cpi'!U237/'Incurred 2.5% cpi'!U$17*Incurred!U$17*BJ237)</f>
        <v/>
      </c>
      <c r="V237" s="16" t="str">
        <f>IF(ISTEXT('Incurred 2.5% cpi'!V237),"",'Incurred 2.5% cpi'!V237/'Incurred 2.5% cpi'!V$17*Incurred!V$17*BK237)</f>
        <v/>
      </c>
      <c r="W237" s="110" t="str">
        <f>IF(ISTEXT('Incurred 2.5% cpi'!W237),"",'Incurred 2.5% cpi'!W237/'Incurred 2.5% cpi'!W$17*Incurred!W$17*BL237)</f>
        <v/>
      </c>
      <c r="X237" s="102" t="str">
        <f>IF(ISTEXT('Incurred 2.5% cpi'!X237),"",'Incurred 2.5% cpi'!X237/'Incurred 2.5% cpi'!X$17*Incurred!X$17*BM237)</f>
        <v/>
      </c>
      <c r="Y237" s="80">
        <f t="shared" si="353"/>
        <v>553410.05713853601</v>
      </c>
      <c r="Z237" s="80">
        <f t="shared" si="369"/>
        <v>553410.05713853601</v>
      </c>
      <c r="AA237" s="566">
        <f t="shared" si="386"/>
        <v>604212.38847552333</v>
      </c>
      <c r="AB237" s="566">
        <f t="shared" si="370"/>
        <v>561071.26800878544</v>
      </c>
      <c r="AC237" s="567">
        <f t="shared" si="387"/>
        <v>1.0768906249999999</v>
      </c>
      <c r="AD237" s="568" t="str">
        <f t="shared" si="384"/>
        <v>2020</v>
      </c>
      <c r="AE237" s="569">
        <v>43671</v>
      </c>
      <c r="AF237" s="568">
        <v>2020</v>
      </c>
      <c r="AG237" s="569"/>
      <c r="AH237" s="566">
        <f t="shared" si="388"/>
        <v>534035.71018087841</v>
      </c>
      <c r="AI237" s="80">
        <f t="shared" si="371"/>
        <v>246961.62232855978</v>
      </c>
      <c r="AJ237" s="571" t="s">
        <v>3035</v>
      </c>
      <c r="AK237" s="875">
        <f t="shared" si="396"/>
        <v>25000</v>
      </c>
      <c r="AL237" s="28">
        <f t="shared" si="394"/>
        <v>0</v>
      </c>
      <c r="AM237" s="28">
        <f t="shared" si="394"/>
        <v>0</v>
      </c>
      <c r="AN237" s="28">
        <f t="shared" si="394"/>
        <v>0</v>
      </c>
      <c r="AO237" s="28">
        <f t="shared" si="394"/>
        <v>1</v>
      </c>
      <c r="AP237" s="28">
        <f t="shared" si="394"/>
        <v>0</v>
      </c>
      <c r="AQ237" s="28">
        <f t="shared" si="394"/>
        <v>0</v>
      </c>
      <c r="AR237" s="28">
        <f t="shared" si="394"/>
        <v>0</v>
      </c>
      <c r="AS237" s="28">
        <f t="shared" si="394"/>
        <v>0</v>
      </c>
      <c r="AT237" s="28">
        <f t="shared" si="394"/>
        <v>0</v>
      </c>
      <c r="AU237" s="28">
        <f t="shared" si="394"/>
        <v>0</v>
      </c>
      <c r="AV237" s="28">
        <f t="shared" si="395"/>
        <v>0</v>
      </c>
      <c r="AW237" s="28">
        <f t="shared" si="395"/>
        <v>0</v>
      </c>
      <c r="AX237" s="28">
        <f t="shared" si="395"/>
        <v>0</v>
      </c>
      <c r="AY237" s="28">
        <f t="shared" si="395"/>
        <v>0</v>
      </c>
      <c r="AZ237" s="28">
        <f t="shared" si="395"/>
        <v>0</v>
      </c>
      <c r="BA237" s="28">
        <f t="shared" si="395"/>
        <v>0</v>
      </c>
      <c r="BB237" s="28">
        <f t="shared" si="395"/>
        <v>0</v>
      </c>
      <c r="BC237" s="28">
        <f t="shared" si="395"/>
        <v>0</v>
      </c>
      <c r="BD237" s="28">
        <f t="shared" si="395"/>
        <v>0</v>
      </c>
      <c r="BE237" s="28">
        <f t="shared" si="395"/>
        <v>0</v>
      </c>
      <c r="BF237" s="27">
        <f t="shared" si="392"/>
        <v>1</v>
      </c>
      <c r="BG237" s="520">
        <f t="shared" si="393"/>
        <v>1.0056339263672323</v>
      </c>
      <c r="BH237" s="520">
        <f t="shared" si="372"/>
        <v>1.0107662402878415</v>
      </c>
      <c r="BI237" s="520">
        <f t="shared" si="373"/>
        <v>1.0163207895272559</v>
      </c>
      <c r="BJ237" s="520">
        <f t="shared" si="374"/>
        <v>1.0227369445146317</v>
      </c>
      <c r="BK237" s="520">
        <f t="shared" si="375"/>
        <v>1.0320845069335576</v>
      </c>
      <c r="BL237" s="520">
        <f t="shared" si="376"/>
        <v>1.0425988551926402</v>
      </c>
      <c r="BM237" s="520">
        <f t="shared" si="377"/>
        <v>1.0496379258962139</v>
      </c>
      <c r="BN237" s="521" t="str">
        <f t="shared" si="378"/>
        <v>Project</v>
      </c>
      <c r="BP237" s="3"/>
    </row>
    <row r="238" spans="1:68" hidden="1" x14ac:dyDescent="0.15">
      <c r="A238" s="12" t="s">
        <v>475</v>
      </c>
      <c r="B238" s="13" t="s">
        <v>476</v>
      </c>
      <c r="C238" s="13" t="s">
        <v>27</v>
      </c>
      <c r="D238" s="13" t="s">
        <v>55</v>
      </c>
      <c r="E238" s="13" t="s">
        <v>32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5">
        <v>0</v>
      </c>
      <c r="N238" s="670"/>
      <c r="O238" s="14"/>
      <c r="P238" s="15">
        <v>371613.36</v>
      </c>
      <c r="Q238" s="15">
        <f>IF(ISTEXT('Incurred 2.5% cpi'!Q238),"",'Incurred 2.5% cpi'!Q238/'Incurred 2.5% cpi'!Q$17*Incurred!Q$17)</f>
        <v>-0.01</v>
      </c>
      <c r="R238" s="110" t="str">
        <f>IF(ISTEXT('Incurred 2.5% cpi'!R238),"",'Incurred 2.5% cpi'!R238/'Incurred 2.5% cpi'!R$17*Incurred!R$17*BG238)</f>
        <v/>
      </c>
      <c r="S238" s="102" t="str">
        <f>IF(ISTEXT('Incurred 2.5% cpi'!S238),"",'Incurred 2.5% cpi'!S238/'Incurred 2.5% cpi'!S$17*Incurred!S$17*BH238)</f>
        <v/>
      </c>
      <c r="T238" s="16" t="str">
        <f>IF(ISTEXT('Incurred 2.5% cpi'!T238),"",'Incurred 2.5% cpi'!T238/'Incurred 2.5% cpi'!T$17*Incurred!T$17*BI238)</f>
        <v/>
      </c>
      <c r="U238" s="16" t="str">
        <f>IF(ISTEXT('Incurred 2.5% cpi'!U238),"",'Incurred 2.5% cpi'!U238/'Incurred 2.5% cpi'!U$17*Incurred!U$17*BJ238)</f>
        <v/>
      </c>
      <c r="V238" s="16" t="str">
        <f>IF(ISTEXT('Incurred 2.5% cpi'!V238),"",'Incurred 2.5% cpi'!V238/'Incurred 2.5% cpi'!V$17*Incurred!V$17*BK238)</f>
        <v/>
      </c>
      <c r="W238" s="110" t="str">
        <f>IF(ISTEXT('Incurred 2.5% cpi'!W238),"",'Incurred 2.5% cpi'!W238/'Incurred 2.5% cpi'!W$17*Incurred!W$17*BL238)</f>
        <v/>
      </c>
      <c r="X238" s="102" t="str">
        <f>IF(ISTEXT('Incurred 2.5% cpi'!X238),"",'Incurred 2.5% cpi'!X238/'Incurred 2.5% cpi'!X$17*Incurred!X$17*BM238)</f>
        <v/>
      </c>
      <c r="Y238" s="80">
        <f t="shared" si="353"/>
        <v>371613.35</v>
      </c>
      <c r="Z238" s="80">
        <f t="shared" si="369"/>
        <v>371613.37</v>
      </c>
      <c r="AA238" s="566">
        <f t="shared" si="386"/>
        <v>440118.39165790268</v>
      </c>
      <c r="AB238" s="566">
        <f t="shared" si="370"/>
        <v>379512.70977818739</v>
      </c>
      <c r="AC238" s="567">
        <f t="shared" si="387"/>
        <v>1.1596934182128902</v>
      </c>
      <c r="AD238" s="568" t="str">
        <f t="shared" si="384"/>
        <v>2017</v>
      </c>
      <c r="AE238" s="569">
        <v>42475</v>
      </c>
      <c r="AF238" s="568" t="s">
        <v>3152</v>
      </c>
      <c r="AG238" s="569"/>
      <c r="AH238" s="566">
        <f t="shared" si="388"/>
        <v>389000.52752264205</v>
      </c>
      <c r="AI238" s="80">
        <f t="shared" si="371"/>
        <v>-0.01</v>
      </c>
      <c r="AJ238" s="571" t="s">
        <v>0</v>
      </c>
      <c r="AK238" s="875">
        <f t="shared" si="396"/>
        <v>19950.000000000025</v>
      </c>
      <c r="AL238" s="28">
        <f t="shared" si="394"/>
        <v>0</v>
      </c>
      <c r="AM238" s="28">
        <f t="shared" si="394"/>
        <v>0</v>
      </c>
      <c r="AN238" s="28">
        <f t="shared" si="394"/>
        <v>0</v>
      </c>
      <c r="AO238" s="28">
        <f t="shared" si="394"/>
        <v>1</v>
      </c>
      <c r="AP238" s="28">
        <f t="shared" si="394"/>
        <v>0</v>
      </c>
      <c r="AQ238" s="28">
        <f t="shared" si="394"/>
        <v>0</v>
      </c>
      <c r="AR238" s="28">
        <f t="shared" si="394"/>
        <v>0</v>
      </c>
      <c r="AS238" s="28">
        <f t="shared" si="394"/>
        <v>0</v>
      </c>
      <c r="AT238" s="28">
        <f t="shared" si="394"/>
        <v>0</v>
      </c>
      <c r="AU238" s="28">
        <f t="shared" si="394"/>
        <v>0</v>
      </c>
      <c r="AV238" s="28">
        <f t="shared" si="395"/>
        <v>0</v>
      </c>
      <c r="AW238" s="28">
        <f t="shared" si="395"/>
        <v>0</v>
      </c>
      <c r="AX238" s="28">
        <f t="shared" si="395"/>
        <v>0</v>
      </c>
      <c r="AY238" s="28">
        <f t="shared" si="395"/>
        <v>0</v>
      </c>
      <c r="AZ238" s="28">
        <f t="shared" si="395"/>
        <v>0</v>
      </c>
      <c r="BA238" s="28">
        <f t="shared" si="395"/>
        <v>0</v>
      </c>
      <c r="BB238" s="28">
        <f t="shared" si="395"/>
        <v>0</v>
      </c>
      <c r="BC238" s="28">
        <f t="shared" si="395"/>
        <v>0</v>
      </c>
      <c r="BD238" s="28">
        <f t="shared" si="395"/>
        <v>0</v>
      </c>
      <c r="BE238" s="28">
        <f t="shared" si="395"/>
        <v>0</v>
      </c>
      <c r="BF238" s="27">
        <f t="shared" si="392"/>
        <v>1</v>
      </c>
      <c r="BG238" s="520">
        <f t="shared" si="393"/>
        <v>1.0046190746045656</v>
      </c>
      <c r="BH238" s="520">
        <f t="shared" si="372"/>
        <v>1.0088268933348963</v>
      </c>
      <c r="BI238" s="520">
        <f t="shared" si="373"/>
        <v>1.0133808891912874</v>
      </c>
      <c r="BJ238" s="520">
        <f t="shared" si="374"/>
        <v>1.018641287824382</v>
      </c>
      <c r="BK238" s="520">
        <f t="shared" si="375"/>
        <v>1.0263050529092395</v>
      </c>
      <c r="BL238" s="520">
        <f t="shared" si="376"/>
        <v>1.0349254280901359</v>
      </c>
      <c r="BM238" s="520">
        <f t="shared" si="377"/>
        <v>1.0406965352376705</v>
      </c>
      <c r="BN238" s="521" t="str">
        <f t="shared" si="378"/>
        <v>Category</v>
      </c>
      <c r="BP238" s="3"/>
    </row>
    <row r="239" spans="1:68" hidden="1" x14ac:dyDescent="0.15">
      <c r="A239" s="12" t="s">
        <v>479</v>
      </c>
      <c r="B239" s="13" t="s">
        <v>480</v>
      </c>
      <c r="C239" s="13" t="s">
        <v>27</v>
      </c>
      <c r="D239" s="13" t="s">
        <v>55</v>
      </c>
      <c r="E239" s="13" t="s">
        <v>45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5">
        <v>0</v>
      </c>
      <c r="N239" s="670"/>
      <c r="O239" s="14"/>
      <c r="P239" s="15"/>
      <c r="Q239" s="15">
        <f>IF(ISTEXT('Incurred 2.5% cpi'!Q239),"",'Incurred 2.5% cpi'!Q239/'Incurred 2.5% cpi'!Q$17*Incurred!Q$17)</f>
        <v>20214.560000000001</v>
      </c>
      <c r="R239" s="110">
        <f>IF(ISTEXT('Incurred 2.5% cpi'!R239),"",'Incurred 2.5% cpi'!R239/'Incurred 2.5% cpi'!R$17*Incurred!R$17*BG239)</f>
        <v>230066.87997945218</v>
      </c>
      <c r="S239" s="102">
        <f>IF(ISTEXT('Incurred 2.5% cpi'!S239),"",'Incurred 2.5% cpi'!S239/'Incurred 2.5% cpi'!S$17*Incurred!S$17*BH239)</f>
        <v>468888.91909362108</v>
      </c>
      <c r="T239" s="16" t="str">
        <f>IF(ISTEXT('Incurred 2.5% cpi'!T239),"",'Incurred 2.5% cpi'!T239/'Incurred 2.5% cpi'!T$17*Incurred!T$17*BI239)</f>
        <v/>
      </c>
      <c r="U239" s="16" t="str">
        <f>IF(ISTEXT('Incurred 2.5% cpi'!U239),"",'Incurred 2.5% cpi'!U239/'Incurred 2.5% cpi'!U$17*Incurred!U$17*BJ239)</f>
        <v/>
      </c>
      <c r="V239" s="16" t="str">
        <f>IF(ISTEXT('Incurred 2.5% cpi'!V239),"",'Incurred 2.5% cpi'!V239/'Incurred 2.5% cpi'!V$17*Incurred!V$17*BK239)</f>
        <v/>
      </c>
      <c r="W239" s="110" t="str">
        <f>IF(ISTEXT('Incurred 2.5% cpi'!W239),"",'Incurred 2.5% cpi'!W239/'Incurred 2.5% cpi'!W$17*Incurred!W$17*BL239)</f>
        <v/>
      </c>
      <c r="X239" s="102" t="str">
        <f>IF(ISTEXT('Incurred 2.5% cpi'!X239),"",'Incurred 2.5% cpi'!X239/'Incurred 2.5% cpi'!X$17*Incurred!X$17*BM239)</f>
        <v/>
      </c>
      <c r="Y239" s="80">
        <f t="shared" si="353"/>
        <v>719170.35907307325</v>
      </c>
      <c r="Z239" s="80">
        <f t="shared" ref="Z239:Z251" si="397">-SUMIFS(F239:W239,F239:W239,"&lt;0")+SUMIFS(F239:W239,F239:W239,"&gt;0")</f>
        <v>719170.35907307325</v>
      </c>
      <c r="AA239" s="566">
        <f t="shared" si="386"/>
        <v>801307.88287370489</v>
      </c>
      <c r="AB239" s="566">
        <f t="shared" si="370"/>
        <v>725945.39317255956</v>
      </c>
      <c r="AC239" s="567">
        <f t="shared" si="387"/>
        <v>1.1038128906249998</v>
      </c>
      <c r="AD239" s="568" t="str">
        <f t="shared" si="384"/>
        <v>2019</v>
      </c>
      <c r="AE239" s="569">
        <v>43447</v>
      </c>
      <c r="AF239" s="568">
        <v>2019</v>
      </c>
      <c r="AG239" s="569"/>
      <c r="AH239" s="566">
        <f t="shared" si="388"/>
        <v>708239.40797322895</v>
      </c>
      <c r="AI239" s="80">
        <f t="shared" si="371"/>
        <v>468888.91909362108</v>
      </c>
      <c r="AJ239" s="571" t="s">
        <v>3035</v>
      </c>
      <c r="AK239" s="875">
        <f t="shared" si="396"/>
        <v>0</v>
      </c>
      <c r="AL239" s="28">
        <f t="shared" si="394"/>
        <v>0</v>
      </c>
      <c r="AM239" s="28">
        <f t="shared" si="394"/>
        <v>0</v>
      </c>
      <c r="AN239" s="28">
        <f t="shared" si="394"/>
        <v>0</v>
      </c>
      <c r="AO239" s="28">
        <f t="shared" si="394"/>
        <v>1</v>
      </c>
      <c r="AP239" s="28">
        <f t="shared" si="394"/>
        <v>0</v>
      </c>
      <c r="AQ239" s="28">
        <f t="shared" si="394"/>
        <v>0</v>
      </c>
      <c r="AR239" s="28">
        <f t="shared" si="394"/>
        <v>0</v>
      </c>
      <c r="AS239" s="28">
        <f t="shared" si="394"/>
        <v>0</v>
      </c>
      <c r="AT239" s="28">
        <f t="shared" si="394"/>
        <v>0</v>
      </c>
      <c r="AU239" s="28">
        <f t="shared" si="394"/>
        <v>0</v>
      </c>
      <c r="AV239" s="28">
        <f t="shared" si="395"/>
        <v>0</v>
      </c>
      <c r="AW239" s="28">
        <f t="shared" si="395"/>
        <v>0</v>
      </c>
      <c r="AX239" s="28">
        <f t="shared" si="395"/>
        <v>0</v>
      </c>
      <c r="AY239" s="28">
        <f t="shared" si="395"/>
        <v>0</v>
      </c>
      <c r="AZ239" s="28">
        <f t="shared" si="395"/>
        <v>0</v>
      </c>
      <c r="BA239" s="28">
        <f t="shared" si="395"/>
        <v>0</v>
      </c>
      <c r="BB239" s="28">
        <f t="shared" si="395"/>
        <v>0</v>
      </c>
      <c r="BC239" s="28">
        <f t="shared" si="395"/>
        <v>0</v>
      </c>
      <c r="BD239" s="28">
        <f t="shared" si="395"/>
        <v>0</v>
      </c>
      <c r="BE239" s="28">
        <f t="shared" si="395"/>
        <v>0</v>
      </c>
      <c r="BF239" s="27">
        <f t="shared" si="392"/>
        <v>1</v>
      </c>
      <c r="BG239" s="520">
        <f t="shared" si="393"/>
        <v>1.0046190746045656</v>
      </c>
      <c r="BH239" s="520">
        <f t="shared" si="372"/>
        <v>1.0088268933348963</v>
      </c>
      <c r="BI239" s="520">
        <f t="shared" si="373"/>
        <v>1.0133808891912874</v>
      </c>
      <c r="BJ239" s="520">
        <f t="shared" si="374"/>
        <v>1.018641287824382</v>
      </c>
      <c r="BK239" s="520">
        <f t="shared" si="375"/>
        <v>1.0263050529092395</v>
      </c>
      <c r="BL239" s="520">
        <f t="shared" si="376"/>
        <v>1.0349254280901359</v>
      </c>
      <c r="BM239" s="520">
        <f t="shared" si="377"/>
        <v>1.0406965352376705</v>
      </c>
      <c r="BN239" s="521" t="str">
        <f t="shared" si="378"/>
        <v>Category</v>
      </c>
      <c r="BP239" s="3"/>
    </row>
    <row r="240" spans="1:68" hidden="1" x14ac:dyDescent="0.15">
      <c r="A240" s="12" t="s">
        <v>481</v>
      </c>
      <c r="B240" s="13" t="s">
        <v>482</v>
      </c>
      <c r="C240" s="13" t="s">
        <v>27</v>
      </c>
      <c r="D240" s="13" t="s">
        <v>60</v>
      </c>
      <c r="E240" s="13" t="s">
        <v>112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5">
        <v>0</v>
      </c>
      <c r="N240" s="670"/>
      <c r="O240" s="14"/>
      <c r="P240" s="15"/>
      <c r="Q240" s="15" t="str">
        <f>IF(ISTEXT('Incurred 2.5% cpi'!Q240),"",'Incurred 2.5% cpi'!Q240/'Incurred 2.5% cpi'!Q$17*Incurred!Q$17)</f>
        <v/>
      </c>
      <c r="R240" s="110" t="str">
        <f>IF(ISTEXT('Incurred 2.5% cpi'!R240),"",'Incurred 2.5% cpi'!R240/'Incurred 2.5% cpi'!R$17*Incurred!R$17*BG240)</f>
        <v/>
      </c>
      <c r="S240" s="102" t="str">
        <f>IF(ISTEXT('Incurred 2.5% cpi'!S240),"",'Incurred 2.5% cpi'!S240/'Incurred 2.5% cpi'!S$17*Incurred!S$17*BH240)</f>
        <v/>
      </c>
      <c r="T240" s="16" t="str">
        <f>IF(ISTEXT('Incurred 2.5% cpi'!T240),"",'Incurred 2.5% cpi'!T240/'Incurred 2.5% cpi'!T$17*Incurred!T$17*BI240)</f>
        <v/>
      </c>
      <c r="U240" s="16">
        <f>IF(ISTEXT('Incurred 2.5% cpi'!U240),"",'Incurred 2.5% cpi'!U240/'Incurred 2.5% cpi'!U$17*Incurred!U$17*BJ240)</f>
        <v>2481290.357593514</v>
      </c>
      <c r="V240" s="16" t="str">
        <f>IF(ISTEXT('Incurred 2.5% cpi'!V240),"",'Incurred 2.5% cpi'!V240/'Incurred 2.5% cpi'!V$17*Incurred!V$17*BK240)</f>
        <v/>
      </c>
      <c r="W240" s="110" t="str">
        <f>IF(ISTEXT('Incurred 2.5% cpi'!W240),"",'Incurred 2.5% cpi'!W240/'Incurred 2.5% cpi'!W$17*Incurred!W$17*BL240)</f>
        <v/>
      </c>
      <c r="X240" s="102" t="str">
        <f>IF(ISTEXT('Incurred 2.5% cpi'!X240),"",'Incurred 2.5% cpi'!X240/'Incurred 2.5% cpi'!X$17*Incurred!X$17*BM240)</f>
        <v/>
      </c>
      <c r="Y240" s="80">
        <f t="shared" si="353"/>
        <v>2481290.357593514</v>
      </c>
      <c r="Z240" s="80">
        <f t="shared" si="397"/>
        <v>2481290.357593514</v>
      </c>
      <c r="AA240" s="566">
        <f t="shared" ref="AA240:AA248" si="398">IF(ROUND(Y240,0)=0,0,SUMPRODUCT($F$20:$W$20,F240:W240))</f>
        <v>2606905.6819466855</v>
      </c>
      <c r="AB240" s="566">
        <f t="shared" si="370"/>
        <v>2481290.357593514</v>
      </c>
      <c r="AC240" s="567">
        <f t="shared" si="387"/>
        <v>1.0506249999999999</v>
      </c>
      <c r="AD240" s="568" t="str">
        <f t="shared" si="384"/>
        <v>2021</v>
      </c>
      <c r="AE240" s="569">
        <v>44292</v>
      </c>
      <c r="AF240" s="568">
        <v>2021</v>
      </c>
      <c r="AG240" s="569"/>
      <c r="AH240" s="566">
        <f t="shared" ref="AH240:AH248" si="399">IF(ROUND(Y240,0)=0,0,SUMPRODUCT($F$19:$W$19,F240:W240))</f>
        <v>2304124.7643821901</v>
      </c>
      <c r="AI240" s="80">
        <f t="shared" si="371"/>
        <v>2481290.357593514</v>
      </c>
      <c r="AJ240" s="571" t="s">
        <v>3035</v>
      </c>
      <c r="AK240" s="875">
        <f t="shared" si="396"/>
        <v>2094357.9999999995</v>
      </c>
      <c r="AL240" s="28">
        <f t="shared" ref="AL240:AU248" si="400">IF($AK240=0,VLOOKUP(MID($A240,4,5),ProjectSplits,AL$23,FALSE),IF(ISNA(VLOOKUP($A240,Estimates,AL$22,FALSE)),VLOOKUP(MID($A240,4,5),ProjectSplits,AL$23,FALSE),VLOOKUP($A240,Estimates,AL$22,FALSE)))</f>
        <v>0</v>
      </c>
      <c r="AM240" s="28">
        <f t="shared" si="400"/>
        <v>0</v>
      </c>
      <c r="AN240" s="28">
        <f t="shared" si="400"/>
        <v>0</v>
      </c>
      <c r="AO240" s="28">
        <f t="shared" si="400"/>
        <v>0</v>
      </c>
      <c r="AP240" s="28">
        <f t="shared" si="400"/>
        <v>0</v>
      </c>
      <c r="AQ240" s="28">
        <f t="shared" si="400"/>
        <v>0</v>
      </c>
      <c r="AR240" s="28">
        <f t="shared" si="400"/>
        <v>0</v>
      </c>
      <c r="AS240" s="28">
        <f t="shared" si="400"/>
        <v>0</v>
      </c>
      <c r="AT240" s="28">
        <f t="shared" si="400"/>
        <v>0</v>
      </c>
      <c r="AU240" s="28">
        <f t="shared" si="400"/>
        <v>1</v>
      </c>
      <c r="AV240" s="28">
        <f t="shared" ref="AV240:BE248" si="401">IF($AK240=0,VLOOKUP(MID($A240,4,5),ProjectSplits,AV$23,FALSE),IF(ISNA(VLOOKUP($A240,Estimates,AV$22,FALSE)),VLOOKUP(MID($A240,4,5),ProjectSplits,AV$23,FALSE),VLOOKUP($A240,Estimates,AV$22,FALSE)))</f>
        <v>0</v>
      </c>
      <c r="AW240" s="28">
        <f t="shared" si="401"/>
        <v>0</v>
      </c>
      <c r="AX240" s="28">
        <f t="shared" si="401"/>
        <v>0</v>
      </c>
      <c r="AY240" s="28">
        <f t="shared" si="401"/>
        <v>0</v>
      </c>
      <c r="AZ240" s="28">
        <f t="shared" si="401"/>
        <v>0</v>
      </c>
      <c r="BA240" s="28">
        <f t="shared" si="401"/>
        <v>0</v>
      </c>
      <c r="BB240" s="28">
        <f t="shared" si="401"/>
        <v>0</v>
      </c>
      <c r="BC240" s="28">
        <f t="shared" si="401"/>
        <v>0</v>
      </c>
      <c r="BD240" s="28">
        <f t="shared" si="401"/>
        <v>0</v>
      </c>
      <c r="BE240" s="28">
        <f t="shared" si="401"/>
        <v>0</v>
      </c>
      <c r="BF240" s="27">
        <f t="shared" ref="BF240:BF248" si="402">SUM(AL240:BD240)</f>
        <v>1</v>
      </c>
      <c r="BG240" s="520">
        <f t="shared" si="393"/>
        <v>1.0002847743844534</v>
      </c>
      <c r="BH240" s="520">
        <f t="shared" si="372"/>
        <v>1.0005441940932489</v>
      </c>
      <c r="BI240" s="520">
        <f t="shared" si="373"/>
        <v>1.0008249562540341</v>
      </c>
      <c r="BJ240" s="520">
        <f t="shared" si="374"/>
        <v>1.0011492694359945</v>
      </c>
      <c r="BK240" s="520">
        <f t="shared" si="375"/>
        <v>1.0016217545485921</v>
      </c>
      <c r="BL240" s="520">
        <f t="shared" si="376"/>
        <v>1.0021532164205156</v>
      </c>
      <c r="BM240" s="520">
        <f t="shared" si="377"/>
        <v>1.0025090157150169</v>
      </c>
      <c r="BN240" s="521" t="str">
        <f t="shared" si="378"/>
        <v>Project</v>
      </c>
      <c r="BP240" s="3"/>
    </row>
    <row r="241" spans="1:68" hidden="1" x14ac:dyDescent="0.15">
      <c r="A241" s="12" t="s">
        <v>483</v>
      </c>
      <c r="B241" s="13" t="s">
        <v>484</v>
      </c>
      <c r="C241" s="13" t="s">
        <v>27</v>
      </c>
      <c r="D241" s="13" t="s">
        <v>60</v>
      </c>
      <c r="E241" s="13" t="s">
        <v>112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5">
        <v>0</v>
      </c>
      <c r="N241" s="670"/>
      <c r="O241" s="14"/>
      <c r="P241" s="15"/>
      <c r="Q241" s="15" t="str">
        <f>IF(ISTEXT('Incurred 2.5% cpi'!Q241),"",'Incurred 2.5% cpi'!Q241/'Incurred 2.5% cpi'!Q$17*Incurred!Q$17)</f>
        <v/>
      </c>
      <c r="R241" s="110" t="str">
        <f>IF(ISTEXT('Incurred 2.5% cpi'!R241),"",'Incurred 2.5% cpi'!R241/'Incurred 2.5% cpi'!R$17*Incurred!R$17*BG241)</f>
        <v/>
      </c>
      <c r="S241" s="102" t="str">
        <f>IF(ISTEXT('Incurred 2.5% cpi'!S241),"",'Incurred 2.5% cpi'!S241/'Incurred 2.5% cpi'!S$17*Incurred!S$17*BH241)</f>
        <v/>
      </c>
      <c r="T241" s="16" t="str">
        <f>IF(ISTEXT('Incurred 2.5% cpi'!T241),"",'Incurred 2.5% cpi'!T241/'Incurred 2.5% cpi'!T$17*Incurred!T$17*BI241)</f>
        <v/>
      </c>
      <c r="U241" s="16" t="str">
        <f>IF(ISTEXT('Incurred 2.5% cpi'!U241),"",'Incurred 2.5% cpi'!U241/'Incurred 2.5% cpi'!U$17*Incurred!U$17*BJ241)</f>
        <v/>
      </c>
      <c r="V241" s="16">
        <f>IF(ISTEXT('Incurred 2.5% cpi'!V241),"",'Incurred 2.5% cpi'!V241/'Incurred 2.5% cpi'!V$17*Incurred!V$17*BK241)</f>
        <v>2546728.7216132446</v>
      </c>
      <c r="W241" s="110" t="str">
        <f>IF(ISTEXT('Incurred 2.5% cpi'!W241),"",'Incurred 2.5% cpi'!W241/'Incurred 2.5% cpi'!W$17*Incurred!W$17*BL241)</f>
        <v/>
      </c>
      <c r="X241" s="102" t="str">
        <f>IF(ISTEXT('Incurred 2.5% cpi'!X241),"",'Incurred 2.5% cpi'!X241/'Incurred 2.5% cpi'!X$17*Incurred!X$17*BM241)</f>
        <v/>
      </c>
      <c r="Y241" s="80">
        <f t="shared" si="353"/>
        <v>2546728.7216132446</v>
      </c>
      <c r="Z241" s="80">
        <f t="shared" si="397"/>
        <v>2546728.7216132446</v>
      </c>
      <c r="AA241" s="566">
        <f t="shared" si="398"/>
        <v>2610396.9396535754</v>
      </c>
      <c r="AB241" s="566">
        <f t="shared" si="370"/>
        <v>2546728.7216132446</v>
      </c>
      <c r="AC241" s="567">
        <f t="shared" si="387"/>
        <v>1.0249999999999999</v>
      </c>
      <c r="AD241" s="568" t="str">
        <f t="shared" si="384"/>
        <v>2022</v>
      </c>
      <c r="AE241" s="569">
        <v>44652</v>
      </c>
      <c r="AF241" s="568">
        <v>2022</v>
      </c>
      <c r="AG241" s="569"/>
      <c r="AH241" s="566">
        <f t="shared" si="399"/>
        <v>2307210.527475575</v>
      </c>
      <c r="AI241" s="80">
        <f t="shared" si="371"/>
        <v>2546728.7216132446</v>
      </c>
      <c r="AJ241" s="571" t="s">
        <v>3035</v>
      </c>
      <c r="AK241" s="875">
        <f t="shared" si="396"/>
        <v>2094358.0000000005</v>
      </c>
      <c r="AL241" s="28">
        <f t="shared" si="400"/>
        <v>0</v>
      </c>
      <c r="AM241" s="28">
        <f t="shared" si="400"/>
        <v>0</v>
      </c>
      <c r="AN241" s="28">
        <f t="shared" si="400"/>
        <v>0</v>
      </c>
      <c r="AO241" s="28">
        <f t="shared" si="400"/>
        <v>0</v>
      </c>
      <c r="AP241" s="28">
        <f t="shared" si="400"/>
        <v>0</v>
      </c>
      <c r="AQ241" s="28">
        <f t="shared" si="400"/>
        <v>0</v>
      </c>
      <c r="AR241" s="28">
        <f t="shared" si="400"/>
        <v>0</v>
      </c>
      <c r="AS241" s="28">
        <f t="shared" si="400"/>
        <v>0</v>
      </c>
      <c r="AT241" s="28">
        <f t="shared" si="400"/>
        <v>0</v>
      </c>
      <c r="AU241" s="28">
        <f t="shared" si="400"/>
        <v>1</v>
      </c>
      <c r="AV241" s="28">
        <f t="shared" si="401"/>
        <v>0</v>
      </c>
      <c r="AW241" s="28">
        <f t="shared" si="401"/>
        <v>0</v>
      </c>
      <c r="AX241" s="28">
        <f t="shared" si="401"/>
        <v>0</v>
      </c>
      <c r="AY241" s="28">
        <f t="shared" si="401"/>
        <v>0</v>
      </c>
      <c r="AZ241" s="28">
        <f t="shared" si="401"/>
        <v>0</v>
      </c>
      <c r="BA241" s="28">
        <f t="shared" si="401"/>
        <v>0</v>
      </c>
      <c r="BB241" s="28">
        <f t="shared" si="401"/>
        <v>0</v>
      </c>
      <c r="BC241" s="28">
        <f t="shared" si="401"/>
        <v>0</v>
      </c>
      <c r="BD241" s="28">
        <f t="shared" si="401"/>
        <v>0</v>
      </c>
      <c r="BE241" s="28">
        <f t="shared" si="401"/>
        <v>0</v>
      </c>
      <c r="BF241" s="27">
        <f t="shared" si="402"/>
        <v>1</v>
      </c>
      <c r="BG241" s="520">
        <f t="shared" si="393"/>
        <v>1.0002847743844534</v>
      </c>
      <c r="BH241" s="520">
        <f t="shared" si="372"/>
        <v>1.0005441940932489</v>
      </c>
      <c r="BI241" s="520">
        <f t="shared" si="373"/>
        <v>1.0008249562540341</v>
      </c>
      <c r="BJ241" s="520">
        <f t="shared" si="374"/>
        <v>1.0011492694359945</v>
      </c>
      <c r="BK241" s="520">
        <f t="shared" si="375"/>
        <v>1.0016217545485921</v>
      </c>
      <c r="BL241" s="520">
        <f t="shared" si="376"/>
        <v>1.0021532164205156</v>
      </c>
      <c r="BM241" s="520">
        <f t="shared" si="377"/>
        <v>1.0025090157150169</v>
      </c>
      <c r="BN241" s="521" t="str">
        <f t="shared" si="378"/>
        <v>Project</v>
      </c>
      <c r="BP241" s="3"/>
    </row>
    <row r="242" spans="1:68" hidden="1" x14ac:dyDescent="0.15">
      <c r="A242" s="12" t="s">
        <v>485</v>
      </c>
      <c r="B242" s="13" t="s">
        <v>486</v>
      </c>
      <c r="C242" s="13" t="s">
        <v>27</v>
      </c>
      <c r="D242" s="13" t="s">
        <v>60</v>
      </c>
      <c r="E242" s="13" t="s">
        <v>112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5">
        <v>0</v>
      </c>
      <c r="N242" s="670"/>
      <c r="O242" s="14"/>
      <c r="P242" s="15"/>
      <c r="Q242" s="15" t="str">
        <f>IF(ISTEXT('Incurred 2.5% cpi'!Q242),"",'Incurred 2.5% cpi'!Q242/'Incurred 2.5% cpi'!Q$17*Incurred!Q$17)</f>
        <v/>
      </c>
      <c r="R242" s="110" t="str">
        <f>IF(ISTEXT('Incurred 2.5% cpi'!R242),"",'Incurred 2.5% cpi'!R242/'Incurred 2.5% cpi'!R$17*Incurred!R$17*BG242)</f>
        <v/>
      </c>
      <c r="S242" s="102" t="str">
        <f>IF(ISTEXT('Incurred 2.5% cpi'!S242),"",'Incurred 2.5% cpi'!S242/'Incurred 2.5% cpi'!S$17*Incurred!S$17*BH242)</f>
        <v/>
      </c>
      <c r="T242" s="16" t="str">
        <f>IF(ISTEXT('Incurred 2.5% cpi'!T242),"",'Incurred 2.5% cpi'!T242/'Incurred 2.5% cpi'!T$17*Incurred!T$17*BI242)</f>
        <v/>
      </c>
      <c r="U242" s="16" t="str">
        <f>IF(ISTEXT('Incurred 2.5% cpi'!U242),"",'Incurred 2.5% cpi'!U242/'Incurred 2.5% cpi'!U$17*Incurred!U$17*BJ242)</f>
        <v/>
      </c>
      <c r="V242" s="16" t="str">
        <f>IF(ISTEXT('Incurred 2.5% cpi'!V242),"",'Incurred 2.5% cpi'!V242/'Incurred 2.5% cpi'!V$17*Incurred!V$17*BK242)</f>
        <v/>
      </c>
      <c r="W242" s="110">
        <f>IF(ISTEXT('Incurred 2.5% cpi'!W242),"",'Incurred 2.5% cpi'!W242/'Incurred 2.5% cpi'!W$17*Incurred!W$17*BL242)</f>
        <v>2612414.5679240176</v>
      </c>
      <c r="X242" s="102" t="str">
        <f>IF(ISTEXT('Incurred 2.5% cpi'!X242),"",'Incurred 2.5% cpi'!X242/'Incurred 2.5% cpi'!X$17*Incurred!X$17*BM242)</f>
        <v/>
      </c>
      <c r="Y242" s="80">
        <f t="shared" si="353"/>
        <v>2612414.5679240176</v>
      </c>
      <c r="Z242" s="80">
        <f t="shared" si="397"/>
        <v>2612414.5679240176</v>
      </c>
      <c r="AA242" s="566">
        <f t="shared" si="398"/>
        <v>2612414.5679240176</v>
      </c>
      <c r="AB242" s="566">
        <f t="shared" si="370"/>
        <v>2612414.5679240176</v>
      </c>
      <c r="AC242" s="567">
        <f t="shared" si="387"/>
        <v>1</v>
      </c>
      <c r="AD242" s="568" t="str">
        <f t="shared" si="384"/>
        <v>2023</v>
      </c>
      <c r="AE242" s="569">
        <v>45022</v>
      </c>
      <c r="AF242" s="568">
        <v>2023</v>
      </c>
      <c r="AG242" s="569"/>
      <c r="AH242" s="566">
        <f t="shared" si="399"/>
        <v>2308993.8168732072</v>
      </c>
      <c r="AI242" s="80">
        <f t="shared" si="371"/>
        <v>2612414.5679240176</v>
      </c>
      <c r="AJ242" s="571" t="s">
        <v>3035</v>
      </c>
      <c r="AK242" s="875">
        <f t="shared" si="396"/>
        <v>2094358</v>
      </c>
      <c r="AL242" s="28">
        <f t="shared" si="400"/>
        <v>0</v>
      </c>
      <c r="AM242" s="28">
        <f t="shared" si="400"/>
        <v>0</v>
      </c>
      <c r="AN242" s="28">
        <f t="shared" si="400"/>
        <v>0</v>
      </c>
      <c r="AO242" s="28">
        <f t="shared" si="400"/>
        <v>0</v>
      </c>
      <c r="AP242" s="28">
        <f t="shared" si="400"/>
        <v>0</v>
      </c>
      <c r="AQ242" s="28">
        <f t="shared" si="400"/>
        <v>0</v>
      </c>
      <c r="AR242" s="28">
        <f t="shared" si="400"/>
        <v>0</v>
      </c>
      <c r="AS242" s="28">
        <f t="shared" si="400"/>
        <v>0</v>
      </c>
      <c r="AT242" s="28">
        <f t="shared" si="400"/>
        <v>0</v>
      </c>
      <c r="AU242" s="28">
        <f t="shared" si="400"/>
        <v>1</v>
      </c>
      <c r="AV242" s="28">
        <f t="shared" si="401"/>
        <v>0</v>
      </c>
      <c r="AW242" s="28">
        <f t="shared" si="401"/>
        <v>0</v>
      </c>
      <c r="AX242" s="28">
        <f t="shared" si="401"/>
        <v>0</v>
      </c>
      <c r="AY242" s="28">
        <f t="shared" si="401"/>
        <v>0</v>
      </c>
      <c r="AZ242" s="28">
        <f t="shared" si="401"/>
        <v>0</v>
      </c>
      <c r="BA242" s="28">
        <f t="shared" si="401"/>
        <v>0</v>
      </c>
      <c r="BB242" s="28">
        <f t="shared" si="401"/>
        <v>0</v>
      </c>
      <c r="BC242" s="28">
        <f t="shared" si="401"/>
        <v>0</v>
      </c>
      <c r="BD242" s="28">
        <f t="shared" si="401"/>
        <v>0</v>
      </c>
      <c r="BE242" s="28">
        <f t="shared" si="401"/>
        <v>0</v>
      </c>
      <c r="BF242" s="27">
        <f t="shared" si="402"/>
        <v>1</v>
      </c>
      <c r="BG242" s="520">
        <f t="shared" si="393"/>
        <v>1.0002847743844534</v>
      </c>
      <c r="BH242" s="520">
        <f t="shared" si="372"/>
        <v>1.0005441940932489</v>
      </c>
      <c r="BI242" s="520">
        <f t="shared" si="373"/>
        <v>1.0008249562540341</v>
      </c>
      <c r="BJ242" s="520">
        <f t="shared" si="374"/>
        <v>1.0011492694359945</v>
      </c>
      <c r="BK242" s="520">
        <f t="shared" si="375"/>
        <v>1.0016217545485921</v>
      </c>
      <c r="BL242" s="520">
        <f t="shared" si="376"/>
        <v>1.0021532164205156</v>
      </c>
      <c r="BM242" s="520">
        <f t="shared" si="377"/>
        <v>1.0025090157150169</v>
      </c>
      <c r="BN242" s="521" t="str">
        <f t="shared" si="378"/>
        <v>Project</v>
      </c>
      <c r="BP242" s="3"/>
    </row>
    <row r="243" spans="1:68" hidden="1" x14ac:dyDescent="0.15">
      <c r="A243" s="12" t="s">
        <v>487</v>
      </c>
      <c r="B243" s="13" t="s">
        <v>488</v>
      </c>
      <c r="C243" s="13" t="s">
        <v>27</v>
      </c>
      <c r="D243" s="13" t="s">
        <v>40</v>
      </c>
      <c r="E243" s="13" t="s">
        <v>32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5">
        <v>0</v>
      </c>
      <c r="N243" s="670"/>
      <c r="O243" s="14"/>
      <c r="P243" s="15">
        <v>3110.54</v>
      </c>
      <c r="Q243" s="15">
        <f>IF(ISTEXT('Incurred 2.5% cpi'!Q243),"",'Incurred 2.5% cpi'!Q243/'Incurred 2.5% cpi'!Q$17*Incurred!Q$17)</f>
        <v>83940.89</v>
      </c>
      <c r="R243" s="110" t="str">
        <f>IF(ISTEXT('Incurred 2.5% cpi'!R243),"",'Incurred 2.5% cpi'!R243/'Incurred 2.5% cpi'!R$17*Incurred!R$17*BG243)</f>
        <v/>
      </c>
      <c r="S243" s="102" t="str">
        <f>IF(ISTEXT('Incurred 2.5% cpi'!S243),"",'Incurred 2.5% cpi'!S243/'Incurred 2.5% cpi'!S$17*Incurred!S$17*BH243)</f>
        <v/>
      </c>
      <c r="T243" s="16" t="str">
        <f>IF(ISTEXT('Incurred 2.5% cpi'!T243),"",'Incurred 2.5% cpi'!T243/'Incurred 2.5% cpi'!T$17*Incurred!T$17*BI243)</f>
        <v/>
      </c>
      <c r="U243" s="16" t="str">
        <f>IF(ISTEXT('Incurred 2.5% cpi'!U243),"",'Incurred 2.5% cpi'!U243/'Incurred 2.5% cpi'!U$17*Incurred!U$17*BJ243)</f>
        <v/>
      </c>
      <c r="V243" s="16" t="str">
        <f>IF(ISTEXT('Incurred 2.5% cpi'!V243),"",'Incurred 2.5% cpi'!V243/'Incurred 2.5% cpi'!V$17*Incurred!V$17*BK243)</f>
        <v/>
      </c>
      <c r="W243" s="110" t="str">
        <f>IF(ISTEXT('Incurred 2.5% cpi'!W243),"",'Incurred 2.5% cpi'!W243/'Incurred 2.5% cpi'!W$17*Incurred!W$17*BL243)</f>
        <v/>
      </c>
      <c r="X243" s="102" t="str">
        <f>IF(ISTEXT('Incurred 2.5% cpi'!X243),"",'Incurred 2.5% cpi'!X243/'Incurred 2.5% cpi'!X$17*Incurred!X$17*BM243)</f>
        <v/>
      </c>
      <c r="Y243" s="80">
        <f t="shared" si="353"/>
        <v>87051.43</v>
      </c>
      <c r="Z243" s="80">
        <f t="shared" si="397"/>
        <v>87051.43</v>
      </c>
      <c r="AA243" s="566">
        <f t="shared" si="398"/>
        <v>101029.64996747948</v>
      </c>
      <c r="AB243" s="566">
        <f t="shared" si="370"/>
        <v>87117.550536044349</v>
      </c>
      <c r="AC243" s="567">
        <f t="shared" si="387"/>
        <v>1.1596934182128902</v>
      </c>
      <c r="AD243" s="568" t="str">
        <f t="shared" si="384"/>
        <v>2017</v>
      </c>
      <c r="AE243" s="569">
        <v>42649</v>
      </c>
      <c r="AF243" s="568">
        <v>2017</v>
      </c>
      <c r="AG243" s="569"/>
      <c r="AH243" s="566">
        <f t="shared" si="399"/>
        <v>89295.489299445457</v>
      </c>
      <c r="AI243" s="80">
        <f t="shared" si="371"/>
        <v>83940.89</v>
      </c>
      <c r="AJ243" s="571" t="s">
        <v>0</v>
      </c>
      <c r="AK243" s="875">
        <f t="shared" si="389"/>
        <v>0</v>
      </c>
      <c r="AL243" s="28">
        <f t="shared" si="400"/>
        <v>0.94610002385945868</v>
      </c>
      <c r="AM243" s="28">
        <f t="shared" si="400"/>
        <v>0</v>
      </c>
      <c r="AN243" s="28">
        <f t="shared" si="400"/>
        <v>0</v>
      </c>
      <c r="AO243" s="28">
        <f t="shared" si="400"/>
        <v>1.9999901207826222E-2</v>
      </c>
      <c r="AP243" s="28">
        <f t="shared" si="400"/>
        <v>0</v>
      </c>
      <c r="AQ243" s="28">
        <f t="shared" si="400"/>
        <v>0</v>
      </c>
      <c r="AR243" s="28">
        <f t="shared" si="400"/>
        <v>0</v>
      </c>
      <c r="AS243" s="28">
        <f t="shared" si="400"/>
        <v>3.390007493271506E-2</v>
      </c>
      <c r="AT243" s="28">
        <f t="shared" si="400"/>
        <v>0</v>
      </c>
      <c r="AU243" s="28">
        <f t="shared" si="400"/>
        <v>0</v>
      </c>
      <c r="AV243" s="28">
        <f t="shared" si="401"/>
        <v>0</v>
      </c>
      <c r="AW243" s="28">
        <f t="shared" si="401"/>
        <v>0</v>
      </c>
      <c r="AX243" s="28">
        <f t="shared" si="401"/>
        <v>0</v>
      </c>
      <c r="AY243" s="28">
        <f t="shared" si="401"/>
        <v>0</v>
      </c>
      <c r="AZ243" s="28">
        <f t="shared" si="401"/>
        <v>0</v>
      </c>
      <c r="BA243" s="28">
        <f t="shared" si="401"/>
        <v>0</v>
      </c>
      <c r="BB243" s="28">
        <f t="shared" si="401"/>
        <v>0</v>
      </c>
      <c r="BC243" s="28">
        <f t="shared" si="401"/>
        <v>0</v>
      </c>
      <c r="BD243" s="28">
        <f t="shared" si="401"/>
        <v>0</v>
      </c>
      <c r="BE243" s="28">
        <f t="shared" si="401"/>
        <v>0</v>
      </c>
      <c r="BF243" s="27">
        <f t="shared" si="402"/>
        <v>1</v>
      </c>
      <c r="BG243" s="520">
        <f t="shared" si="393"/>
        <v>1.0034498951996242</v>
      </c>
      <c r="BH243" s="520">
        <f t="shared" si="372"/>
        <v>1.0065926315443261</v>
      </c>
      <c r="BI243" s="520">
        <f t="shared" si="373"/>
        <v>1.0099939207178206</v>
      </c>
      <c r="BJ243" s="520">
        <f t="shared" si="374"/>
        <v>1.0139228081132494</v>
      </c>
      <c r="BK243" s="520">
        <f t="shared" si="375"/>
        <v>1.0196467222390713</v>
      </c>
      <c r="BL243" s="520">
        <f t="shared" si="376"/>
        <v>1.0260851094706045</v>
      </c>
      <c r="BM243" s="520">
        <f t="shared" si="377"/>
        <v>1.0303954349252136</v>
      </c>
      <c r="BN243" s="521" t="str">
        <f t="shared" si="378"/>
        <v>Category</v>
      </c>
      <c r="BP243" s="3"/>
    </row>
    <row r="244" spans="1:68" hidden="1" x14ac:dyDescent="0.15">
      <c r="A244" s="12" t="s">
        <v>489</v>
      </c>
      <c r="B244" s="13" t="s">
        <v>490</v>
      </c>
      <c r="C244" s="13" t="s">
        <v>27</v>
      </c>
      <c r="D244" s="13" t="s">
        <v>54</v>
      </c>
      <c r="E244" s="13" t="s">
        <v>29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5">
        <v>0</v>
      </c>
      <c r="N244" s="670"/>
      <c r="O244" s="14"/>
      <c r="P244" s="15">
        <v>39283.25</v>
      </c>
      <c r="Q244" s="15">
        <f>IF(ISTEXT('Incurred 2.5% cpi'!Q244),"",'Incurred 2.5% cpi'!Q244/'Incurred 2.5% cpi'!Q$17*Incurred!Q$17)</f>
        <v>437438.74</v>
      </c>
      <c r="R244" s="110">
        <f>IF(ISTEXT('Incurred 2.5% cpi'!R244),"",'Incurred 2.5% cpi'!R244/'Incurred 2.5% cpi'!R$17*Incurred!R$17*BG244)</f>
        <v>907904.67876915389</v>
      </c>
      <c r="S244" s="102" t="str">
        <f>IF(ISTEXT('Incurred 2.5% cpi'!S244),"",'Incurred 2.5% cpi'!S244/'Incurred 2.5% cpi'!S$17*Incurred!S$17*BH244)</f>
        <v/>
      </c>
      <c r="T244" s="16" t="str">
        <f>IF(ISTEXT('Incurred 2.5% cpi'!T244),"",'Incurred 2.5% cpi'!T244/'Incurred 2.5% cpi'!T$17*Incurred!T$17*BI244)</f>
        <v/>
      </c>
      <c r="U244" s="16" t="str">
        <f>IF(ISTEXT('Incurred 2.5% cpi'!U244),"",'Incurred 2.5% cpi'!U244/'Incurred 2.5% cpi'!U$17*Incurred!U$17*BJ244)</f>
        <v/>
      </c>
      <c r="V244" s="16" t="str">
        <f>IF(ISTEXT('Incurred 2.5% cpi'!V244),"",'Incurred 2.5% cpi'!V244/'Incurred 2.5% cpi'!V$17*Incurred!V$17*BK244)</f>
        <v/>
      </c>
      <c r="W244" s="110" t="str">
        <f>IF(ISTEXT('Incurred 2.5% cpi'!W244),"",'Incurred 2.5% cpi'!W244/'Incurred 2.5% cpi'!W$17*Incurred!W$17*BL244)</f>
        <v/>
      </c>
      <c r="X244" s="102" t="str">
        <f>IF(ISTEXT('Incurred 2.5% cpi'!X244),"",'Incurred 2.5% cpi'!X244/'Incurred 2.5% cpi'!X$17*Incurred!X$17*BM244)</f>
        <v/>
      </c>
      <c r="Y244" s="80">
        <f t="shared" si="353"/>
        <v>1384626.6687691538</v>
      </c>
      <c r="Z244" s="80">
        <f t="shared" si="397"/>
        <v>1384626.6687691538</v>
      </c>
      <c r="AA244" s="566">
        <f t="shared" si="398"/>
        <v>1581030.5561690945</v>
      </c>
      <c r="AB244" s="566">
        <f t="shared" si="370"/>
        <v>1397400.6359117138</v>
      </c>
      <c r="AC244" s="567">
        <f t="shared" si="387"/>
        <v>1.1314082128906247</v>
      </c>
      <c r="AD244" s="568" t="str">
        <f t="shared" si="384"/>
        <v>2018</v>
      </c>
      <c r="AE244" s="569">
        <v>43110</v>
      </c>
      <c r="AF244" s="568">
        <v>2018</v>
      </c>
      <c r="AG244" s="569"/>
      <c r="AH244" s="566">
        <f t="shared" si="399"/>
        <v>1397400.6359117138</v>
      </c>
      <c r="AI244" s="80">
        <f t="shared" si="371"/>
        <v>907904.67876915389</v>
      </c>
      <c r="AJ244" s="571" t="s">
        <v>0</v>
      </c>
      <c r="AK244" s="875">
        <f t="shared" si="389"/>
        <v>0</v>
      </c>
      <c r="AL244" s="28">
        <f t="shared" si="400"/>
        <v>0</v>
      </c>
      <c r="AM244" s="28">
        <f t="shared" si="400"/>
        <v>0</v>
      </c>
      <c r="AN244" s="28">
        <f t="shared" si="400"/>
        <v>0</v>
      </c>
      <c r="AO244" s="28">
        <f t="shared" si="400"/>
        <v>0</v>
      </c>
      <c r="AP244" s="28">
        <f t="shared" si="400"/>
        <v>0</v>
      </c>
      <c r="AQ244" s="28">
        <f t="shared" si="400"/>
        <v>0</v>
      </c>
      <c r="AR244" s="28">
        <f t="shared" si="400"/>
        <v>0</v>
      </c>
      <c r="AS244" s="28">
        <f t="shared" si="400"/>
        <v>1</v>
      </c>
      <c r="AT244" s="28">
        <f t="shared" si="400"/>
        <v>0</v>
      </c>
      <c r="AU244" s="28">
        <f t="shared" si="400"/>
        <v>0</v>
      </c>
      <c r="AV244" s="28">
        <f t="shared" si="401"/>
        <v>0</v>
      </c>
      <c r="AW244" s="28">
        <f t="shared" si="401"/>
        <v>0</v>
      </c>
      <c r="AX244" s="28">
        <f t="shared" si="401"/>
        <v>0</v>
      </c>
      <c r="AY244" s="28">
        <f t="shared" si="401"/>
        <v>0</v>
      </c>
      <c r="AZ244" s="28">
        <f t="shared" si="401"/>
        <v>0</v>
      </c>
      <c r="BA244" s="28">
        <f t="shared" si="401"/>
        <v>0</v>
      </c>
      <c r="BB244" s="28">
        <f t="shared" si="401"/>
        <v>0</v>
      </c>
      <c r="BC244" s="28">
        <f t="shared" si="401"/>
        <v>0</v>
      </c>
      <c r="BD244" s="28">
        <f t="shared" si="401"/>
        <v>0</v>
      </c>
      <c r="BE244" s="28">
        <f t="shared" si="401"/>
        <v>0</v>
      </c>
      <c r="BF244" s="27">
        <f t="shared" si="402"/>
        <v>1</v>
      </c>
      <c r="BG244" s="520">
        <f t="shared" si="393"/>
        <v>1.0030818160192299</v>
      </c>
      <c r="BH244" s="520">
        <f t="shared" si="372"/>
        <v>1.0058892448397847</v>
      </c>
      <c r="BI244" s="520">
        <f t="shared" si="373"/>
        <v>1.0089276407487533</v>
      </c>
      <c r="BJ244" s="520">
        <f t="shared" si="374"/>
        <v>1.0124373439172154</v>
      </c>
      <c r="BK244" s="520">
        <f t="shared" si="375"/>
        <v>1.0175505572831101</v>
      </c>
      <c r="BL244" s="520">
        <f t="shared" si="376"/>
        <v>1.023302014576742</v>
      </c>
      <c r="BM244" s="520">
        <f t="shared" si="377"/>
        <v>1.0271524590875074</v>
      </c>
      <c r="BN244" s="521" t="str">
        <f t="shared" si="378"/>
        <v>Category</v>
      </c>
      <c r="BP244" s="3"/>
    </row>
    <row r="245" spans="1:68" hidden="1" x14ac:dyDescent="0.15">
      <c r="A245" s="12" t="s">
        <v>491</v>
      </c>
      <c r="B245" s="13" t="s">
        <v>492</v>
      </c>
      <c r="C245" s="13" t="s">
        <v>27</v>
      </c>
      <c r="D245" s="13" t="s">
        <v>40</v>
      </c>
      <c r="E245" s="13" t="s">
        <v>112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5">
        <v>0</v>
      </c>
      <c r="N245" s="670"/>
      <c r="O245" s="14"/>
      <c r="P245" s="15"/>
      <c r="Q245" s="15" t="str">
        <f>IF(ISTEXT('Incurred 2.5% cpi'!Q245),"",'Incurred 2.5% cpi'!Q245/'Incurred 2.5% cpi'!Q$17*Incurred!Q$17)</f>
        <v/>
      </c>
      <c r="R245" s="110">
        <f>IF(ISTEXT('Incurred 2.5% cpi'!R245),"",'Incurred 2.5% cpi'!R245/'Incurred 2.5% cpi'!R$17*Incurred!R$17*BG245)</f>
        <v>342499.12642776372</v>
      </c>
      <c r="S245" s="102">
        <f>IF(ISTEXT('Incurred 2.5% cpi'!S245),"",'Incurred 2.5% cpi'!S245/'Incurred 2.5% cpi'!S$17*Incurred!S$17*BH245)</f>
        <v>3603113.3240130479</v>
      </c>
      <c r="T245" s="16">
        <f>IF(ISTEXT('Incurred 2.5% cpi'!T245),"",'Incurred 2.5% cpi'!T245/'Incurred 2.5% cpi'!T$17*Incurred!T$17*BI245)</f>
        <v>7311057.5813293578</v>
      </c>
      <c r="U245" s="16">
        <f>IF(ISTEXT('Incurred 2.5% cpi'!U245),"",'Incurred 2.5% cpi'!U245/'Incurred 2.5% cpi'!U$17*Incurred!U$17*BJ245)</f>
        <v>7121044.6606729487</v>
      </c>
      <c r="V245" s="16">
        <f>IF(ISTEXT('Incurred 2.5% cpi'!V245),"",'Incurred 2.5% cpi'!V245/'Incurred 2.5% cpi'!V$17*Incurred!V$17*BK245)</f>
        <v>7352382.6735910671</v>
      </c>
      <c r="W245" s="110">
        <f>IF(ISTEXT('Incurred 2.5% cpi'!W245),"",'Incurred 2.5% cpi'!W245/'Incurred 2.5% cpi'!W$17*Incurred!W$17*BL245)</f>
        <v>6400109.0657039378</v>
      </c>
      <c r="X245" s="102" t="str">
        <f>IF(ISTEXT('Incurred 2.5% cpi'!X245),"",'Incurred 2.5% cpi'!X245/'Incurred 2.5% cpi'!X$17*Incurred!X$17*BM245)</f>
        <v/>
      </c>
      <c r="Y245" s="80">
        <f t="shared" si="353"/>
        <v>32130206.431738123</v>
      </c>
      <c r="Z245" s="80">
        <f t="shared" si="397"/>
        <v>32130206.431738123</v>
      </c>
      <c r="AA245" s="566">
        <f t="shared" si="398"/>
        <v>33655727.478899583</v>
      </c>
      <c r="AB245" s="566">
        <f t="shared" si="370"/>
        <v>33655727.478899583</v>
      </c>
      <c r="AC245" s="567">
        <f t="shared" si="387"/>
        <v>1</v>
      </c>
      <c r="AD245" s="568" t="str">
        <f t="shared" si="384"/>
        <v>2023</v>
      </c>
      <c r="AE245" s="569">
        <v>44991</v>
      </c>
      <c r="AF245" s="568">
        <v>2023</v>
      </c>
      <c r="AG245" s="569"/>
      <c r="AH245" s="566">
        <f t="shared" si="399"/>
        <v>29746759.034842841</v>
      </c>
      <c r="AI245" s="80">
        <f t="shared" si="371"/>
        <v>6400109.0657039378</v>
      </c>
      <c r="AJ245" s="571" t="s">
        <v>3035</v>
      </c>
      <c r="AK245" s="875">
        <f>IF(ISNA(VLOOKUP(LEFT($A245,8),Estimates,72,FALSE)),0,VLOOKUP(LEFT($A245,8),Estimates,72,FALSE))</f>
        <v>15248999.999999996</v>
      </c>
      <c r="AL245" s="28">
        <f t="shared" si="400"/>
        <v>0</v>
      </c>
      <c r="AM245" s="28">
        <f t="shared" si="400"/>
        <v>0</v>
      </c>
      <c r="AN245" s="28">
        <f t="shared" si="400"/>
        <v>1.9988195947275238E-2</v>
      </c>
      <c r="AO245" s="28">
        <f t="shared" si="400"/>
        <v>0</v>
      </c>
      <c r="AP245" s="28">
        <f t="shared" si="400"/>
        <v>0</v>
      </c>
      <c r="AQ245" s="28">
        <f t="shared" si="400"/>
        <v>0</v>
      </c>
      <c r="AR245" s="28">
        <f t="shared" si="400"/>
        <v>0</v>
      </c>
      <c r="AS245" s="28">
        <f t="shared" si="400"/>
        <v>0</v>
      </c>
      <c r="AT245" s="28">
        <f t="shared" si="400"/>
        <v>0</v>
      </c>
      <c r="AU245" s="28">
        <f t="shared" si="400"/>
        <v>0</v>
      </c>
      <c r="AV245" s="28">
        <f t="shared" si="401"/>
        <v>0</v>
      </c>
      <c r="AW245" s="28">
        <f t="shared" si="401"/>
        <v>0</v>
      </c>
      <c r="AX245" s="28">
        <f t="shared" si="401"/>
        <v>0</v>
      </c>
      <c r="AY245" s="28">
        <f t="shared" si="401"/>
        <v>0</v>
      </c>
      <c r="AZ245" s="28">
        <f t="shared" si="401"/>
        <v>0.98001180405272481</v>
      </c>
      <c r="BA245" s="28">
        <f t="shared" si="401"/>
        <v>0</v>
      </c>
      <c r="BB245" s="28">
        <f t="shared" si="401"/>
        <v>0</v>
      </c>
      <c r="BC245" s="28">
        <f t="shared" si="401"/>
        <v>0</v>
      </c>
      <c r="BD245" s="28">
        <f t="shared" si="401"/>
        <v>0</v>
      </c>
      <c r="BE245" s="28">
        <f t="shared" si="401"/>
        <v>0</v>
      </c>
      <c r="BF245" s="27">
        <f t="shared" si="402"/>
        <v>1</v>
      </c>
      <c r="BG245" s="520">
        <f t="shared" si="393"/>
        <v>1.003721711211746</v>
      </c>
      <c r="BH245" s="520">
        <f t="shared" si="372"/>
        <v>1.007112062631961</v>
      </c>
      <c r="BI245" s="520">
        <f t="shared" si="373"/>
        <v>1.0107813381661175</v>
      </c>
      <c r="BJ245" s="520">
        <f t="shared" si="374"/>
        <v>1.015019781197908</v>
      </c>
      <c r="BK245" s="520">
        <f t="shared" si="375"/>
        <v>1.021194680475852</v>
      </c>
      <c r="BL245" s="520">
        <f t="shared" si="376"/>
        <v>1.0281403459406377</v>
      </c>
      <c r="BM245" s="520">
        <f t="shared" si="377"/>
        <v>1.0327902804002238</v>
      </c>
      <c r="BN245" s="521" t="str">
        <f t="shared" si="378"/>
        <v>Project</v>
      </c>
      <c r="BP245" s="3"/>
    </row>
    <row r="246" spans="1:68" hidden="1" x14ac:dyDescent="0.15">
      <c r="A246" s="12" t="s">
        <v>493</v>
      </c>
      <c r="B246" s="13" t="s">
        <v>494</v>
      </c>
      <c r="C246" s="13" t="s">
        <v>27</v>
      </c>
      <c r="D246" s="13" t="s">
        <v>40</v>
      </c>
      <c r="E246" s="13" t="s">
        <v>112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5">
        <v>0</v>
      </c>
      <c r="N246" s="670"/>
      <c r="O246" s="14"/>
      <c r="P246" s="15"/>
      <c r="Q246" s="15" t="str">
        <f>IF(ISTEXT('Incurred 2.5% cpi'!Q246),"",'Incurred 2.5% cpi'!Q246/'Incurred 2.5% cpi'!Q$17*Incurred!Q$17)</f>
        <v/>
      </c>
      <c r="R246" s="110" t="str">
        <f>IF(ISTEXT('Incurred 2.5% cpi'!R246),"",'Incurred 2.5% cpi'!R246/'Incurred 2.5% cpi'!R$17*Incurred!R$17*BG246)</f>
        <v/>
      </c>
      <c r="S246" s="102">
        <f>IF(ISTEXT('Incurred 2.5% cpi'!S246),"",'Incurred 2.5% cpi'!S246/'Incurred 2.5% cpi'!S$17*Incurred!S$17*BH246)</f>
        <v>94876.34106933132</v>
      </c>
      <c r="T246" s="16">
        <f>IF(ISTEXT('Incurred 2.5% cpi'!T246),"",'Incurred 2.5% cpi'!T246/'Incurred 2.5% cpi'!T$17*Incurred!T$17*BI246)</f>
        <v>108280.01799018314</v>
      </c>
      <c r="U246" s="16">
        <f>IF(ISTEXT('Incurred 2.5% cpi'!U246),"",'Incurred 2.5% cpi'!U246/'Incurred 2.5% cpi'!U$17*Incurred!U$17*BJ246)</f>
        <v>958390.45418144995</v>
      </c>
      <c r="V246" s="16">
        <f>IF(ISTEXT('Incurred 2.5% cpi'!V246),"",'Incurred 2.5% cpi'!V246/'Incurred 2.5% cpi'!V$17*Incurred!V$17*BK246)</f>
        <v>2422069.9477735762</v>
      </c>
      <c r="W246" s="110">
        <f>IF(ISTEXT('Incurred 2.5% cpi'!W246),"",'Incurred 2.5% cpi'!W246/'Incurred 2.5% cpi'!W$17*Incurred!W$17*BL246)</f>
        <v>1762528.6548005424</v>
      </c>
      <c r="X246" s="102" t="str">
        <f>IF(ISTEXT('Incurred 2.5% cpi'!X246),"",'Incurred 2.5% cpi'!X246/'Incurred 2.5% cpi'!X$17*Incurred!X$17*BM246)</f>
        <v/>
      </c>
      <c r="Y246" s="80">
        <f t="shared" si="353"/>
        <v>5346145.4158150833</v>
      </c>
      <c r="Z246" s="80">
        <f t="shared" si="397"/>
        <v>5346145.4158150833</v>
      </c>
      <c r="AA246" s="566">
        <f t="shared" si="398"/>
        <v>5473390.7867289651</v>
      </c>
      <c r="AB246" s="566">
        <f t="shared" si="370"/>
        <v>5473390.7867289651</v>
      </c>
      <c r="AC246" s="567">
        <f t="shared" si="387"/>
        <v>1</v>
      </c>
      <c r="AD246" s="568" t="str">
        <f t="shared" si="384"/>
        <v>2023</v>
      </c>
      <c r="AE246" s="569">
        <v>44944</v>
      </c>
      <c r="AF246" s="568">
        <v>2023</v>
      </c>
      <c r="AG246" s="569"/>
      <c r="AH246" s="566">
        <f t="shared" si="399"/>
        <v>4837679.9146128241</v>
      </c>
      <c r="AI246" s="80">
        <f t="shared" si="371"/>
        <v>1762528.6548005424</v>
      </c>
      <c r="AJ246" s="571" t="s">
        <v>3037</v>
      </c>
      <c r="AK246" s="875">
        <f>IF(ISNA(VLOOKUP(LEFT($A246,8),Estimates,72,FALSE)),0,VLOOKUP(LEFT($A246,8),Estimates,72,FALSE))</f>
        <v>2221795.109677894</v>
      </c>
      <c r="AL246" s="28">
        <f t="shared" si="400"/>
        <v>0</v>
      </c>
      <c r="AM246" s="28">
        <f t="shared" si="400"/>
        <v>0</v>
      </c>
      <c r="AN246" s="28">
        <f t="shared" si="400"/>
        <v>0</v>
      </c>
      <c r="AO246" s="28">
        <f t="shared" si="400"/>
        <v>0</v>
      </c>
      <c r="AP246" s="28">
        <f t="shared" si="400"/>
        <v>0</v>
      </c>
      <c r="AQ246" s="28">
        <f t="shared" si="400"/>
        <v>0</v>
      </c>
      <c r="AR246" s="28">
        <f t="shared" si="400"/>
        <v>0</v>
      </c>
      <c r="AS246" s="28">
        <f t="shared" si="400"/>
        <v>0</v>
      </c>
      <c r="AT246" s="28">
        <f t="shared" si="400"/>
        <v>0</v>
      </c>
      <c r="AU246" s="28">
        <f t="shared" si="400"/>
        <v>0.89952951762853728</v>
      </c>
      <c r="AV246" s="28">
        <f t="shared" si="401"/>
        <v>0</v>
      </c>
      <c r="AW246" s="28">
        <f t="shared" si="401"/>
        <v>6.3563388804275991E-2</v>
      </c>
      <c r="AX246" s="28">
        <f t="shared" si="401"/>
        <v>0</v>
      </c>
      <c r="AY246" s="28">
        <f t="shared" si="401"/>
        <v>0</v>
      </c>
      <c r="AZ246" s="28">
        <f t="shared" si="401"/>
        <v>3.6907093567186758E-2</v>
      </c>
      <c r="BA246" s="28">
        <f t="shared" si="401"/>
        <v>0</v>
      </c>
      <c r="BB246" s="28">
        <f t="shared" si="401"/>
        <v>0</v>
      </c>
      <c r="BC246" s="28">
        <f t="shared" si="401"/>
        <v>0</v>
      </c>
      <c r="BD246" s="28">
        <f t="shared" si="401"/>
        <v>0</v>
      </c>
      <c r="BE246" s="28">
        <f t="shared" si="401"/>
        <v>0</v>
      </c>
      <c r="BF246" s="27">
        <f t="shared" si="402"/>
        <v>1</v>
      </c>
      <c r="BG246" s="520">
        <f t="shared" si="393"/>
        <v>1.0021878138434954</v>
      </c>
      <c r="BH246" s="520">
        <f t="shared" si="372"/>
        <v>1.004180837307554</v>
      </c>
      <c r="BI246" s="520">
        <f t="shared" si="373"/>
        <v>1.0063378267547445</v>
      </c>
      <c r="BJ246" s="520">
        <f t="shared" si="374"/>
        <v>1.0088294022188888</v>
      </c>
      <c r="BK246" s="520">
        <f t="shared" si="375"/>
        <v>1.0124593265611748</v>
      </c>
      <c r="BL246" s="520">
        <f t="shared" si="376"/>
        <v>1.0165423470298738</v>
      </c>
      <c r="BM246" s="520">
        <f t="shared" si="377"/>
        <v>1.0192758183830299</v>
      </c>
      <c r="BN246" s="521" t="str">
        <f t="shared" si="378"/>
        <v>Project</v>
      </c>
      <c r="BP246" s="3"/>
    </row>
    <row r="247" spans="1:68" hidden="1" x14ac:dyDescent="0.15">
      <c r="A247" s="12" t="s">
        <v>495</v>
      </c>
      <c r="B247" s="13" t="s">
        <v>496</v>
      </c>
      <c r="C247" s="13" t="s">
        <v>27</v>
      </c>
      <c r="D247" s="13" t="s">
        <v>40</v>
      </c>
      <c r="E247" s="13" t="s">
        <v>112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5">
        <v>0</v>
      </c>
      <c r="N247" s="670"/>
      <c r="O247" s="14"/>
      <c r="P247" s="15"/>
      <c r="Q247" s="15" t="str">
        <f>IF(ISTEXT('Incurred 2.5% cpi'!Q247),"",'Incurred 2.5% cpi'!Q247/'Incurred 2.5% cpi'!Q$17*Incurred!Q$17)</f>
        <v/>
      </c>
      <c r="R247" s="110" t="str">
        <f>IF(ISTEXT('Incurred 2.5% cpi'!R247),"",'Incurred 2.5% cpi'!R247/'Incurred 2.5% cpi'!R$17*Incurred!R$17*BG247)</f>
        <v/>
      </c>
      <c r="S247" s="102">
        <f>IF(ISTEXT('Incurred 2.5% cpi'!S247),"",'Incurred 2.5% cpi'!S247/'Incurred 2.5% cpi'!S$17*Incurred!S$17*BH247)</f>
        <v>131078.95667544351</v>
      </c>
      <c r="T247" s="16">
        <f>IF(ISTEXT('Incurred 2.5% cpi'!T247),"",'Incurred 2.5% cpi'!T247/'Incurred 2.5% cpi'!T$17*Incurred!T$17*BI247)</f>
        <v>149623.24504470042</v>
      </c>
      <c r="U247" s="16">
        <f>IF(ISTEXT('Incurred 2.5% cpi'!U247),"",'Incurred 2.5% cpi'!U247/'Incurred 2.5% cpi'!U$17*Incurred!U$17*BJ247)</f>
        <v>974722.5706942227</v>
      </c>
      <c r="V247" s="16">
        <f>IF(ISTEXT('Incurred 2.5% cpi'!V247),"",'Incurred 2.5% cpi'!V247/'Incurred 2.5% cpi'!V$17*Incurred!V$17*BK247)</f>
        <v>2407478.3437712421</v>
      </c>
      <c r="W247" s="110">
        <f>IF(ISTEXT('Incurred 2.5% cpi'!W247),"",'Incurred 2.5% cpi'!W247/'Incurred 2.5% cpi'!W$17*Incurred!W$17*BL247)</f>
        <v>1757675.1773785581</v>
      </c>
      <c r="X247" s="102" t="str">
        <f>IF(ISTEXT('Incurred 2.5% cpi'!X247),"",'Incurred 2.5% cpi'!X247/'Incurred 2.5% cpi'!X$17*Incurred!X$17*BM247)</f>
        <v/>
      </c>
      <c r="Y247" s="80">
        <f t="shared" si="353"/>
        <v>5420578.2935641669</v>
      </c>
      <c r="Z247" s="80">
        <f t="shared" si="397"/>
        <v>5420578.2935641669</v>
      </c>
      <c r="AA247" s="566">
        <f t="shared" si="398"/>
        <v>5555222.892518444</v>
      </c>
      <c r="AB247" s="566">
        <f t="shared" si="370"/>
        <v>5555222.892518444</v>
      </c>
      <c r="AC247" s="567">
        <f t="shared" si="387"/>
        <v>1</v>
      </c>
      <c r="AD247" s="568" t="str">
        <f t="shared" si="384"/>
        <v>2023</v>
      </c>
      <c r="AE247" s="569">
        <v>44944</v>
      </c>
      <c r="AF247" s="568">
        <v>2023</v>
      </c>
      <c r="AG247" s="569"/>
      <c r="AH247" s="566">
        <f t="shared" si="399"/>
        <v>4910007.572178971</v>
      </c>
      <c r="AI247" s="80">
        <f t="shared" si="371"/>
        <v>1757675.1773785581</v>
      </c>
      <c r="AJ247" s="571" t="s">
        <v>3035</v>
      </c>
      <c r="AK247" s="875">
        <f>IF(ISNA(VLOOKUP(LEFT($A247,8),Estimates,72,FALSE)),0,VLOOKUP(LEFT($A247,8),Estimates,72,FALSE))</f>
        <v>3058550.1401999989</v>
      </c>
      <c r="AL247" s="28">
        <f t="shared" si="400"/>
        <v>0</v>
      </c>
      <c r="AM247" s="28">
        <f t="shared" si="400"/>
        <v>0</v>
      </c>
      <c r="AN247" s="28">
        <f t="shared" si="400"/>
        <v>0</v>
      </c>
      <c r="AO247" s="28">
        <f t="shared" si="400"/>
        <v>0</v>
      </c>
      <c r="AP247" s="28">
        <f t="shared" si="400"/>
        <v>0</v>
      </c>
      <c r="AQ247" s="28">
        <f t="shared" si="400"/>
        <v>0</v>
      </c>
      <c r="AR247" s="28">
        <f t="shared" si="400"/>
        <v>0</v>
      </c>
      <c r="AS247" s="28">
        <f t="shared" si="400"/>
        <v>0</v>
      </c>
      <c r="AT247" s="28">
        <f t="shared" si="400"/>
        <v>0</v>
      </c>
      <c r="AU247" s="28">
        <f t="shared" si="400"/>
        <v>0.89892446125477488</v>
      </c>
      <c r="AV247" s="28">
        <f t="shared" si="401"/>
        <v>0</v>
      </c>
      <c r="AW247" s="28">
        <f t="shared" si="401"/>
        <v>2.2606986980922152E-2</v>
      </c>
      <c r="AX247" s="28">
        <f t="shared" si="401"/>
        <v>0</v>
      </c>
      <c r="AY247" s="28">
        <f t="shared" si="401"/>
        <v>0</v>
      </c>
      <c r="AZ247" s="28">
        <f t="shared" si="401"/>
        <v>7.8468551764303077E-2</v>
      </c>
      <c r="BA247" s="28">
        <f t="shared" si="401"/>
        <v>0</v>
      </c>
      <c r="BB247" s="28">
        <f t="shared" si="401"/>
        <v>0</v>
      </c>
      <c r="BC247" s="28">
        <f t="shared" si="401"/>
        <v>0</v>
      </c>
      <c r="BD247" s="28">
        <f t="shared" si="401"/>
        <v>0</v>
      </c>
      <c r="BE247" s="28">
        <f t="shared" si="401"/>
        <v>0</v>
      </c>
      <c r="BF247" s="27">
        <f t="shared" si="402"/>
        <v>1</v>
      </c>
      <c r="BG247" s="520">
        <f t="shared" si="393"/>
        <v>1.0023692671543005</v>
      </c>
      <c r="BH247" s="520">
        <f t="shared" si="372"/>
        <v>1.0045275883685041</v>
      </c>
      <c r="BI247" s="520">
        <f t="shared" si="373"/>
        <v>1.0068634746069951</v>
      </c>
      <c r="BJ247" s="520">
        <f t="shared" si="374"/>
        <v>1.0095616968196433</v>
      </c>
      <c r="BK247" s="520">
        <f t="shared" si="375"/>
        <v>1.0134926805010673</v>
      </c>
      <c r="BL247" s="520">
        <f t="shared" si="376"/>
        <v>1.0179143392795718</v>
      </c>
      <c r="BM247" s="520">
        <f t="shared" si="377"/>
        <v>1.0208745197873921</v>
      </c>
      <c r="BN247" s="521" t="str">
        <f t="shared" si="378"/>
        <v>Project</v>
      </c>
      <c r="BP247" s="3"/>
    </row>
    <row r="248" spans="1:68" hidden="1" x14ac:dyDescent="0.15">
      <c r="A248" s="12" t="s">
        <v>497</v>
      </c>
      <c r="B248" s="13" t="s">
        <v>498</v>
      </c>
      <c r="C248" s="13" t="s">
        <v>27</v>
      </c>
      <c r="D248" s="13" t="s">
        <v>40</v>
      </c>
      <c r="E248" s="13" t="s">
        <v>112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5">
        <v>0</v>
      </c>
      <c r="N248" s="670"/>
      <c r="O248" s="14"/>
      <c r="P248" s="15"/>
      <c r="Q248" s="15" t="str">
        <f>IF(ISTEXT('Incurred 2.5% cpi'!Q248),"",'Incurred 2.5% cpi'!Q248/'Incurred 2.5% cpi'!Q$17*Incurred!Q$17)</f>
        <v/>
      </c>
      <c r="R248" s="110" t="str">
        <f>IF(ISTEXT('Incurred 2.5% cpi'!R248),"",'Incurred 2.5% cpi'!R248/'Incurred 2.5% cpi'!R$17*Incurred!R$17*BG248)</f>
        <v/>
      </c>
      <c r="S248" s="102">
        <f>IF(ISTEXT('Incurred 2.5% cpi'!S248),"",'Incurred 2.5% cpi'!S248/'Incurred 2.5% cpi'!S$17*Incurred!S$17*BH248)</f>
        <v>206656.57116651829</v>
      </c>
      <c r="T248" s="16">
        <f>IF(ISTEXT('Incurred 2.5% cpi'!T248),"",'Incurred 2.5% cpi'!T248/'Incurred 2.5% cpi'!T$17*Incurred!T$17*BI248)</f>
        <v>346034.7136662688</v>
      </c>
      <c r="U248" s="16">
        <f>IF(ISTEXT('Incurred 2.5% cpi'!U248),"",'Incurred 2.5% cpi'!U248/'Incurred 2.5% cpi'!U$17*Incurred!U$17*BJ248)</f>
        <v>2304752.7043372206</v>
      </c>
      <c r="V248" s="16">
        <f>IF(ISTEXT('Incurred 2.5% cpi'!V248),"",'Incurred 2.5% cpi'!V248/'Incurred 2.5% cpi'!V$17*Incurred!V$17*BK248)</f>
        <v>5435953.2057059957</v>
      </c>
      <c r="W248" s="110">
        <f>IF(ISTEXT('Incurred 2.5% cpi'!W248),"",'Incurred 2.5% cpi'!W248/'Incurred 2.5% cpi'!W$17*Incurred!W$17*BL248)</f>
        <v>3940669.0427512387</v>
      </c>
      <c r="X248" s="102" t="str">
        <f>IF(ISTEXT('Incurred 2.5% cpi'!X248),"",'Incurred 2.5% cpi'!X248/'Incurred 2.5% cpi'!X$17*Incurred!X$17*BM248)</f>
        <v/>
      </c>
      <c r="Y248" s="80">
        <f t="shared" si="353"/>
        <v>12234066.237627242</v>
      </c>
      <c r="Z248" s="80">
        <f t="shared" si="397"/>
        <v>12234066.237627242</v>
      </c>
      <c r="AA248" s="566">
        <f t="shared" si="398"/>
        <v>12534703.614851907</v>
      </c>
      <c r="AB248" s="566">
        <f t="shared" si="370"/>
        <v>12534703.614851907</v>
      </c>
      <c r="AC248" s="567">
        <f t="shared" si="387"/>
        <v>1</v>
      </c>
      <c r="AD248" s="568" t="str">
        <f t="shared" si="384"/>
        <v>2023</v>
      </c>
      <c r="AE248" s="569">
        <v>44944</v>
      </c>
      <c r="AF248" s="568">
        <v>2023</v>
      </c>
      <c r="AG248" s="569"/>
      <c r="AH248" s="566">
        <f t="shared" si="399"/>
        <v>11078851.533901371</v>
      </c>
      <c r="AI248" s="80">
        <f t="shared" si="371"/>
        <v>3940669.0427512387</v>
      </c>
      <c r="AJ248" s="571" t="s">
        <v>3035</v>
      </c>
      <c r="AK248" s="875">
        <f>IF(ISNA(VLOOKUP(LEFT($A248,8),Estimates,72,FALSE)),0,VLOOKUP(LEFT($A248,8),Estimates,72,FALSE))</f>
        <v>7361640.7495999988</v>
      </c>
      <c r="AL248" s="28">
        <f t="shared" si="400"/>
        <v>0</v>
      </c>
      <c r="AM248" s="28">
        <f t="shared" si="400"/>
        <v>0</v>
      </c>
      <c r="AN248" s="28">
        <f t="shared" si="400"/>
        <v>0</v>
      </c>
      <c r="AO248" s="28">
        <f t="shared" si="400"/>
        <v>0</v>
      </c>
      <c r="AP248" s="28">
        <f t="shared" si="400"/>
        <v>0</v>
      </c>
      <c r="AQ248" s="28">
        <f t="shared" si="400"/>
        <v>0</v>
      </c>
      <c r="AR248" s="28">
        <f t="shared" si="400"/>
        <v>0</v>
      </c>
      <c r="AS248" s="28">
        <f t="shared" si="400"/>
        <v>0</v>
      </c>
      <c r="AT248" s="28">
        <f t="shared" si="400"/>
        <v>0</v>
      </c>
      <c r="AU248" s="28">
        <f t="shared" si="400"/>
        <v>0.89724490948011804</v>
      </c>
      <c r="AV248" s="28">
        <f t="shared" si="401"/>
        <v>0</v>
      </c>
      <c r="AW248" s="28">
        <f t="shared" si="401"/>
        <v>3.4292091965193609E-2</v>
      </c>
      <c r="AX248" s="28">
        <f t="shared" si="401"/>
        <v>0</v>
      </c>
      <c r="AY248" s="28">
        <f t="shared" si="401"/>
        <v>0</v>
      </c>
      <c r="AZ248" s="28">
        <f t="shared" si="401"/>
        <v>6.8462998554688417E-2</v>
      </c>
      <c r="BA248" s="28">
        <f t="shared" si="401"/>
        <v>0</v>
      </c>
      <c r="BB248" s="28">
        <f t="shared" si="401"/>
        <v>0</v>
      </c>
      <c r="BC248" s="28">
        <f t="shared" si="401"/>
        <v>0</v>
      </c>
      <c r="BD248" s="28">
        <f t="shared" si="401"/>
        <v>0</v>
      </c>
      <c r="BE248" s="28">
        <f t="shared" si="401"/>
        <v>0</v>
      </c>
      <c r="BF248" s="27">
        <f t="shared" si="402"/>
        <v>1</v>
      </c>
      <c r="BG248" s="520">
        <f t="shared" si="393"/>
        <v>1.0023727995868892</v>
      </c>
      <c r="BH248" s="520">
        <f t="shared" si="372"/>
        <v>1.0045343387261718</v>
      </c>
      <c r="BI248" s="520">
        <f t="shared" si="373"/>
        <v>1.0068737076283454</v>
      </c>
      <c r="BJ248" s="520">
        <f t="shared" si="374"/>
        <v>1.0095759527254786</v>
      </c>
      <c r="BK248" s="520">
        <f t="shared" si="375"/>
        <v>1.0135127972634284</v>
      </c>
      <c r="BL248" s="520">
        <f t="shared" si="376"/>
        <v>1.0179410484650531</v>
      </c>
      <c r="BM248" s="520">
        <f t="shared" si="377"/>
        <v>1.0209056424211735</v>
      </c>
      <c r="BN248" s="521" t="str">
        <f t="shared" si="378"/>
        <v>Project</v>
      </c>
      <c r="BP248" s="3"/>
    </row>
    <row r="249" spans="1:68" hidden="1" x14ac:dyDescent="0.15">
      <c r="A249" s="12" t="s">
        <v>500</v>
      </c>
      <c r="B249" s="13" t="s">
        <v>3166</v>
      </c>
      <c r="C249" s="13" t="s">
        <v>2983</v>
      </c>
      <c r="D249" s="13" t="s">
        <v>28</v>
      </c>
      <c r="E249" s="13" t="s">
        <v>29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5">
        <v>0</v>
      </c>
      <c r="N249" s="670"/>
      <c r="O249" s="14"/>
      <c r="P249" s="15">
        <v>339333.03</v>
      </c>
      <c r="Q249" s="15">
        <f>IF(ISTEXT('Incurred 2.5% cpi'!Q249),"",'Incurred 2.5% cpi'!Q249/'Incurred 2.5% cpi'!Q$17*Incurred!Q$17)</f>
        <v>2599635.7999999998</v>
      </c>
      <c r="R249" s="110">
        <f>IF(ISTEXT('Incurred 2.5% cpi'!R249),"",'Incurred 2.5% cpi'!R249/'Incurred 2.5% cpi'!R$17*Incurred!R$17*BG249)</f>
        <v>821311.3096390164</v>
      </c>
      <c r="S249" s="102" t="str">
        <f>IF(ISTEXT('Incurred 2.5% cpi'!S249),"",'Incurred 2.5% cpi'!S249/'Incurred 2.5% cpi'!S$17*Incurred!S$17*BH249)</f>
        <v/>
      </c>
      <c r="T249" s="16" t="str">
        <f>IF(ISTEXT('Incurred 2.5% cpi'!T249),"",'Incurred 2.5% cpi'!T249/'Incurred 2.5% cpi'!T$17*Incurred!T$17*BI249)</f>
        <v/>
      </c>
      <c r="U249" s="16" t="str">
        <f>IF(ISTEXT('Incurred 2.5% cpi'!U249),"",'Incurred 2.5% cpi'!U249/'Incurred 2.5% cpi'!U$17*Incurred!U$17*BJ249)</f>
        <v/>
      </c>
      <c r="V249" s="16" t="str">
        <f>IF(ISTEXT('Incurred 2.5% cpi'!V249),"",'Incurred 2.5% cpi'!V249/'Incurred 2.5% cpi'!V$17*Incurred!V$17*BK249)</f>
        <v/>
      </c>
      <c r="W249" s="110" t="str">
        <f>IF(ISTEXT('Incurred 2.5% cpi'!W249),"",'Incurred 2.5% cpi'!W249/'Incurred 2.5% cpi'!W$17*Incurred!W$17*BL249)</f>
        <v/>
      </c>
      <c r="X249" s="102" t="str">
        <f>IF(ISTEXT('Incurred 2.5% cpi'!X249),"",'Incurred 2.5% cpi'!X249/'Incurred 2.5% cpi'!X$17*Incurred!X$17*BM249)</f>
        <v/>
      </c>
      <c r="Y249" s="80">
        <f t="shared" si="353"/>
        <v>3760280.1396390162</v>
      </c>
      <c r="Z249" s="80">
        <f t="shared" si="397"/>
        <v>3760280.1396390162</v>
      </c>
      <c r="AA249" s="566">
        <f t="shared" ref="AA249:AA257" si="403">IF(ROUND(Y249,0)=0,0,SUMPRODUCT($F$20:$W$20,F249:W249))</f>
        <v>4345906.245772928</v>
      </c>
      <c r="AB249" s="566">
        <f t="shared" si="370"/>
        <v>3841147.8688753825</v>
      </c>
      <c r="AC249" s="567">
        <f t="shared" si="387"/>
        <v>1.1314082128906247</v>
      </c>
      <c r="AD249" s="568" t="str">
        <f t="shared" si="384"/>
        <v>2018</v>
      </c>
      <c r="AE249" s="569">
        <v>42920</v>
      </c>
      <c r="AF249" s="568">
        <v>2018</v>
      </c>
      <c r="AG249" s="569"/>
      <c r="AH249" s="566">
        <f t="shared" ref="AH249:AH257" si="404">IF(ROUND(Y249,0)=0,0,SUMPRODUCT($F$19:$W$19,F249:W249))</f>
        <v>3841147.8688753825</v>
      </c>
      <c r="AI249" s="80">
        <f t="shared" si="371"/>
        <v>821311.3096390164</v>
      </c>
      <c r="AJ249" s="571" t="s">
        <v>0</v>
      </c>
      <c r="AK249" s="875">
        <f t="shared" si="389"/>
        <v>0</v>
      </c>
      <c r="AL249" s="28">
        <f t="shared" ref="AL249:AU252" si="405">IF($AK249=0,VLOOKUP(MID($A249,4,5),ProjectSplits,AL$23,FALSE),IF(ISNA(VLOOKUP($A249,Estimates,AL$22,FALSE)),VLOOKUP(MID($A249,4,5),ProjectSplits,AL$23,FALSE),VLOOKUP($A249,Estimates,AL$22,FALSE)))</f>
        <v>0</v>
      </c>
      <c r="AM249" s="28">
        <f t="shared" si="405"/>
        <v>0</v>
      </c>
      <c r="AN249" s="28">
        <f t="shared" si="405"/>
        <v>0</v>
      </c>
      <c r="AO249" s="28">
        <f t="shared" si="405"/>
        <v>0</v>
      </c>
      <c r="AP249" s="28">
        <f t="shared" si="405"/>
        <v>0</v>
      </c>
      <c r="AQ249" s="28">
        <f t="shared" si="405"/>
        <v>0</v>
      </c>
      <c r="AR249" s="28">
        <f t="shared" si="405"/>
        <v>0</v>
      </c>
      <c r="AS249" s="28">
        <f t="shared" si="405"/>
        <v>0</v>
      </c>
      <c r="AT249" s="28">
        <f t="shared" si="405"/>
        <v>0</v>
      </c>
      <c r="AU249" s="28">
        <f t="shared" si="405"/>
        <v>0</v>
      </c>
      <c r="AV249" s="28">
        <f t="shared" ref="AV249:BE252" si="406">IF($AK249=0,VLOOKUP(MID($A249,4,5),ProjectSplits,AV$23,FALSE),IF(ISNA(VLOOKUP($A249,Estimates,AV$22,FALSE)),VLOOKUP(MID($A249,4,5),ProjectSplits,AV$23,FALSE),VLOOKUP($A249,Estimates,AV$22,FALSE)))</f>
        <v>0</v>
      </c>
      <c r="AW249" s="28">
        <f t="shared" si="406"/>
        <v>0</v>
      </c>
      <c r="AX249" s="28">
        <f t="shared" si="406"/>
        <v>0</v>
      </c>
      <c r="AY249" s="28">
        <f t="shared" si="406"/>
        <v>0</v>
      </c>
      <c r="AZ249" s="28">
        <f t="shared" si="406"/>
        <v>0</v>
      </c>
      <c r="BA249" s="28">
        <f t="shared" si="406"/>
        <v>0</v>
      </c>
      <c r="BB249" s="28">
        <f t="shared" si="406"/>
        <v>0</v>
      </c>
      <c r="BC249" s="28">
        <f t="shared" si="406"/>
        <v>0</v>
      </c>
      <c r="BD249" s="28">
        <f t="shared" si="406"/>
        <v>1</v>
      </c>
      <c r="BE249" s="28">
        <f t="shared" si="406"/>
        <v>0</v>
      </c>
      <c r="BF249" s="27">
        <f t="shared" ref="BF249:BF252" si="407">SUM(AL249:BD249)</f>
        <v>1</v>
      </c>
      <c r="BG249" s="520">
        <f t="shared" si="393"/>
        <v>1.0030444840366091</v>
      </c>
      <c r="BH249" s="520">
        <f t="shared" si="372"/>
        <v>1.0058179046998681</v>
      </c>
      <c r="BI249" s="520">
        <f t="shared" si="373"/>
        <v>1.0088194946014175</v>
      </c>
      <c r="BJ249" s="520">
        <f t="shared" si="374"/>
        <v>1.0122866825201464</v>
      </c>
      <c r="BK249" s="520">
        <f t="shared" si="375"/>
        <v>1.0173379563051834</v>
      </c>
      <c r="BL249" s="520">
        <f t="shared" si="376"/>
        <v>1.023019742566414</v>
      </c>
      <c r="BM249" s="520">
        <f t="shared" si="377"/>
        <v>1.026823544212498</v>
      </c>
      <c r="BN249" s="521" t="str">
        <f t="shared" si="378"/>
        <v>Category</v>
      </c>
      <c r="BP249" s="3"/>
    </row>
    <row r="250" spans="1:68" hidden="1" x14ac:dyDescent="0.15">
      <c r="A250" s="12" t="s">
        <v>502</v>
      </c>
      <c r="B250" s="13" t="s">
        <v>503</v>
      </c>
      <c r="C250" s="13" t="s">
        <v>2630</v>
      </c>
      <c r="D250" s="13" t="s">
        <v>28</v>
      </c>
      <c r="E250" s="13" t="s">
        <v>32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5">
        <v>0</v>
      </c>
      <c r="N250" s="670"/>
      <c r="O250" s="14"/>
      <c r="P250" s="15">
        <v>1180071.6499999999</v>
      </c>
      <c r="Q250" s="15">
        <f>IF(ISTEXT('Incurred 2.5% cpi'!Q250),"",'Incurred 2.5% cpi'!Q250/'Incurred 2.5% cpi'!Q$17*Incurred!Q$17)</f>
        <v>1106476.8600000001</v>
      </c>
      <c r="R250" s="110" t="str">
        <f>IF(ISTEXT('Incurred 2.5% cpi'!R250),"",'Incurred 2.5% cpi'!R250/'Incurred 2.5% cpi'!R$17*Incurred!R$17*BG250)</f>
        <v/>
      </c>
      <c r="S250" s="102" t="str">
        <f>IF(ISTEXT('Incurred 2.5% cpi'!S250),"",'Incurred 2.5% cpi'!S250/'Incurred 2.5% cpi'!S$17*Incurred!S$17*BH250)</f>
        <v/>
      </c>
      <c r="T250" s="16" t="str">
        <f>IF(ISTEXT('Incurred 2.5% cpi'!T250),"",'Incurred 2.5% cpi'!T250/'Incurred 2.5% cpi'!T$17*Incurred!T$17*BI250)</f>
        <v/>
      </c>
      <c r="U250" s="16" t="str">
        <f>IF(ISTEXT('Incurred 2.5% cpi'!U250),"",'Incurred 2.5% cpi'!U250/'Incurred 2.5% cpi'!U$17*Incurred!U$17*BJ250)</f>
        <v/>
      </c>
      <c r="V250" s="16" t="str">
        <f>IF(ISTEXT('Incurred 2.5% cpi'!V250),"",'Incurred 2.5% cpi'!V250/'Incurred 2.5% cpi'!V$17*Incurred!V$17*BK250)</f>
        <v/>
      </c>
      <c r="W250" s="110" t="str">
        <f>IF(ISTEXT('Incurred 2.5% cpi'!W250),"",'Incurred 2.5% cpi'!W250/'Incurred 2.5% cpi'!W$17*Incurred!W$17*BL250)</f>
        <v/>
      </c>
      <c r="X250" s="102" t="str">
        <f>IF(ISTEXT('Incurred 2.5% cpi'!X250),"",'Incurred 2.5% cpi'!X250/'Incurred 2.5% cpi'!X$17*Incurred!X$17*BM250)</f>
        <v/>
      </c>
      <c r="Y250" s="80">
        <f t="shared" si="353"/>
        <v>2286548.5099999998</v>
      </c>
      <c r="Z250" s="80">
        <f t="shared" si="397"/>
        <v>2286548.5099999998</v>
      </c>
      <c r="AA250" s="566">
        <f t="shared" si="403"/>
        <v>2680785.8216924351</v>
      </c>
      <c r="AB250" s="566">
        <f t="shared" si="370"/>
        <v>2311633.2123567429</v>
      </c>
      <c r="AC250" s="567">
        <f t="shared" si="387"/>
        <v>1.1596934182128902</v>
      </c>
      <c r="AD250" s="568" t="str">
        <f t="shared" si="384"/>
        <v>2017</v>
      </c>
      <c r="AE250" s="569">
        <v>42584</v>
      </c>
      <c r="AF250" s="568">
        <v>2017</v>
      </c>
      <c r="AG250" s="569"/>
      <c r="AH250" s="566">
        <f t="shared" si="404"/>
        <v>2369424.0426656613</v>
      </c>
      <c r="AI250" s="80">
        <f t="shared" si="371"/>
        <v>1106476.8600000001</v>
      </c>
      <c r="AJ250" s="571" t="s">
        <v>0</v>
      </c>
      <c r="AK250" s="875">
        <f>IF(ISNA(VLOOKUP(LEFT($A250,8),Estimates,72,FALSE)),0,VLOOKUP(LEFT($A250,8),Estimates,72,FALSE))</f>
        <v>1366642.3195024</v>
      </c>
      <c r="AL250" s="28">
        <f t="shared" si="405"/>
        <v>0</v>
      </c>
      <c r="AM250" s="28">
        <f t="shared" si="405"/>
        <v>0</v>
      </c>
      <c r="AN250" s="28">
        <f t="shared" si="405"/>
        <v>0</v>
      </c>
      <c r="AO250" s="28">
        <f t="shared" si="405"/>
        <v>0</v>
      </c>
      <c r="AP250" s="28">
        <f t="shared" si="405"/>
        <v>0</v>
      </c>
      <c r="AQ250" s="28">
        <f t="shared" si="405"/>
        <v>0</v>
      </c>
      <c r="AR250" s="28">
        <f t="shared" si="405"/>
        <v>0</v>
      </c>
      <c r="AS250" s="28">
        <f t="shared" si="405"/>
        <v>0</v>
      </c>
      <c r="AT250" s="28">
        <f t="shared" si="405"/>
        <v>0</v>
      </c>
      <c r="AU250" s="28">
        <f t="shared" si="405"/>
        <v>0</v>
      </c>
      <c r="AV250" s="28">
        <f t="shared" si="406"/>
        <v>0</v>
      </c>
      <c r="AW250" s="28">
        <f t="shared" si="406"/>
        <v>0</v>
      </c>
      <c r="AX250" s="28">
        <f t="shared" si="406"/>
        <v>0</v>
      </c>
      <c r="AY250" s="28">
        <f t="shared" si="406"/>
        <v>0</v>
      </c>
      <c r="AZ250" s="28">
        <f t="shared" si="406"/>
        <v>0</v>
      </c>
      <c r="BA250" s="28">
        <f t="shared" si="406"/>
        <v>0</v>
      </c>
      <c r="BB250" s="28">
        <f t="shared" si="406"/>
        <v>0</v>
      </c>
      <c r="BC250" s="28">
        <f t="shared" si="406"/>
        <v>0</v>
      </c>
      <c r="BD250" s="28">
        <f t="shared" si="406"/>
        <v>1</v>
      </c>
      <c r="BE250" s="28">
        <f t="shared" si="406"/>
        <v>0</v>
      </c>
      <c r="BF250" s="27">
        <f t="shared" si="407"/>
        <v>1</v>
      </c>
      <c r="BG250" s="520">
        <f t="shared" si="393"/>
        <v>1.0030444840366091</v>
      </c>
      <c r="BH250" s="520">
        <f t="shared" si="372"/>
        <v>1.0058179046998681</v>
      </c>
      <c r="BI250" s="520">
        <f t="shared" si="373"/>
        <v>1.0088194946014175</v>
      </c>
      <c r="BJ250" s="520">
        <f t="shared" si="374"/>
        <v>1.0122866825201464</v>
      </c>
      <c r="BK250" s="520">
        <f t="shared" si="375"/>
        <v>1.0173379563051834</v>
      </c>
      <c r="BL250" s="520">
        <f t="shared" si="376"/>
        <v>1.023019742566414</v>
      </c>
      <c r="BM250" s="520">
        <f t="shared" si="377"/>
        <v>1.026823544212498</v>
      </c>
      <c r="BN250" s="521" t="str">
        <f t="shared" si="378"/>
        <v>Category</v>
      </c>
      <c r="BP250" s="3"/>
    </row>
    <row r="251" spans="1:68" hidden="1" x14ac:dyDescent="0.15">
      <c r="A251" s="12" t="s">
        <v>504</v>
      </c>
      <c r="B251" s="13" t="s">
        <v>505</v>
      </c>
      <c r="C251" s="13" t="s">
        <v>2630</v>
      </c>
      <c r="D251" s="13" t="s">
        <v>28</v>
      </c>
      <c r="E251" s="13" t="s">
        <v>32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5">
        <v>0</v>
      </c>
      <c r="N251" s="670"/>
      <c r="O251" s="14"/>
      <c r="P251" s="15">
        <v>1394966.12</v>
      </c>
      <c r="Q251" s="15">
        <f>IF(ISTEXT('Incurred 2.5% cpi'!Q251),"",'Incurred 2.5% cpi'!Q251/'Incurred 2.5% cpi'!Q$17*Incurred!Q$17)</f>
        <v>350484.65</v>
      </c>
      <c r="R251" s="110" t="str">
        <f>IF(ISTEXT('Incurred 2.5% cpi'!R251),"",'Incurred 2.5% cpi'!R251/'Incurred 2.5% cpi'!R$17*Incurred!R$17*BG251)</f>
        <v/>
      </c>
      <c r="S251" s="102" t="str">
        <f>IF(ISTEXT('Incurred 2.5% cpi'!S251),"",'Incurred 2.5% cpi'!S251/'Incurred 2.5% cpi'!S$17*Incurred!S$17*BH251)</f>
        <v/>
      </c>
      <c r="T251" s="16" t="str">
        <f>IF(ISTEXT('Incurred 2.5% cpi'!T251),"",'Incurred 2.5% cpi'!T251/'Incurred 2.5% cpi'!T$17*Incurred!T$17*BI251)</f>
        <v/>
      </c>
      <c r="U251" s="16" t="str">
        <f>IF(ISTEXT('Incurred 2.5% cpi'!U251),"",'Incurred 2.5% cpi'!U251/'Incurred 2.5% cpi'!U$17*Incurred!U$17*BJ251)</f>
        <v/>
      </c>
      <c r="V251" s="16" t="str">
        <f>IF(ISTEXT('Incurred 2.5% cpi'!V251),"",'Incurred 2.5% cpi'!V251/'Incurred 2.5% cpi'!V$17*Incurred!V$17*BK251)</f>
        <v/>
      </c>
      <c r="W251" s="110" t="str">
        <f>IF(ISTEXT('Incurred 2.5% cpi'!W251),"",'Incurred 2.5% cpi'!W251/'Incurred 2.5% cpi'!W$17*Incurred!W$17*BL251)</f>
        <v/>
      </c>
      <c r="X251" s="102" t="str">
        <f>IF(ISTEXT('Incurred 2.5% cpi'!X251),"",'Incurred 2.5% cpi'!X251/'Incurred 2.5% cpi'!X$17*Incurred!X$17*BM251)</f>
        <v/>
      </c>
      <c r="Y251" s="80">
        <f t="shared" si="353"/>
        <v>1745450.77</v>
      </c>
      <c r="Z251" s="80">
        <f t="shared" si="397"/>
        <v>1745450.77</v>
      </c>
      <c r="AA251" s="566">
        <f t="shared" si="403"/>
        <v>2058575.8101199022</v>
      </c>
      <c r="AB251" s="566">
        <f t="shared" si="370"/>
        <v>1775103.4694084986</v>
      </c>
      <c r="AC251" s="567">
        <f t="shared" si="387"/>
        <v>1.1596934182128902</v>
      </c>
      <c r="AD251" s="568" t="str">
        <f t="shared" si="384"/>
        <v>2017</v>
      </c>
      <c r="AE251" s="569">
        <v>42551</v>
      </c>
      <c r="AF251" s="568">
        <v>2017</v>
      </c>
      <c r="AG251" s="569"/>
      <c r="AH251" s="566">
        <f t="shared" si="404"/>
        <v>1819481.0561437109</v>
      </c>
      <c r="AI251" s="80">
        <f t="shared" si="371"/>
        <v>350484.65</v>
      </c>
      <c r="AJ251" s="571" t="s">
        <v>0</v>
      </c>
      <c r="AK251" s="875">
        <f t="shared" si="389"/>
        <v>0</v>
      </c>
      <c r="AL251" s="28">
        <f t="shared" si="405"/>
        <v>0</v>
      </c>
      <c r="AM251" s="28">
        <f t="shared" si="405"/>
        <v>0</v>
      </c>
      <c r="AN251" s="28">
        <f t="shared" si="405"/>
        <v>0</v>
      </c>
      <c r="AO251" s="28">
        <f t="shared" si="405"/>
        <v>0</v>
      </c>
      <c r="AP251" s="28">
        <f t="shared" si="405"/>
        <v>0</v>
      </c>
      <c r="AQ251" s="28">
        <f t="shared" si="405"/>
        <v>0</v>
      </c>
      <c r="AR251" s="28">
        <f t="shared" si="405"/>
        <v>0</v>
      </c>
      <c r="AS251" s="28">
        <f t="shared" si="405"/>
        <v>0</v>
      </c>
      <c r="AT251" s="28">
        <f t="shared" si="405"/>
        <v>0</v>
      </c>
      <c r="AU251" s="28">
        <f t="shared" si="405"/>
        <v>0</v>
      </c>
      <c r="AV251" s="28">
        <f t="shared" si="406"/>
        <v>0</v>
      </c>
      <c r="AW251" s="28">
        <f t="shared" si="406"/>
        <v>0</v>
      </c>
      <c r="AX251" s="28">
        <f t="shared" si="406"/>
        <v>0</v>
      </c>
      <c r="AY251" s="28">
        <f t="shared" si="406"/>
        <v>0</v>
      </c>
      <c r="AZ251" s="28">
        <f t="shared" si="406"/>
        <v>0</v>
      </c>
      <c r="BA251" s="28">
        <f t="shared" si="406"/>
        <v>0</v>
      </c>
      <c r="BB251" s="28">
        <f t="shared" si="406"/>
        <v>0</v>
      </c>
      <c r="BC251" s="28">
        <f t="shared" si="406"/>
        <v>0</v>
      </c>
      <c r="BD251" s="28">
        <f t="shared" si="406"/>
        <v>1</v>
      </c>
      <c r="BE251" s="28">
        <f t="shared" si="406"/>
        <v>0</v>
      </c>
      <c r="BF251" s="27">
        <f t="shared" si="407"/>
        <v>1</v>
      </c>
      <c r="BG251" s="520">
        <f t="shared" si="393"/>
        <v>1.0030444840366091</v>
      </c>
      <c r="BH251" s="520">
        <f t="shared" si="372"/>
        <v>1.0058179046998681</v>
      </c>
      <c r="BI251" s="520">
        <f t="shared" si="373"/>
        <v>1.0088194946014175</v>
      </c>
      <c r="BJ251" s="520">
        <f t="shared" si="374"/>
        <v>1.0122866825201464</v>
      </c>
      <c r="BK251" s="520">
        <f t="shared" si="375"/>
        <v>1.0173379563051834</v>
      </c>
      <c r="BL251" s="520">
        <f t="shared" si="376"/>
        <v>1.023019742566414</v>
      </c>
      <c r="BM251" s="520">
        <f t="shared" si="377"/>
        <v>1.026823544212498</v>
      </c>
      <c r="BN251" s="521" t="str">
        <f t="shared" si="378"/>
        <v>Category</v>
      </c>
      <c r="BP251" s="3"/>
    </row>
    <row r="252" spans="1:68" hidden="1" x14ac:dyDescent="0.15">
      <c r="A252" s="12" t="s">
        <v>508</v>
      </c>
      <c r="B252" s="13" t="s">
        <v>2387</v>
      </c>
      <c r="C252" s="13" t="s">
        <v>27</v>
      </c>
      <c r="D252" s="13" t="s">
        <v>54</v>
      </c>
      <c r="E252" s="13" t="s">
        <v>112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5">
        <v>0</v>
      </c>
      <c r="N252" s="670"/>
      <c r="O252" s="14"/>
      <c r="P252" s="15"/>
      <c r="Q252" s="15" t="str">
        <f>IF(ISTEXT('Incurred 2.5% cpi'!Q252),"",'Incurred 2.5% cpi'!Q252/'Incurred 2.5% cpi'!Q$17*Incurred!Q$17)</f>
        <v/>
      </c>
      <c r="R252" s="110" t="str">
        <f>IF(ISTEXT('Incurred 2.5% cpi'!R252),"",'Incurred 2.5% cpi'!R252/'Incurred 2.5% cpi'!R$17*Incurred!R$17*BG252)</f>
        <v/>
      </c>
      <c r="S252" s="102" t="str">
        <f>IF(ISTEXT('Incurred 2.5% cpi'!S252),"",'Incurred 2.5% cpi'!S252/'Incurred 2.5% cpi'!S$17*Incurred!S$17*BH252)</f>
        <v/>
      </c>
      <c r="T252" s="16">
        <f>IF(ISTEXT('Incurred 2.5% cpi'!T252),"",'Incurred 2.5% cpi'!T252/'Incurred 2.5% cpi'!T$17*Incurred!T$17*BI252)</f>
        <v>153960.05718280081</v>
      </c>
      <c r="U252" s="16">
        <f>IF(ISTEXT('Incurred 2.5% cpi'!U252),"",'Incurred 2.5% cpi'!U252/'Incurred 2.5% cpi'!U$17*Incurred!U$17*BJ252)</f>
        <v>1586485.6565505536</v>
      </c>
      <c r="V252" s="16">
        <f>IF(ISTEXT('Incurred 2.5% cpi'!V252),"",'Incurred 2.5% cpi'!V252/'Incurred 2.5% cpi'!V$17*Incurred!V$17*BK252)</f>
        <v>4637.131279596807</v>
      </c>
      <c r="W252" s="110" t="str">
        <f>IF(ISTEXT('Incurred 2.5% cpi'!W252),"",'Incurred 2.5% cpi'!W252/'Incurred 2.5% cpi'!W$17*Incurred!W$17*BL252)</f>
        <v/>
      </c>
      <c r="X252" s="102" t="str">
        <f>IF(ISTEXT('Incurred 2.5% cpi'!X252),"",'Incurred 2.5% cpi'!X252/'Incurred 2.5% cpi'!X$17*Incurred!X$17*BM252)</f>
        <v/>
      </c>
      <c r="Y252" s="80">
        <f t="shared" si="353"/>
        <v>1745082.8450129512</v>
      </c>
      <c r="Z252" s="80">
        <f t="shared" ref="Z252:Z265" si="408">-SUMIFS(F252:W252,F252:W252,"&lt;0")+SUMIFS(F252:W252,F252:W252,"&gt;0")</f>
        <v>1745082.8450129512</v>
      </c>
      <c r="AA252" s="566">
        <f t="shared" si="403"/>
        <v>1837352.6946796339</v>
      </c>
      <c r="AB252" s="566">
        <f t="shared" si="370"/>
        <v>1748818.7456796041</v>
      </c>
      <c r="AC252" s="567">
        <f t="shared" si="387"/>
        <v>1.0506249999999999</v>
      </c>
      <c r="AD252" s="568" t="str">
        <f t="shared" si="384"/>
        <v>2022</v>
      </c>
      <c r="AE252" s="569">
        <v>44256</v>
      </c>
      <c r="AF252" s="568">
        <v>2021</v>
      </c>
      <c r="AG252" s="569"/>
      <c r="AH252" s="566">
        <f t="shared" si="404"/>
        <v>1623952.0570434944</v>
      </c>
      <c r="AI252" s="80">
        <f t="shared" si="371"/>
        <v>4637.131279596807</v>
      </c>
      <c r="AJ252" s="571" t="s">
        <v>3035</v>
      </c>
      <c r="AK252" s="875">
        <f t="shared" ref="AK252:AK261" si="409">IF(ISNA(VLOOKUP(LEFT($A252,8),Estimates,72,FALSE)),0,VLOOKUP(LEFT($A252,8),Estimates,72,FALSE))</f>
        <v>868848.25439436187</v>
      </c>
      <c r="AL252" s="28">
        <f t="shared" si="405"/>
        <v>0</v>
      </c>
      <c r="AM252" s="28">
        <f t="shared" si="405"/>
        <v>0</v>
      </c>
      <c r="AN252" s="28">
        <f t="shared" si="405"/>
        <v>0</v>
      </c>
      <c r="AO252" s="28">
        <f t="shared" si="405"/>
        <v>0</v>
      </c>
      <c r="AP252" s="28">
        <f t="shared" si="405"/>
        <v>0</v>
      </c>
      <c r="AQ252" s="28">
        <f t="shared" si="405"/>
        <v>0</v>
      </c>
      <c r="AR252" s="28">
        <f t="shared" si="405"/>
        <v>0</v>
      </c>
      <c r="AS252" s="28">
        <f t="shared" si="405"/>
        <v>0</v>
      </c>
      <c r="AT252" s="28">
        <f t="shared" si="405"/>
        <v>0</v>
      </c>
      <c r="AU252" s="28">
        <f t="shared" si="405"/>
        <v>0.50097729632133636</v>
      </c>
      <c r="AV252" s="28">
        <f t="shared" si="406"/>
        <v>0</v>
      </c>
      <c r="AW252" s="28">
        <f t="shared" si="406"/>
        <v>8.2609362025849176E-2</v>
      </c>
      <c r="AX252" s="28">
        <f t="shared" si="406"/>
        <v>0</v>
      </c>
      <c r="AY252" s="28">
        <f t="shared" si="406"/>
        <v>0</v>
      </c>
      <c r="AZ252" s="28">
        <f t="shared" si="406"/>
        <v>0.35886589335316527</v>
      </c>
      <c r="BA252" s="28">
        <f t="shared" si="406"/>
        <v>5.754744829964923E-2</v>
      </c>
      <c r="BB252" s="28">
        <f t="shared" si="406"/>
        <v>0</v>
      </c>
      <c r="BC252" s="28">
        <f t="shared" si="406"/>
        <v>0</v>
      </c>
      <c r="BD252" s="28">
        <f t="shared" si="406"/>
        <v>0</v>
      </c>
      <c r="BE252" s="28">
        <f t="shared" si="406"/>
        <v>0</v>
      </c>
      <c r="BF252" s="27">
        <f t="shared" si="407"/>
        <v>1</v>
      </c>
      <c r="BG252" s="520">
        <f t="shared" si="393"/>
        <v>1.0034881814829846</v>
      </c>
      <c r="BH252" s="520">
        <f t="shared" si="372"/>
        <v>1.0066657953202647</v>
      </c>
      <c r="BI252" s="520">
        <f t="shared" si="373"/>
        <v>1.0101048313566499</v>
      </c>
      <c r="BJ252" s="520">
        <f t="shared" si="374"/>
        <v>1.0140773208000853</v>
      </c>
      <c r="BK252" s="520">
        <f t="shared" si="375"/>
        <v>1.0198647578405093</v>
      </c>
      <c r="BL252" s="520">
        <f t="shared" si="376"/>
        <v>1.0263745970738185</v>
      </c>
      <c r="BM252" s="520">
        <f t="shared" si="377"/>
        <v>1.0307327577037537</v>
      </c>
      <c r="BN252" s="521" t="str">
        <f t="shared" si="378"/>
        <v>Project</v>
      </c>
      <c r="BP252" s="3"/>
    </row>
    <row r="253" spans="1:68" hidden="1" x14ac:dyDescent="0.15">
      <c r="A253" s="12" t="s">
        <v>510</v>
      </c>
      <c r="B253" s="13" t="s">
        <v>511</v>
      </c>
      <c r="C253" s="13" t="s">
        <v>27</v>
      </c>
      <c r="D253" s="13" t="s">
        <v>40</v>
      </c>
      <c r="E253" s="13" t="s">
        <v>112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5">
        <v>0</v>
      </c>
      <c r="N253" s="670"/>
      <c r="O253" s="14"/>
      <c r="P253" s="15"/>
      <c r="Q253" s="15" t="str">
        <f>IF(ISTEXT('Incurred 2.5% cpi'!Q253),"",'Incurred 2.5% cpi'!Q253/'Incurred 2.5% cpi'!Q$17*Incurred!Q$17)</f>
        <v/>
      </c>
      <c r="R253" s="110" t="str">
        <f>IF(ISTEXT('Incurred 2.5% cpi'!R253),"",'Incurred 2.5% cpi'!R253/'Incurred 2.5% cpi'!R$17*Incurred!R$17*BG253)</f>
        <v/>
      </c>
      <c r="S253" s="102">
        <f>IF(ISTEXT('Incurred 2.5% cpi'!S253),"",'Incurred 2.5% cpi'!S253/'Incurred 2.5% cpi'!S$17*Incurred!S$17*BH253)</f>
        <v>33235.31617451604</v>
      </c>
      <c r="T253" s="16">
        <f>IF(ISTEXT('Incurred 2.5% cpi'!T253),"",'Incurred 2.5% cpi'!T253/'Incurred 2.5% cpi'!T$17*Incurred!T$17*BI253)</f>
        <v>81864.325914214394</v>
      </c>
      <c r="U253" s="16">
        <f>IF(ISTEXT('Incurred 2.5% cpi'!U253),"",'Incurred 2.5% cpi'!U253/'Incurred 2.5% cpi'!U$17*Incurred!U$17*BJ253)</f>
        <v>554247.90684592631</v>
      </c>
      <c r="V253" s="16">
        <f>IF(ISTEXT('Incurred 2.5% cpi'!V253),"",'Incurred 2.5% cpi'!V253/'Incurred 2.5% cpi'!V$17*Incurred!V$17*BK253)</f>
        <v>522181.45023555664</v>
      </c>
      <c r="W253" s="110" t="str">
        <f>IF(ISTEXT('Incurred 2.5% cpi'!W253),"",'Incurred 2.5% cpi'!W253/'Incurred 2.5% cpi'!W$17*Incurred!W$17*BL253)</f>
        <v/>
      </c>
      <c r="X253" s="102" t="str">
        <f>IF(ISTEXT('Incurred 2.5% cpi'!X253),"",'Incurred 2.5% cpi'!X253/'Incurred 2.5% cpi'!X$17*Incurred!X$17*BM253)</f>
        <v/>
      </c>
      <c r="Y253" s="80">
        <f t="shared" si="353"/>
        <v>1191528.9991702135</v>
      </c>
      <c r="Z253" s="80">
        <f t="shared" si="408"/>
        <v>1191528.9991702135</v>
      </c>
      <c r="AA253" s="566">
        <f t="shared" si="403"/>
        <v>1242387.1891378372</v>
      </c>
      <c r="AB253" s="566">
        <f t="shared" si="370"/>
        <v>1212085.0625734997</v>
      </c>
      <c r="AC253" s="567">
        <f t="shared" si="387"/>
        <v>1.0249999999999999</v>
      </c>
      <c r="AD253" s="568" t="str">
        <f t="shared" si="384"/>
        <v>2022</v>
      </c>
      <c r="AE253" s="569">
        <v>44652</v>
      </c>
      <c r="AF253" s="568">
        <v>2022</v>
      </c>
      <c r="AG253" s="569"/>
      <c r="AH253" s="566">
        <f t="shared" si="404"/>
        <v>1098089.2439906134</v>
      </c>
      <c r="AI253" s="80">
        <f t="shared" si="371"/>
        <v>522181.45023555664</v>
      </c>
      <c r="AJ253" s="571" t="s">
        <v>3035</v>
      </c>
      <c r="AK253" s="875">
        <f t="shared" si="409"/>
        <v>542544.99999999907</v>
      </c>
      <c r="AL253" s="28">
        <f t="shared" ref="AL253:AU256" si="410">IF($AK253=0,VLOOKUP(MID($A253,4,5),ProjectSplits,AL$23,FALSE),IF(ISNA(VLOOKUP($A253,Estimates,AL$22,FALSE)),VLOOKUP(MID($A253,4,5),ProjectSplits,AL$23,FALSE),VLOOKUP($A253,Estimates,AL$22,FALSE)))</f>
        <v>0</v>
      </c>
      <c r="AM253" s="28">
        <f t="shared" si="410"/>
        <v>0</v>
      </c>
      <c r="AN253" s="28">
        <f t="shared" si="410"/>
        <v>0</v>
      </c>
      <c r="AO253" s="28">
        <f t="shared" si="410"/>
        <v>0</v>
      </c>
      <c r="AP253" s="28">
        <f t="shared" si="410"/>
        <v>0</v>
      </c>
      <c r="AQ253" s="28">
        <f t="shared" si="410"/>
        <v>0</v>
      </c>
      <c r="AR253" s="28">
        <f t="shared" si="410"/>
        <v>0</v>
      </c>
      <c r="AS253" s="28">
        <f t="shared" si="410"/>
        <v>0</v>
      </c>
      <c r="AT253" s="28">
        <f t="shared" si="410"/>
        <v>0</v>
      </c>
      <c r="AU253" s="28">
        <f t="shared" si="410"/>
        <v>0.15924946317816957</v>
      </c>
      <c r="AV253" s="28">
        <f t="shared" ref="AV253:BE256" si="411">IF($AK253=0,VLOOKUP(MID($A253,4,5),ProjectSplits,AV$23,FALSE),IF(ISNA(VLOOKUP($A253,Estimates,AV$22,FALSE)),VLOOKUP(MID($A253,4,5),ProjectSplits,AV$23,FALSE),VLOOKUP($A253,Estimates,AV$22,FALSE)))</f>
        <v>0</v>
      </c>
      <c r="AW253" s="28">
        <f t="shared" si="411"/>
        <v>0</v>
      </c>
      <c r="AX253" s="28">
        <f t="shared" si="411"/>
        <v>0</v>
      </c>
      <c r="AY253" s="28">
        <f t="shared" si="411"/>
        <v>0</v>
      </c>
      <c r="AZ253" s="28">
        <f t="shared" si="411"/>
        <v>0.84075053682183043</v>
      </c>
      <c r="BA253" s="28">
        <f t="shared" si="411"/>
        <v>0</v>
      </c>
      <c r="BB253" s="28">
        <f t="shared" si="411"/>
        <v>0</v>
      </c>
      <c r="BC253" s="28">
        <f t="shared" si="411"/>
        <v>0</v>
      </c>
      <c r="BD253" s="28">
        <f t="shared" si="411"/>
        <v>0</v>
      </c>
      <c r="BE253" s="28">
        <f t="shared" si="411"/>
        <v>0</v>
      </c>
      <c r="BF253" s="27">
        <f t="shared" ref="BF253:BF256" si="412">SUM(AL253:BD253)</f>
        <v>1</v>
      </c>
      <c r="BG253" s="520">
        <f t="shared" si="393"/>
        <v>1.0045152319599013</v>
      </c>
      <c r="BH253" s="520">
        <f t="shared" si="372"/>
        <v>1.0086284535982533</v>
      </c>
      <c r="BI253" s="520">
        <f t="shared" si="373"/>
        <v>1.0130800698626263</v>
      </c>
      <c r="BJ253" s="520">
        <f t="shared" si="374"/>
        <v>1.0182222080750061</v>
      </c>
      <c r="BK253" s="520">
        <f t="shared" si="375"/>
        <v>1.0257136820187529</v>
      </c>
      <c r="BL253" s="520">
        <f t="shared" si="376"/>
        <v>1.0341402602525513</v>
      </c>
      <c r="BM253" s="520">
        <f t="shared" si="377"/>
        <v>1.0397816256054315</v>
      </c>
      <c r="BN253" s="521" t="str">
        <f t="shared" si="378"/>
        <v>Project</v>
      </c>
      <c r="BP253" s="3"/>
    </row>
    <row r="254" spans="1:68" hidden="1" x14ac:dyDescent="0.15">
      <c r="A254" s="12" t="s">
        <v>512</v>
      </c>
      <c r="B254" s="13" t="s">
        <v>513</v>
      </c>
      <c r="C254" s="13" t="s">
        <v>27</v>
      </c>
      <c r="D254" s="13" t="s">
        <v>40</v>
      </c>
      <c r="E254" s="13" t="s">
        <v>112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5">
        <v>0</v>
      </c>
      <c r="N254" s="670"/>
      <c r="O254" s="14"/>
      <c r="P254" s="15"/>
      <c r="Q254" s="15" t="str">
        <f>IF(ISTEXT('Incurred 2.5% cpi'!Q254),"",'Incurred 2.5% cpi'!Q254/'Incurred 2.5% cpi'!Q$17*Incurred!Q$17)</f>
        <v/>
      </c>
      <c r="R254" s="110">
        <f>IF(ISTEXT('Incurred 2.5% cpi'!R254),"",'Incurred 2.5% cpi'!R254/'Incurred 2.5% cpi'!R$17*Incurred!R$17*BG254)</f>
        <v>72888.769424387545</v>
      </c>
      <c r="S254" s="102">
        <f>IF(ISTEXT('Incurred 2.5% cpi'!S254),"",'Incurred 2.5% cpi'!S254/'Incurred 2.5% cpi'!S$17*Incurred!S$17*BH254)</f>
        <v>517113.22695532802</v>
      </c>
      <c r="T254" s="16">
        <f>IF(ISTEXT('Incurred 2.5% cpi'!T254),"",'Incurred 2.5% cpi'!T254/'Incurred 2.5% cpi'!T$17*Incurred!T$17*BI254)</f>
        <v>4598619.9409187026</v>
      </c>
      <c r="U254" s="16">
        <f>IF(ISTEXT('Incurred 2.5% cpi'!U254),"",'Incurred 2.5% cpi'!U254/'Incurred 2.5% cpi'!U$17*Incurred!U$17*BJ254)</f>
        <v>4757621.2073864108</v>
      </c>
      <c r="V254" s="16">
        <f>IF(ISTEXT('Incurred 2.5% cpi'!V254),"",'Incurred 2.5% cpi'!V254/'Incurred 2.5% cpi'!V$17*Incurred!V$17*BK254)</f>
        <v>316923.62446382589</v>
      </c>
      <c r="W254" s="110" t="str">
        <f>IF(ISTEXT('Incurred 2.5% cpi'!W254),"",'Incurred 2.5% cpi'!W254/'Incurred 2.5% cpi'!W$17*Incurred!W$17*BL254)</f>
        <v/>
      </c>
      <c r="X254" s="102" t="str">
        <f>IF(ISTEXT('Incurred 2.5% cpi'!X254),"",'Incurred 2.5% cpi'!X254/'Incurred 2.5% cpi'!X$17*Incurred!X$17*BM254)</f>
        <v/>
      </c>
      <c r="Y254" s="80">
        <f t="shared" si="353"/>
        <v>10263166.769148655</v>
      </c>
      <c r="Z254" s="80">
        <f t="shared" si="408"/>
        <v>10263166.769148655</v>
      </c>
      <c r="AA254" s="566">
        <f t="shared" si="403"/>
        <v>10928796.3965794</v>
      </c>
      <c r="AB254" s="566">
        <f t="shared" si="370"/>
        <v>10402185.743323641</v>
      </c>
      <c r="AC254" s="567">
        <f t="shared" si="387"/>
        <v>1.0506249999999999</v>
      </c>
      <c r="AD254" s="568" t="str">
        <f t="shared" si="384"/>
        <v>2022</v>
      </c>
      <c r="AE254" s="569">
        <v>44343</v>
      </c>
      <c r="AF254" s="568">
        <v>2021</v>
      </c>
      <c r="AG254" s="569"/>
      <c r="AH254" s="566">
        <f t="shared" si="404"/>
        <v>9659463.5535281412</v>
      </c>
      <c r="AI254" s="80">
        <f t="shared" si="371"/>
        <v>316923.62446382589</v>
      </c>
      <c r="AJ254" s="571" t="s">
        <v>3035</v>
      </c>
      <c r="AK254" s="875">
        <f t="shared" si="409"/>
        <v>5026557.317995986</v>
      </c>
      <c r="AL254" s="28">
        <f t="shared" si="410"/>
        <v>0</v>
      </c>
      <c r="AM254" s="28">
        <f t="shared" si="410"/>
        <v>0</v>
      </c>
      <c r="AN254" s="28">
        <f t="shared" si="410"/>
        <v>0</v>
      </c>
      <c r="AO254" s="28">
        <f t="shared" si="410"/>
        <v>0</v>
      </c>
      <c r="AP254" s="28">
        <f t="shared" si="410"/>
        <v>0</v>
      </c>
      <c r="AQ254" s="28">
        <f t="shared" si="410"/>
        <v>0</v>
      </c>
      <c r="AR254" s="28">
        <f t="shared" si="410"/>
        <v>0</v>
      </c>
      <c r="AS254" s="28">
        <f t="shared" si="410"/>
        <v>0</v>
      </c>
      <c r="AT254" s="28">
        <f t="shared" si="410"/>
        <v>0</v>
      </c>
      <c r="AU254" s="28">
        <f t="shared" si="410"/>
        <v>0.25864201435552758</v>
      </c>
      <c r="AV254" s="28">
        <f t="shared" si="411"/>
        <v>2.1247146556947979E-2</v>
      </c>
      <c r="AW254" s="28">
        <f t="shared" si="411"/>
        <v>0.68708624800095996</v>
      </c>
      <c r="AX254" s="28">
        <f t="shared" si="411"/>
        <v>0</v>
      </c>
      <c r="AY254" s="28">
        <f t="shared" si="411"/>
        <v>0</v>
      </c>
      <c r="AZ254" s="28">
        <f t="shared" si="411"/>
        <v>3.3024591086564484E-2</v>
      </c>
      <c r="BA254" s="28">
        <f t="shared" si="411"/>
        <v>0</v>
      </c>
      <c r="BB254" s="28">
        <f t="shared" si="411"/>
        <v>0</v>
      </c>
      <c r="BC254" s="28">
        <f t="shared" si="411"/>
        <v>0</v>
      </c>
      <c r="BD254" s="28">
        <f t="shared" si="411"/>
        <v>0</v>
      </c>
      <c r="BE254" s="28">
        <f t="shared" si="411"/>
        <v>0</v>
      </c>
      <c r="BF254" s="27">
        <f t="shared" si="412"/>
        <v>1</v>
      </c>
      <c r="BG254" s="520">
        <f t="shared" si="393"/>
        <v>1.003202614624785</v>
      </c>
      <c r="BH254" s="520">
        <f t="shared" si="372"/>
        <v>1.0061200868368343</v>
      </c>
      <c r="BI254" s="520">
        <f t="shared" si="373"/>
        <v>1.0092775794039544</v>
      </c>
      <c r="BJ254" s="520">
        <f t="shared" si="374"/>
        <v>1.0129248531626194</v>
      </c>
      <c r="BK254" s="520">
        <f t="shared" si="375"/>
        <v>1.0182384902529193</v>
      </c>
      <c r="BL254" s="520">
        <f t="shared" si="376"/>
        <v>1.0242153886555097</v>
      </c>
      <c r="BM254" s="520">
        <f t="shared" si="377"/>
        <v>1.0282167598681824</v>
      </c>
      <c r="BN254" s="521" t="str">
        <f t="shared" si="378"/>
        <v>Project</v>
      </c>
      <c r="BP254" s="3"/>
    </row>
    <row r="255" spans="1:68" hidden="1" x14ac:dyDescent="0.15">
      <c r="A255" s="12" t="s">
        <v>514</v>
      </c>
      <c r="B255" s="13" t="s">
        <v>515</v>
      </c>
      <c r="C255" s="13" t="s">
        <v>27</v>
      </c>
      <c r="D255" s="13" t="s">
        <v>40</v>
      </c>
      <c r="E255" s="13" t="s">
        <v>112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5">
        <v>0</v>
      </c>
      <c r="N255" s="670"/>
      <c r="O255" s="14"/>
      <c r="P255" s="15"/>
      <c r="Q255" s="15" t="str">
        <f>IF(ISTEXT('Incurred 2.5% cpi'!Q255),"",'Incurred 2.5% cpi'!Q255/'Incurred 2.5% cpi'!Q$17*Incurred!Q$17)</f>
        <v/>
      </c>
      <c r="R255" s="110">
        <f>IF(ISTEXT('Incurred 2.5% cpi'!R255),"",'Incurred 2.5% cpi'!R255/'Incurred 2.5% cpi'!R$17*Incurred!R$17*BG255)</f>
        <v>1363691.1189843337</v>
      </c>
      <c r="S255" s="102">
        <f>IF(ISTEXT('Incurred 2.5% cpi'!S255),"",'Incurred 2.5% cpi'!S255/'Incurred 2.5% cpi'!S$17*Incurred!S$17*BH255)</f>
        <v>254601.18114029116</v>
      </c>
      <c r="T255" s="16">
        <f>IF(ISTEXT('Incurred 2.5% cpi'!T255),"",'Incurred 2.5% cpi'!T255/'Incurred 2.5% cpi'!T$17*Incurred!T$17*BI255)</f>
        <v>3715242.945789488</v>
      </c>
      <c r="U255" s="16">
        <f>IF(ISTEXT('Incurred 2.5% cpi'!U255),"",'Incurred 2.5% cpi'!U255/'Incurred 2.5% cpi'!U$17*Incurred!U$17*BJ255)</f>
        <v>3348318.6866991366</v>
      </c>
      <c r="V255" s="16" t="str">
        <f>IF(ISTEXT('Incurred 2.5% cpi'!V255),"",'Incurred 2.5% cpi'!V255/'Incurred 2.5% cpi'!V$17*Incurred!V$17*BK255)</f>
        <v/>
      </c>
      <c r="W255" s="110" t="str">
        <f>IF(ISTEXT('Incurred 2.5% cpi'!W255),"",'Incurred 2.5% cpi'!W255/'Incurred 2.5% cpi'!W$17*Incurred!W$17*BL255)</f>
        <v/>
      </c>
      <c r="X255" s="102" t="str">
        <f>IF(ISTEXT('Incurred 2.5% cpi'!X255),"",'Incurred 2.5% cpi'!X255/'Incurred 2.5% cpi'!X$17*Incurred!X$17*BM255)</f>
        <v/>
      </c>
      <c r="Y255" s="80">
        <f t="shared" si="353"/>
        <v>8681853.9326132499</v>
      </c>
      <c r="Z255" s="80">
        <f t="shared" si="408"/>
        <v>8681853.9326132499</v>
      </c>
      <c r="AA255" s="566">
        <f t="shared" si="403"/>
        <v>9342661.015707247</v>
      </c>
      <c r="AB255" s="566">
        <f t="shared" si="370"/>
        <v>8892479.2534988672</v>
      </c>
      <c r="AC255" s="567">
        <f t="shared" si="387"/>
        <v>1.0506249999999999</v>
      </c>
      <c r="AD255" s="568" t="str">
        <f t="shared" si="384"/>
        <v>2021</v>
      </c>
      <c r="AE255" s="569">
        <v>44293</v>
      </c>
      <c r="AF255" s="568">
        <v>2021</v>
      </c>
      <c r="AG255" s="569"/>
      <c r="AH255" s="566">
        <f t="shared" si="404"/>
        <v>8257550.9964151364</v>
      </c>
      <c r="AI255" s="80">
        <f t="shared" si="371"/>
        <v>3348318.6866991366</v>
      </c>
      <c r="AJ255" s="571" t="s">
        <v>3035</v>
      </c>
      <c r="AK255" s="875">
        <f t="shared" si="409"/>
        <v>3844158.4000000013</v>
      </c>
      <c r="AL255" s="28">
        <f t="shared" si="410"/>
        <v>0</v>
      </c>
      <c r="AM255" s="28">
        <f t="shared" si="410"/>
        <v>0</v>
      </c>
      <c r="AN255" s="28">
        <f t="shared" si="410"/>
        <v>0</v>
      </c>
      <c r="AO255" s="28">
        <f t="shared" si="410"/>
        <v>0</v>
      </c>
      <c r="AP255" s="28">
        <f t="shared" si="410"/>
        <v>0</v>
      </c>
      <c r="AQ255" s="28">
        <f t="shared" si="410"/>
        <v>0</v>
      </c>
      <c r="AR255" s="28">
        <f t="shared" si="410"/>
        <v>0</v>
      </c>
      <c r="AS255" s="28">
        <f t="shared" si="410"/>
        <v>0</v>
      </c>
      <c r="AT255" s="28">
        <f t="shared" si="410"/>
        <v>0</v>
      </c>
      <c r="AU255" s="28">
        <f t="shared" si="410"/>
        <v>0.96626699877923861</v>
      </c>
      <c r="AV255" s="28">
        <f t="shared" si="411"/>
        <v>0</v>
      </c>
      <c r="AW255" s="28">
        <f t="shared" si="411"/>
        <v>3.3733001220761359E-2</v>
      </c>
      <c r="AX255" s="28">
        <f t="shared" si="411"/>
        <v>0</v>
      </c>
      <c r="AY255" s="28">
        <f t="shared" si="411"/>
        <v>0</v>
      </c>
      <c r="AZ255" s="28">
        <f t="shared" si="411"/>
        <v>0</v>
      </c>
      <c r="BA255" s="28">
        <f t="shared" si="411"/>
        <v>0</v>
      </c>
      <c r="BB255" s="28">
        <f t="shared" si="411"/>
        <v>0</v>
      </c>
      <c r="BC255" s="28">
        <f t="shared" si="411"/>
        <v>0</v>
      </c>
      <c r="BD255" s="28">
        <f t="shared" si="411"/>
        <v>0</v>
      </c>
      <c r="BE255" s="28">
        <f t="shared" si="411"/>
        <v>0</v>
      </c>
      <c r="BF255" s="27">
        <f t="shared" si="412"/>
        <v>1</v>
      </c>
      <c r="BG255" s="520">
        <f t="shared" si="393"/>
        <v>1.0025090869853523</v>
      </c>
      <c r="BH255" s="520">
        <f t="shared" si="372"/>
        <v>1.0047947792758729</v>
      </c>
      <c r="BI255" s="520">
        <f t="shared" si="373"/>
        <v>1.0072685154054704</v>
      </c>
      <c r="BJ255" s="520">
        <f t="shared" si="374"/>
        <v>1.0101259703889895</v>
      </c>
      <c r="BK255" s="520">
        <f t="shared" si="375"/>
        <v>1.0142889369741597</v>
      </c>
      <c r="BL255" s="520">
        <f t="shared" si="376"/>
        <v>1.0189715353357152</v>
      </c>
      <c r="BM255" s="520">
        <f t="shared" si="377"/>
        <v>1.0221064078100937</v>
      </c>
      <c r="BN255" s="521" t="str">
        <f t="shared" si="378"/>
        <v>Project</v>
      </c>
      <c r="BP255" s="3"/>
    </row>
    <row r="256" spans="1:68" hidden="1" x14ac:dyDescent="0.15">
      <c r="A256" s="12" t="s">
        <v>518</v>
      </c>
      <c r="B256" s="13" t="s">
        <v>2388</v>
      </c>
      <c r="C256" s="13" t="s">
        <v>27</v>
      </c>
      <c r="D256" s="13" t="s">
        <v>40</v>
      </c>
      <c r="E256" s="13" t="s">
        <v>112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5">
        <v>0</v>
      </c>
      <c r="N256" s="670"/>
      <c r="O256" s="14"/>
      <c r="P256" s="15"/>
      <c r="Q256" s="15" t="str">
        <f>IF(ISTEXT('Incurred 2.5% cpi'!Q256),"",'Incurred 2.5% cpi'!Q256/'Incurred 2.5% cpi'!Q$17*Incurred!Q$17)</f>
        <v/>
      </c>
      <c r="R256" s="110" t="str">
        <f>IF(ISTEXT('Incurred 2.5% cpi'!R256),"",'Incurred 2.5% cpi'!R256/'Incurred 2.5% cpi'!R$17*Incurred!R$17*BG256)</f>
        <v/>
      </c>
      <c r="S256" s="102">
        <f>IF(ISTEXT('Incurred 2.5% cpi'!S256),"",'Incurred 2.5% cpi'!S256/'Incurred 2.5% cpi'!S$17*Incurred!S$17*BH256)</f>
        <v>1285492.8304980362</v>
      </c>
      <c r="T256" s="16">
        <f>IF(ISTEXT('Incurred 2.5% cpi'!T256),"",'Incurred 2.5% cpi'!T256/'Incurred 2.5% cpi'!T$17*Incurred!T$17*BI256)</f>
        <v>1693306.4878088445</v>
      </c>
      <c r="U256" s="16" t="str">
        <f>IF(ISTEXT('Incurred 2.5% cpi'!U256),"",'Incurred 2.5% cpi'!U256/'Incurred 2.5% cpi'!U$17*Incurred!U$17*BJ256)</f>
        <v/>
      </c>
      <c r="V256" s="16" t="str">
        <f>IF(ISTEXT('Incurred 2.5% cpi'!V256),"",'Incurred 2.5% cpi'!V256/'Incurred 2.5% cpi'!V$17*Incurred!V$17*BK256)</f>
        <v/>
      </c>
      <c r="W256" s="110" t="str">
        <f>IF(ISTEXT('Incurred 2.5% cpi'!W256),"",'Incurred 2.5% cpi'!W256/'Incurred 2.5% cpi'!W$17*Incurred!W$17*BL256)</f>
        <v/>
      </c>
      <c r="X256" s="102" t="str">
        <f>IF(ISTEXT('Incurred 2.5% cpi'!X256),"",'Incurred 2.5% cpi'!X256/'Incurred 2.5% cpi'!X$17*Incurred!X$17*BM256)</f>
        <v/>
      </c>
      <c r="Y256" s="80">
        <f t="shared" si="353"/>
        <v>2978799.318306881</v>
      </c>
      <c r="Z256" s="80">
        <f t="shared" si="408"/>
        <v>2978799.318306881</v>
      </c>
      <c r="AA256" s="566">
        <f t="shared" si="403"/>
        <v>3242449.4390827715</v>
      </c>
      <c r="AB256" s="566">
        <f t="shared" si="370"/>
        <v>3010936.6390693318</v>
      </c>
      <c r="AC256" s="567">
        <f t="shared" si="387"/>
        <v>1.0768906249999999</v>
      </c>
      <c r="AD256" s="568" t="str">
        <f t="shared" si="384"/>
        <v>2020</v>
      </c>
      <c r="AE256" s="569">
        <v>43818</v>
      </c>
      <c r="AF256" s="568">
        <v>2020</v>
      </c>
      <c r="AG256" s="569"/>
      <c r="AH256" s="566">
        <f t="shared" si="404"/>
        <v>2865852.8390903813</v>
      </c>
      <c r="AI256" s="80">
        <f t="shared" si="371"/>
        <v>1693306.4878088445</v>
      </c>
      <c r="AJ256" s="571" t="s">
        <v>3035</v>
      </c>
      <c r="AK256" s="875">
        <f t="shared" si="409"/>
        <v>1565826.1946773399</v>
      </c>
      <c r="AL256" s="28">
        <f t="shared" si="410"/>
        <v>0</v>
      </c>
      <c r="AM256" s="28">
        <f t="shared" si="410"/>
        <v>0</v>
      </c>
      <c r="AN256" s="28">
        <f t="shared" si="410"/>
        <v>0</v>
      </c>
      <c r="AO256" s="28">
        <f t="shared" si="410"/>
        <v>0</v>
      </c>
      <c r="AP256" s="28">
        <f t="shared" si="410"/>
        <v>0</v>
      </c>
      <c r="AQ256" s="28">
        <f t="shared" si="410"/>
        <v>0</v>
      </c>
      <c r="AR256" s="28">
        <f t="shared" si="410"/>
        <v>0</v>
      </c>
      <c r="AS256" s="28">
        <f t="shared" si="410"/>
        <v>0</v>
      </c>
      <c r="AT256" s="28">
        <f t="shared" si="410"/>
        <v>0</v>
      </c>
      <c r="AU256" s="28">
        <f t="shared" si="410"/>
        <v>0.69836818000366996</v>
      </c>
      <c r="AV256" s="28">
        <f t="shared" si="411"/>
        <v>0</v>
      </c>
      <c r="AW256" s="28">
        <f t="shared" si="411"/>
        <v>0.12108815175037685</v>
      </c>
      <c r="AX256" s="28">
        <f t="shared" si="411"/>
        <v>0</v>
      </c>
      <c r="AY256" s="28">
        <f t="shared" si="411"/>
        <v>0</v>
      </c>
      <c r="AZ256" s="28">
        <f t="shared" si="411"/>
        <v>0.18054366824595322</v>
      </c>
      <c r="BA256" s="28">
        <f t="shared" si="411"/>
        <v>0</v>
      </c>
      <c r="BB256" s="28">
        <f t="shared" si="411"/>
        <v>0</v>
      </c>
      <c r="BC256" s="28">
        <f t="shared" si="411"/>
        <v>0</v>
      </c>
      <c r="BD256" s="28">
        <f t="shared" si="411"/>
        <v>0</v>
      </c>
      <c r="BE256" s="28">
        <f t="shared" si="411"/>
        <v>0</v>
      </c>
      <c r="BF256" s="27">
        <f t="shared" si="412"/>
        <v>1</v>
      </c>
      <c r="BG256" s="520">
        <f t="shared" si="393"/>
        <v>1.0031062348070516</v>
      </c>
      <c r="BH256" s="520">
        <f t="shared" si="372"/>
        <v>1.0059359083068038</v>
      </c>
      <c r="BI256" s="520">
        <f t="shared" si="373"/>
        <v>1.0089983789640886</v>
      </c>
      <c r="BJ256" s="520">
        <f t="shared" si="374"/>
        <v>1.0125358912867808</v>
      </c>
      <c r="BK256" s="520">
        <f t="shared" si="375"/>
        <v>1.0176896192296296</v>
      </c>
      <c r="BL256" s="520">
        <f t="shared" si="376"/>
        <v>1.0234866482298275</v>
      </c>
      <c r="BM256" s="520">
        <f t="shared" si="377"/>
        <v>1.0273676017609046</v>
      </c>
      <c r="BN256" s="521" t="str">
        <f t="shared" si="378"/>
        <v>Project</v>
      </c>
      <c r="BP256" s="3"/>
    </row>
    <row r="257" spans="1:68" hidden="1" x14ac:dyDescent="0.15">
      <c r="A257" s="12" t="s">
        <v>520</v>
      </c>
      <c r="B257" s="13" t="s">
        <v>521</v>
      </c>
      <c r="C257" s="13" t="s">
        <v>27</v>
      </c>
      <c r="D257" s="13" t="s">
        <v>54</v>
      </c>
      <c r="E257" s="13" t="s">
        <v>29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5">
        <v>0</v>
      </c>
      <c r="N257" s="670"/>
      <c r="O257" s="14"/>
      <c r="P257" s="15"/>
      <c r="Q257" s="15">
        <f>IF(ISTEXT('Incurred 2.5% cpi'!Q257),"",'Incurred 2.5% cpi'!Q257/'Incurred 2.5% cpi'!Q$17*Incurred!Q$17)</f>
        <v>70129.34</v>
      </c>
      <c r="R257" s="110">
        <f>IF(ISTEXT('Incurred 2.5% cpi'!R257),"",'Incurred 2.5% cpi'!R257/'Incurred 2.5% cpi'!R$17*Incurred!R$17*BG257)</f>
        <v>881893.91466023156</v>
      </c>
      <c r="S257" s="102">
        <f>IF(ISTEXT('Incurred 2.5% cpi'!S257),"",'Incurred 2.5% cpi'!S257/'Incurred 2.5% cpi'!S$17*Incurred!S$17*BH257)</f>
        <v>52033.956571983123</v>
      </c>
      <c r="T257" s="16" t="str">
        <f>IF(ISTEXT('Incurred 2.5% cpi'!T257),"",'Incurred 2.5% cpi'!T257/'Incurred 2.5% cpi'!T$17*Incurred!T$17*BI257)</f>
        <v/>
      </c>
      <c r="U257" s="16" t="str">
        <f>IF(ISTEXT('Incurred 2.5% cpi'!U257),"",'Incurred 2.5% cpi'!U257/'Incurred 2.5% cpi'!U$17*Incurred!U$17*BJ257)</f>
        <v/>
      </c>
      <c r="V257" s="16" t="str">
        <f>IF(ISTEXT('Incurred 2.5% cpi'!V257),"",'Incurred 2.5% cpi'!V257/'Incurred 2.5% cpi'!V$17*Incurred!V$17*BK257)</f>
        <v/>
      </c>
      <c r="W257" s="110" t="str">
        <f>IF(ISTEXT('Incurred 2.5% cpi'!W257),"",'Incurred 2.5% cpi'!W257/'Incurred 2.5% cpi'!W$17*Incurred!W$17*BL257)</f>
        <v/>
      </c>
      <c r="X257" s="102" t="str">
        <f>IF(ISTEXT('Incurred 2.5% cpi'!X257),"",'Incurred 2.5% cpi'!X257/'Incurred 2.5% cpi'!X$17*Incurred!X$17*BM257)</f>
        <v/>
      </c>
      <c r="Y257" s="80">
        <f t="shared" si="353"/>
        <v>1004057.2112322147</v>
      </c>
      <c r="Z257" s="80">
        <f t="shared" si="408"/>
        <v>1004057.2112322147</v>
      </c>
      <c r="AA257" s="566">
        <f t="shared" si="403"/>
        <v>1136546.3039808401</v>
      </c>
      <c r="AB257" s="566">
        <f t="shared" si="370"/>
        <v>1029654.8569362205</v>
      </c>
      <c r="AC257" s="567">
        <f t="shared" si="387"/>
        <v>1.1038128906249998</v>
      </c>
      <c r="AD257" s="568" t="str">
        <f t="shared" si="384"/>
        <v>2019</v>
      </c>
      <c r="AE257" s="569">
        <v>43404</v>
      </c>
      <c r="AF257" s="568">
        <v>2019</v>
      </c>
      <c r="AG257" s="569"/>
      <c r="AH257" s="566">
        <f t="shared" si="404"/>
        <v>1004541.323840215</v>
      </c>
      <c r="AI257" s="80">
        <f t="shared" si="371"/>
        <v>52033.956571983123</v>
      </c>
      <c r="AJ257" s="571" t="s">
        <v>0</v>
      </c>
      <c r="AK257" s="875">
        <f t="shared" si="409"/>
        <v>200000.00000000035</v>
      </c>
      <c r="AL257" s="28">
        <f t="shared" ref="AL257:BE257" si="413">IF($AK257=0,VLOOKUP(MID($A257,4,5),ProjectSplits,AL$23,FALSE),IF(ISNA(VLOOKUP($A257,Estimates,AL$22,FALSE)),VLOOKUP(MID($A257,4,5),ProjectSplits,AL$23,FALSE),VLOOKUP($A257,Estimates,AL$22,FALSE)))</f>
        <v>0</v>
      </c>
      <c r="AM257" s="28">
        <f t="shared" si="413"/>
        <v>0</v>
      </c>
      <c r="AN257" s="28">
        <f t="shared" si="413"/>
        <v>0</v>
      </c>
      <c r="AO257" s="28">
        <f t="shared" si="413"/>
        <v>1</v>
      </c>
      <c r="AP257" s="28">
        <f t="shared" si="413"/>
        <v>0</v>
      </c>
      <c r="AQ257" s="28">
        <f t="shared" si="413"/>
        <v>0</v>
      </c>
      <c r="AR257" s="28">
        <f t="shared" si="413"/>
        <v>0</v>
      </c>
      <c r="AS257" s="28">
        <f t="shared" si="413"/>
        <v>0</v>
      </c>
      <c r="AT257" s="28">
        <f t="shared" si="413"/>
        <v>0</v>
      </c>
      <c r="AU257" s="28">
        <f t="shared" si="413"/>
        <v>0</v>
      </c>
      <c r="AV257" s="28">
        <f t="shared" si="413"/>
        <v>0</v>
      </c>
      <c r="AW257" s="28">
        <f t="shared" si="413"/>
        <v>0</v>
      </c>
      <c r="AX257" s="28">
        <f t="shared" si="413"/>
        <v>0</v>
      </c>
      <c r="AY257" s="28">
        <f t="shared" si="413"/>
        <v>0</v>
      </c>
      <c r="AZ257" s="28">
        <f t="shared" si="413"/>
        <v>0</v>
      </c>
      <c r="BA257" s="28">
        <f t="shared" si="413"/>
        <v>0</v>
      </c>
      <c r="BB257" s="28">
        <f t="shared" si="413"/>
        <v>0</v>
      </c>
      <c r="BC257" s="28">
        <f t="shared" si="413"/>
        <v>0</v>
      </c>
      <c r="BD257" s="28">
        <f t="shared" si="413"/>
        <v>0</v>
      </c>
      <c r="BE257" s="28">
        <f t="shared" si="413"/>
        <v>0</v>
      </c>
      <c r="BF257" s="27">
        <f>SUM(AL257:BD257)</f>
        <v>1</v>
      </c>
      <c r="BG257" s="520">
        <f t="shared" si="393"/>
        <v>1.0030818160192299</v>
      </c>
      <c r="BH257" s="520">
        <f t="shared" si="372"/>
        <v>1.0058892448397847</v>
      </c>
      <c r="BI257" s="520">
        <f t="shared" si="373"/>
        <v>1.0089276407487533</v>
      </c>
      <c r="BJ257" s="520">
        <f t="shared" si="374"/>
        <v>1.0124373439172154</v>
      </c>
      <c r="BK257" s="520">
        <f t="shared" si="375"/>
        <v>1.0175505572831101</v>
      </c>
      <c r="BL257" s="520">
        <f t="shared" si="376"/>
        <v>1.023302014576742</v>
      </c>
      <c r="BM257" s="520">
        <f t="shared" si="377"/>
        <v>1.0271524590875074</v>
      </c>
      <c r="BN257" s="521" t="str">
        <f t="shared" si="378"/>
        <v>Category</v>
      </c>
      <c r="BP257" s="3"/>
    </row>
    <row r="258" spans="1:68" hidden="1" x14ac:dyDescent="0.15">
      <c r="A258" s="12" t="s">
        <v>523</v>
      </c>
      <c r="B258" s="13" t="s">
        <v>524</v>
      </c>
      <c r="C258" s="13" t="s">
        <v>27</v>
      </c>
      <c r="D258" s="13" t="s">
        <v>55</v>
      </c>
      <c r="E258" s="13" t="s">
        <v>32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5">
        <v>0</v>
      </c>
      <c r="N258" s="670"/>
      <c r="O258" s="14"/>
      <c r="P258" s="15">
        <v>257898.37</v>
      </c>
      <c r="Q258" s="15">
        <f>IF(ISTEXT('Incurred 2.5% cpi'!Q258),"",'Incurred 2.5% cpi'!Q258/'Incurred 2.5% cpi'!Q$17*Incurred!Q$17)</f>
        <v>53481.43</v>
      </c>
      <c r="R258" s="110" t="str">
        <f>IF(ISTEXT('Incurred 2.5% cpi'!R258),"",'Incurred 2.5% cpi'!R258/'Incurred 2.5% cpi'!R$17*Incurred!R$17*BG258)</f>
        <v/>
      </c>
      <c r="S258" s="102" t="str">
        <f>IF(ISTEXT('Incurred 2.5% cpi'!S258),"",'Incurred 2.5% cpi'!S258/'Incurred 2.5% cpi'!S$17*Incurred!S$17*BH258)</f>
        <v/>
      </c>
      <c r="T258" s="16" t="str">
        <f>IF(ISTEXT('Incurred 2.5% cpi'!T258),"",'Incurred 2.5% cpi'!T258/'Incurred 2.5% cpi'!T$17*Incurred!T$17*BI258)</f>
        <v/>
      </c>
      <c r="U258" s="16" t="str">
        <f>IF(ISTEXT('Incurred 2.5% cpi'!U258),"",'Incurred 2.5% cpi'!U258/'Incurred 2.5% cpi'!U$17*Incurred!U$17*BJ258)</f>
        <v/>
      </c>
      <c r="V258" s="16" t="str">
        <f>IF(ISTEXT('Incurred 2.5% cpi'!V258),"",'Incurred 2.5% cpi'!V258/'Incurred 2.5% cpi'!V$17*Incurred!V$17*BK258)</f>
        <v/>
      </c>
      <c r="W258" s="110" t="str">
        <f>IF(ISTEXT('Incurred 2.5% cpi'!W258),"",'Incurred 2.5% cpi'!W258/'Incurred 2.5% cpi'!W$17*Incurred!W$17*BL258)</f>
        <v/>
      </c>
      <c r="X258" s="102" t="str">
        <f>IF(ISTEXT('Incurred 2.5% cpi'!X258),"",'Incurred 2.5% cpi'!X258/'Incurred 2.5% cpi'!X$17*Incurred!X$17*BM258)</f>
        <v/>
      </c>
      <c r="Y258" s="80">
        <f t="shared" si="353"/>
        <v>311379.8</v>
      </c>
      <c r="Z258" s="80">
        <f t="shared" si="408"/>
        <v>311379.8</v>
      </c>
      <c r="AA258" s="566">
        <f t="shared" ref="AA258:AA275" si="414">IF(ROUND(Y258,0)=0,0,SUMPRODUCT($F$20:$W$20,F258:W258))</f>
        <v>367462.69239885104</v>
      </c>
      <c r="AB258" s="566">
        <f t="shared" si="370"/>
        <v>316861.92801293818</v>
      </c>
      <c r="AC258" s="567">
        <f t="shared" si="387"/>
        <v>1.1596934182128902</v>
      </c>
      <c r="AD258" s="568" t="str">
        <f t="shared" si="384"/>
        <v>2017</v>
      </c>
      <c r="AE258" s="569">
        <v>42552</v>
      </c>
      <c r="AF258" s="568">
        <v>2017</v>
      </c>
      <c r="AG258" s="569"/>
      <c r="AH258" s="566">
        <f t="shared" ref="AH258:AH275" si="415">IF(ROUND(Y258,0)=0,0,SUMPRODUCT($F$19:$W$19,F258:W258))</f>
        <v>324783.4762132616</v>
      </c>
      <c r="AI258" s="80">
        <f t="shared" si="371"/>
        <v>53481.43</v>
      </c>
      <c r="AJ258" s="571" t="s">
        <v>0</v>
      </c>
      <c r="AK258" s="875">
        <f t="shared" si="409"/>
        <v>145691.76999999999</v>
      </c>
      <c r="AL258" s="28">
        <f t="shared" ref="AL258:AU266" si="416">IF($AK258=0,VLOOKUP(MID($A258,4,5),ProjectSplits,AL$23,FALSE),IF(ISNA(VLOOKUP($A258,Estimates,AL$22,FALSE)),VLOOKUP(MID($A258,4,5),ProjectSplits,AL$23,FALSE),VLOOKUP($A258,Estimates,AL$22,FALSE)))</f>
        <v>0</v>
      </c>
      <c r="AM258" s="28">
        <f t="shared" si="416"/>
        <v>0</v>
      </c>
      <c r="AN258" s="28">
        <f t="shared" si="416"/>
        <v>0</v>
      </c>
      <c r="AO258" s="28">
        <f t="shared" si="416"/>
        <v>1</v>
      </c>
      <c r="AP258" s="28">
        <f t="shared" si="416"/>
        <v>0</v>
      </c>
      <c r="AQ258" s="28">
        <f t="shared" si="416"/>
        <v>0</v>
      </c>
      <c r="AR258" s="28">
        <f t="shared" si="416"/>
        <v>0</v>
      </c>
      <c r="AS258" s="28">
        <f t="shared" si="416"/>
        <v>0</v>
      </c>
      <c r="AT258" s="28">
        <f t="shared" si="416"/>
        <v>0</v>
      </c>
      <c r="AU258" s="28">
        <f t="shared" si="416"/>
        <v>0</v>
      </c>
      <c r="AV258" s="28">
        <f t="shared" ref="AV258:BE266" si="417">IF($AK258=0,VLOOKUP(MID($A258,4,5),ProjectSplits,AV$23,FALSE),IF(ISNA(VLOOKUP($A258,Estimates,AV$22,FALSE)),VLOOKUP(MID($A258,4,5),ProjectSplits,AV$23,FALSE),VLOOKUP($A258,Estimates,AV$22,FALSE)))</f>
        <v>0</v>
      </c>
      <c r="AW258" s="28">
        <f t="shared" si="417"/>
        <v>0</v>
      </c>
      <c r="AX258" s="28">
        <f t="shared" si="417"/>
        <v>0</v>
      </c>
      <c r="AY258" s="28">
        <f t="shared" si="417"/>
        <v>0</v>
      </c>
      <c r="AZ258" s="28">
        <f t="shared" si="417"/>
        <v>0</v>
      </c>
      <c r="BA258" s="28">
        <f t="shared" si="417"/>
        <v>0</v>
      </c>
      <c r="BB258" s="28">
        <f t="shared" si="417"/>
        <v>0</v>
      </c>
      <c r="BC258" s="28">
        <f t="shared" si="417"/>
        <v>0</v>
      </c>
      <c r="BD258" s="28">
        <f t="shared" si="417"/>
        <v>0</v>
      </c>
      <c r="BE258" s="28">
        <f t="shared" si="417"/>
        <v>0</v>
      </c>
      <c r="BF258" s="27">
        <f t="shared" ref="BF258:BF281" si="418">SUM(AL258:BD258)</f>
        <v>1</v>
      </c>
      <c r="BG258" s="520">
        <f t="shared" si="393"/>
        <v>1.0046190746045656</v>
      </c>
      <c r="BH258" s="520">
        <f t="shared" si="372"/>
        <v>1.0088268933348963</v>
      </c>
      <c r="BI258" s="520">
        <f t="shared" si="373"/>
        <v>1.0133808891912874</v>
      </c>
      <c r="BJ258" s="520">
        <f t="shared" si="374"/>
        <v>1.018641287824382</v>
      </c>
      <c r="BK258" s="520">
        <f t="shared" si="375"/>
        <v>1.0263050529092395</v>
      </c>
      <c r="BL258" s="520">
        <f t="shared" si="376"/>
        <v>1.0349254280901359</v>
      </c>
      <c r="BM258" s="520">
        <f t="shared" si="377"/>
        <v>1.0406965352376705</v>
      </c>
      <c r="BN258" s="521" t="str">
        <f t="shared" si="378"/>
        <v>Category</v>
      </c>
      <c r="BP258" s="3"/>
    </row>
    <row r="259" spans="1:68" hidden="1" x14ac:dyDescent="0.15">
      <c r="A259" s="12" t="s">
        <v>526</v>
      </c>
      <c r="B259" s="13" t="s">
        <v>527</v>
      </c>
      <c r="C259" s="13" t="s">
        <v>27</v>
      </c>
      <c r="D259" s="13" t="s">
        <v>54</v>
      </c>
      <c r="E259" s="13" t="s">
        <v>112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5">
        <v>0</v>
      </c>
      <c r="N259" s="670"/>
      <c r="O259" s="14"/>
      <c r="P259" s="15"/>
      <c r="Q259" s="15">
        <f>IF(ISTEXT('Incurred 2.5% cpi'!Q259),"",'Incurred 2.5% cpi'!Q259/'Incurred 2.5% cpi'!Q$17*Incurred!Q$17)</f>
        <v>40611.67</v>
      </c>
      <c r="R259" s="110">
        <f>IF(ISTEXT('Incurred 2.5% cpi'!R259),"",'Incurred 2.5% cpi'!R259/'Incurred 2.5% cpi'!R$17*Incurred!R$17*BG259)</f>
        <v>1662892.5026336259</v>
      </c>
      <c r="S259" s="102">
        <f>IF(ISTEXT('Incurred 2.5% cpi'!S259),"",'Incurred 2.5% cpi'!S259/'Incurred 2.5% cpi'!S$17*Incurred!S$17*BH259)</f>
        <v>3230856.5284656961</v>
      </c>
      <c r="T259" s="16" t="str">
        <f>IF(ISTEXT('Incurred 2.5% cpi'!T259),"",'Incurred 2.5% cpi'!T259/'Incurred 2.5% cpi'!T$17*Incurred!T$17*BI259)</f>
        <v/>
      </c>
      <c r="U259" s="16" t="str">
        <f>IF(ISTEXT('Incurred 2.5% cpi'!U259),"",'Incurred 2.5% cpi'!U259/'Incurred 2.5% cpi'!U$17*Incurred!U$17*BJ259)</f>
        <v/>
      </c>
      <c r="V259" s="16" t="str">
        <f>IF(ISTEXT('Incurred 2.5% cpi'!V259),"",'Incurred 2.5% cpi'!V259/'Incurred 2.5% cpi'!V$17*Incurred!V$17*BK259)</f>
        <v/>
      </c>
      <c r="W259" s="110" t="str">
        <f>IF(ISTEXT('Incurred 2.5% cpi'!W259),"",'Incurred 2.5% cpi'!W259/'Incurred 2.5% cpi'!W$17*Incurred!W$17*BL259)</f>
        <v/>
      </c>
      <c r="X259" s="102" t="str">
        <f>IF(ISTEXT('Incurred 2.5% cpi'!X259),"",'Incurred 2.5% cpi'!X259/'Incurred 2.5% cpi'!X$17*Incurred!X$17*BM259)</f>
        <v/>
      </c>
      <c r="Y259" s="80">
        <f t="shared" si="353"/>
        <v>4934360.7010993222</v>
      </c>
      <c r="Z259" s="80">
        <f t="shared" si="408"/>
        <v>4934360.7010993222</v>
      </c>
      <c r="AA259" s="566">
        <f t="shared" si="414"/>
        <v>5494768.4049159344</v>
      </c>
      <c r="AB259" s="566">
        <f t="shared" si="370"/>
        <v>4977988.9794589123</v>
      </c>
      <c r="AC259" s="567">
        <f t="shared" si="387"/>
        <v>1.1038128906249998</v>
      </c>
      <c r="AD259" s="568" t="str">
        <f t="shared" si="384"/>
        <v>2019</v>
      </c>
      <c r="AE259" s="569">
        <v>43377</v>
      </c>
      <c r="AF259" s="568">
        <v>2019</v>
      </c>
      <c r="AG259" s="569"/>
      <c r="AH259" s="566">
        <f t="shared" si="415"/>
        <v>4856574.6141062565</v>
      </c>
      <c r="AI259" s="80">
        <f t="shared" si="371"/>
        <v>3230856.5284656961</v>
      </c>
      <c r="AJ259" s="571" t="s">
        <v>3037</v>
      </c>
      <c r="AK259" s="875">
        <f t="shared" si="409"/>
        <v>3030390.7715632175</v>
      </c>
      <c r="AL259" s="28">
        <f t="shared" si="416"/>
        <v>0</v>
      </c>
      <c r="AM259" s="28">
        <f t="shared" si="416"/>
        <v>0</v>
      </c>
      <c r="AN259" s="28">
        <f t="shared" si="416"/>
        <v>9.8997133515637617E-3</v>
      </c>
      <c r="AO259" s="28">
        <f t="shared" si="416"/>
        <v>0</v>
      </c>
      <c r="AP259" s="28">
        <f t="shared" si="416"/>
        <v>0</v>
      </c>
      <c r="AQ259" s="28">
        <f t="shared" si="416"/>
        <v>0</v>
      </c>
      <c r="AR259" s="28">
        <f t="shared" si="416"/>
        <v>0</v>
      </c>
      <c r="AS259" s="28">
        <f t="shared" si="416"/>
        <v>0</v>
      </c>
      <c r="AT259" s="28">
        <f t="shared" si="416"/>
        <v>0</v>
      </c>
      <c r="AU259" s="28">
        <f t="shared" si="416"/>
        <v>0.79697883928314239</v>
      </c>
      <c r="AV259" s="28">
        <f t="shared" si="417"/>
        <v>0</v>
      </c>
      <c r="AW259" s="28">
        <f t="shared" si="417"/>
        <v>0.1331291827838956</v>
      </c>
      <c r="AX259" s="28">
        <f t="shared" si="417"/>
        <v>0</v>
      </c>
      <c r="AY259" s="28">
        <f t="shared" si="417"/>
        <v>0</v>
      </c>
      <c r="AZ259" s="28">
        <f t="shared" si="417"/>
        <v>5.0092551223795662E-2</v>
      </c>
      <c r="BA259" s="28">
        <f t="shared" si="417"/>
        <v>6.5998089050683904E-3</v>
      </c>
      <c r="BB259" s="28">
        <f t="shared" si="417"/>
        <v>3.2999044525341952E-3</v>
      </c>
      <c r="BC259" s="28">
        <f t="shared" si="417"/>
        <v>0</v>
      </c>
      <c r="BD259" s="28">
        <f t="shared" si="417"/>
        <v>0</v>
      </c>
      <c r="BE259" s="28">
        <f t="shared" si="417"/>
        <v>0</v>
      </c>
      <c r="BF259" s="27">
        <f t="shared" si="418"/>
        <v>1</v>
      </c>
      <c r="BG259" s="520">
        <f t="shared" si="393"/>
        <v>1.0024984821436731</v>
      </c>
      <c r="BH259" s="520">
        <f t="shared" si="372"/>
        <v>1.0047745137867112</v>
      </c>
      <c r="BI259" s="520">
        <f t="shared" si="373"/>
        <v>1.0072377944876354</v>
      </c>
      <c r="BJ259" s="520">
        <f t="shared" si="374"/>
        <v>1.010083172226371</v>
      </c>
      <c r="BK259" s="520">
        <f t="shared" si="375"/>
        <v>1.0142285437254364</v>
      </c>
      <c r="BL259" s="520">
        <f t="shared" si="376"/>
        <v>1.0188913507387598</v>
      </c>
      <c r="BM259" s="520">
        <f t="shared" si="377"/>
        <v>1.0220129734428158</v>
      </c>
      <c r="BN259" s="521" t="str">
        <f t="shared" si="378"/>
        <v>Project</v>
      </c>
      <c r="BP259" s="3"/>
    </row>
    <row r="260" spans="1:68" hidden="1" x14ac:dyDescent="0.15">
      <c r="A260" s="12" t="s">
        <v>528</v>
      </c>
      <c r="B260" s="13" t="s">
        <v>529</v>
      </c>
      <c r="C260" s="13" t="s">
        <v>27</v>
      </c>
      <c r="D260" s="13" t="s">
        <v>36</v>
      </c>
      <c r="E260" s="13" t="s">
        <v>29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5">
        <v>0</v>
      </c>
      <c r="N260" s="670"/>
      <c r="O260" s="14"/>
      <c r="P260" s="15"/>
      <c r="Q260" s="15">
        <f>IF(ISTEXT('Incurred 2.5% cpi'!Q260),"",'Incurred 2.5% cpi'!Q260/'Incurred 2.5% cpi'!Q$17*Incurred!Q$17)</f>
        <v>172282.23999999999</v>
      </c>
      <c r="R260" s="110">
        <f>IF(ISTEXT('Incurred 2.5% cpi'!R260),"",'Incurred 2.5% cpi'!R260/'Incurred 2.5% cpi'!R$17*Incurred!R$17*BG260)</f>
        <v>18296.302481221854</v>
      </c>
      <c r="S260" s="102" t="str">
        <f>IF(ISTEXT('Incurred 2.5% cpi'!S260),"",'Incurred 2.5% cpi'!S260/'Incurred 2.5% cpi'!S$17*Incurred!S$17*BH260)</f>
        <v/>
      </c>
      <c r="T260" s="16" t="str">
        <f>IF(ISTEXT('Incurred 2.5% cpi'!T260),"",'Incurred 2.5% cpi'!T260/'Incurred 2.5% cpi'!T$17*Incurred!T$17*BI260)</f>
        <v/>
      </c>
      <c r="U260" s="16" t="str">
        <f>IF(ISTEXT('Incurred 2.5% cpi'!U260),"",'Incurred 2.5% cpi'!U260/'Incurred 2.5% cpi'!U$17*Incurred!U$17*BJ260)</f>
        <v/>
      </c>
      <c r="V260" s="16" t="str">
        <f>IF(ISTEXT('Incurred 2.5% cpi'!V260),"",'Incurred 2.5% cpi'!V260/'Incurred 2.5% cpi'!V$17*Incurred!V$17*BK260)</f>
        <v/>
      </c>
      <c r="W260" s="110" t="str">
        <f>IF(ISTEXT('Incurred 2.5% cpi'!W260),"",'Incurred 2.5% cpi'!W260/'Incurred 2.5% cpi'!W$17*Incurred!W$17*BL260)</f>
        <v/>
      </c>
      <c r="X260" s="102" t="str">
        <f>IF(ISTEXT('Incurred 2.5% cpi'!X260),"",'Incurred 2.5% cpi'!X260/'Incurred 2.5% cpi'!X$17*Incurred!X$17*BM260)</f>
        <v/>
      </c>
      <c r="Y260" s="80">
        <f t="shared" si="353"/>
        <v>190578.54248122184</v>
      </c>
      <c r="Z260" s="80">
        <f t="shared" si="408"/>
        <v>190578.54248122184</v>
      </c>
      <c r="AA260" s="566">
        <f t="shared" si="414"/>
        <v>220495.16669575905</v>
      </c>
      <c r="AB260" s="566">
        <f t="shared" si="370"/>
        <v>194885.59848122185</v>
      </c>
      <c r="AC260" s="567">
        <f t="shared" si="387"/>
        <v>1.1314082128906247</v>
      </c>
      <c r="AD260" s="568" t="str">
        <f t="shared" si="384"/>
        <v>2018</v>
      </c>
      <c r="AE260" s="569">
        <v>42860</v>
      </c>
      <c r="AF260" s="568" t="s">
        <v>3152</v>
      </c>
      <c r="AG260" s="569"/>
      <c r="AH260" s="566">
        <f t="shared" si="415"/>
        <v>194885.59848122182</v>
      </c>
      <c r="AI260" s="80">
        <f t="shared" si="371"/>
        <v>18296.302481221854</v>
      </c>
      <c r="AJ260" s="571" t="s">
        <v>0</v>
      </c>
      <c r="AK260" s="875">
        <f t="shared" si="409"/>
        <v>200000.00000000009</v>
      </c>
      <c r="AL260" s="28">
        <f t="shared" si="416"/>
        <v>1</v>
      </c>
      <c r="AM260" s="28">
        <f t="shared" si="416"/>
        <v>0</v>
      </c>
      <c r="AN260" s="28">
        <f t="shared" si="416"/>
        <v>0</v>
      </c>
      <c r="AO260" s="28">
        <f t="shared" si="416"/>
        <v>0</v>
      </c>
      <c r="AP260" s="28">
        <f t="shared" si="416"/>
        <v>0</v>
      </c>
      <c r="AQ260" s="28">
        <f t="shared" si="416"/>
        <v>0</v>
      </c>
      <c r="AR260" s="28">
        <f t="shared" si="416"/>
        <v>0</v>
      </c>
      <c r="AS260" s="28">
        <f t="shared" si="416"/>
        <v>0</v>
      </c>
      <c r="AT260" s="28">
        <f t="shared" si="416"/>
        <v>0</v>
      </c>
      <c r="AU260" s="28">
        <f t="shared" si="416"/>
        <v>0</v>
      </c>
      <c r="AV260" s="28">
        <f t="shared" si="417"/>
        <v>0</v>
      </c>
      <c r="AW260" s="28">
        <f t="shared" si="417"/>
        <v>0</v>
      </c>
      <c r="AX260" s="28">
        <f t="shared" si="417"/>
        <v>0</v>
      </c>
      <c r="AY260" s="28">
        <f t="shared" si="417"/>
        <v>0</v>
      </c>
      <c r="AZ260" s="28">
        <f t="shared" si="417"/>
        <v>0</v>
      </c>
      <c r="BA260" s="28">
        <f t="shared" si="417"/>
        <v>0</v>
      </c>
      <c r="BB260" s="28">
        <f t="shared" si="417"/>
        <v>0</v>
      </c>
      <c r="BC260" s="28">
        <f t="shared" si="417"/>
        <v>0</v>
      </c>
      <c r="BD260" s="28">
        <f t="shared" si="417"/>
        <v>0</v>
      </c>
      <c r="BE260" s="28">
        <f t="shared" si="417"/>
        <v>0</v>
      </c>
      <c r="BF260" s="27">
        <f t="shared" si="418"/>
        <v>1</v>
      </c>
      <c r="BG260" s="520">
        <f t="shared" si="393"/>
        <v>1.0018756098697492</v>
      </c>
      <c r="BH260" s="520">
        <f t="shared" si="372"/>
        <v>1.0035842262088148</v>
      </c>
      <c r="BI260" s="520">
        <f t="shared" si="373"/>
        <v>1.0054334103650095</v>
      </c>
      <c r="BJ260" s="520">
        <f t="shared" si="374"/>
        <v>1.007569434664183</v>
      </c>
      <c r="BK260" s="520">
        <f t="shared" si="375"/>
        <v>1.0106813639277612</v>
      </c>
      <c r="BL260" s="520">
        <f t="shared" si="376"/>
        <v>1.0141817318919957</v>
      </c>
      <c r="BM260" s="520">
        <f t="shared" si="377"/>
        <v>1.0165251332119476</v>
      </c>
      <c r="BN260" s="521" t="str">
        <f t="shared" si="378"/>
        <v>Category</v>
      </c>
      <c r="BP260" s="3"/>
    </row>
    <row r="261" spans="1:68" hidden="1" x14ac:dyDescent="0.15">
      <c r="A261" s="12" t="s">
        <v>530</v>
      </c>
      <c r="B261" s="13" t="s">
        <v>531</v>
      </c>
      <c r="C261" s="13" t="s">
        <v>27</v>
      </c>
      <c r="D261" s="13" t="s">
        <v>36</v>
      </c>
      <c r="E261" s="13" t="s">
        <v>29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5">
        <v>0</v>
      </c>
      <c r="N261" s="670"/>
      <c r="O261" s="14"/>
      <c r="P261" s="15"/>
      <c r="Q261" s="15">
        <f>IF(ISTEXT('Incurred 2.5% cpi'!Q261),"",'Incurred 2.5% cpi'!Q261/'Incurred 2.5% cpi'!Q$17*Incurred!Q$17)</f>
        <v>125456.3</v>
      </c>
      <c r="R261" s="110">
        <f>IF(ISTEXT('Incurred 2.5% cpi'!R261),"",'Incurred 2.5% cpi'!R261/'Incurred 2.5% cpi'!R$17*Incurred!R$17*BG261)</f>
        <v>8640.3656158825943</v>
      </c>
      <c r="S261" s="102" t="str">
        <f>IF(ISTEXT('Incurred 2.5% cpi'!S261),"",'Incurred 2.5% cpi'!S261/'Incurred 2.5% cpi'!S$17*Incurred!S$17*BH261)</f>
        <v/>
      </c>
      <c r="T261" s="16" t="str">
        <f>IF(ISTEXT('Incurred 2.5% cpi'!T261),"",'Incurred 2.5% cpi'!T261/'Incurred 2.5% cpi'!T$17*Incurred!T$17*BI261)</f>
        <v/>
      </c>
      <c r="U261" s="16" t="str">
        <f>IF(ISTEXT('Incurred 2.5% cpi'!U261),"",'Incurred 2.5% cpi'!U261/'Incurred 2.5% cpi'!U$17*Incurred!U$17*BJ261)</f>
        <v/>
      </c>
      <c r="V261" s="16" t="str">
        <f>IF(ISTEXT('Incurred 2.5% cpi'!V261),"",'Incurred 2.5% cpi'!V261/'Incurred 2.5% cpi'!V$17*Incurred!V$17*BK261)</f>
        <v/>
      </c>
      <c r="W261" s="110" t="str">
        <f>IF(ISTEXT('Incurred 2.5% cpi'!W261),"",'Incurred 2.5% cpi'!W261/'Incurred 2.5% cpi'!W$17*Incurred!W$17*BL261)</f>
        <v/>
      </c>
      <c r="X261" s="102" t="str">
        <f>IF(ISTEXT('Incurred 2.5% cpi'!X261),"",'Incurred 2.5% cpi'!X261/'Incurred 2.5% cpi'!X$17*Incurred!X$17*BM261)</f>
        <v/>
      </c>
      <c r="Y261" s="80">
        <f t="shared" si="353"/>
        <v>134096.66561588261</v>
      </c>
      <c r="Z261" s="80">
        <f t="shared" si="408"/>
        <v>134096.66561588261</v>
      </c>
      <c r="AA261" s="566">
        <f t="shared" si="414"/>
        <v>155266.62600352915</v>
      </c>
      <c r="AB261" s="566">
        <f t="shared" ref="AB261:AB313" si="419">IF(AC261="","",AA261/AC261)</f>
        <v>137233.07311588258</v>
      </c>
      <c r="AC261" s="567">
        <f t="shared" si="387"/>
        <v>1.1314082128906247</v>
      </c>
      <c r="AD261" s="568" t="str">
        <f t="shared" ref="AD261:AD313" si="420">IF(AI261=0,"",INDEX($F$24:$W$24,1,MATCH(AI261,F261:W261,0)))</f>
        <v>2018</v>
      </c>
      <c r="AE261" s="569">
        <v>42874</v>
      </c>
      <c r="AF261" s="568" t="s">
        <v>3152</v>
      </c>
      <c r="AG261" s="569"/>
      <c r="AH261" s="566">
        <f t="shared" si="415"/>
        <v>137233.07311588258</v>
      </c>
      <c r="AI261" s="80">
        <f t="shared" ref="AI261:AI313" si="421">IF(ROUND(Z261,0)=0,0,LOOKUP(2,1/(F261:X261&lt;&gt;""),F261:X261))</f>
        <v>8640.3656158825943</v>
      </c>
      <c r="AJ261" s="571" t="s">
        <v>0</v>
      </c>
      <c r="AK261" s="875">
        <f t="shared" si="409"/>
        <v>119999.99999999991</v>
      </c>
      <c r="AL261" s="28">
        <f t="shared" si="416"/>
        <v>1</v>
      </c>
      <c r="AM261" s="28">
        <f t="shared" si="416"/>
        <v>0</v>
      </c>
      <c r="AN261" s="28">
        <f t="shared" si="416"/>
        <v>0</v>
      </c>
      <c r="AO261" s="28">
        <f t="shared" si="416"/>
        <v>0</v>
      </c>
      <c r="AP261" s="28">
        <f t="shared" si="416"/>
        <v>0</v>
      </c>
      <c r="AQ261" s="28">
        <f t="shared" si="416"/>
        <v>0</v>
      </c>
      <c r="AR261" s="28">
        <f t="shared" si="416"/>
        <v>0</v>
      </c>
      <c r="AS261" s="28">
        <f t="shared" si="416"/>
        <v>0</v>
      </c>
      <c r="AT261" s="28">
        <f t="shared" si="416"/>
        <v>0</v>
      </c>
      <c r="AU261" s="28">
        <f t="shared" si="416"/>
        <v>0</v>
      </c>
      <c r="AV261" s="28">
        <f t="shared" si="417"/>
        <v>0</v>
      </c>
      <c r="AW261" s="28">
        <f t="shared" si="417"/>
        <v>0</v>
      </c>
      <c r="AX261" s="28">
        <f t="shared" si="417"/>
        <v>0</v>
      </c>
      <c r="AY261" s="28">
        <f t="shared" si="417"/>
        <v>0</v>
      </c>
      <c r="AZ261" s="28">
        <f t="shared" si="417"/>
        <v>0</v>
      </c>
      <c r="BA261" s="28">
        <f t="shared" si="417"/>
        <v>0</v>
      </c>
      <c r="BB261" s="28">
        <f t="shared" si="417"/>
        <v>0</v>
      </c>
      <c r="BC261" s="28">
        <f t="shared" si="417"/>
        <v>0</v>
      </c>
      <c r="BD261" s="28">
        <f t="shared" si="417"/>
        <v>0</v>
      </c>
      <c r="BE261" s="28">
        <f t="shared" si="417"/>
        <v>0</v>
      </c>
      <c r="BF261" s="27">
        <f t="shared" si="418"/>
        <v>1</v>
      </c>
      <c r="BG261" s="520">
        <f t="shared" si="393"/>
        <v>1.0018756098697492</v>
      </c>
      <c r="BH261" s="520">
        <f t="shared" ref="BH261:BH313" si="422">1+IF(ISNA(VLOOKUP($A261,ProjLabEsc,7,FALSE)),VLOOKUP($D261,CatLabEsc,4,FALSE),VLOOKUP($A261,ProjLabEsc,7,FALSE))*LabEsc19*LabIn</f>
        <v>1.0035842262088148</v>
      </c>
      <c r="BI261" s="520">
        <f t="shared" ref="BI261:BI313" si="423">1+IF(ISNA(VLOOKUP($A261,ProjLabEsc,7,FALSE)),VLOOKUP($D261,CatLabEsc,4,FALSE),VLOOKUP($A261,ProjLabEsc,7,FALSE))*LabEsc20*LabIn</f>
        <v>1.0054334103650095</v>
      </c>
      <c r="BJ261" s="520">
        <f t="shared" ref="BJ261:BJ313" si="424">1+IF(ISNA(VLOOKUP($A261,ProjLabEsc,7,FALSE)),VLOOKUP($D261,CatLabEsc,4,FALSE),VLOOKUP($A261,ProjLabEsc,7,FALSE))*LabEsc21*LabIn</f>
        <v>1.007569434664183</v>
      </c>
      <c r="BK261" s="520">
        <f t="shared" ref="BK261:BK313" si="425">1+IF(ISNA(VLOOKUP($A261,ProjLabEsc,7,FALSE)),VLOOKUP($D261,CatLabEsc,4,FALSE),VLOOKUP($A261,ProjLabEsc,7,FALSE))*LabEsc22*LabIn</f>
        <v>1.0106813639277612</v>
      </c>
      <c r="BL261" s="520">
        <f t="shared" ref="BL261:BL313" si="426">1+IF(ISNA(VLOOKUP($A261,ProjLabEsc,7,FALSE)),VLOOKUP($D261,CatLabEsc,4,FALSE),VLOOKUP($A261,ProjLabEsc,7,FALSE))*LabEsc23*LabIn</f>
        <v>1.0141817318919957</v>
      </c>
      <c r="BM261" s="520">
        <f t="shared" ref="BM261:BM313" si="427">1+IF(ISNA(VLOOKUP($A261,ProjLabEsc,7,FALSE)),VLOOKUP($D261,CatLabEsc,4,FALSE),VLOOKUP($A261,ProjLabEsc,7,FALSE))*LabEsc24*LabIn</f>
        <v>1.0165251332119476</v>
      </c>
      <c r="BN261" s="521" t="str">
        <f t="shared" ref="BN261:BN313" si="428">IF(ISNA(VLOOKUP($A261,ProjLabEsc,7,FALSE)),"Category","Project")</f>
        <v>Category</v>
      </c>
      <c r="BP261" s="3"/>
    </row>
    <row r="262" spans="1:68" hidden="1" x14ac:dyDescent="0.15">
      <c r="A262" s="12" t="s">
        <v>532</v>
      </c>
      <c r="B262" s="13" t="s">
        <v>2389</v>
      </c>
      <c r="C262" s="13" t="s">
        <v>27</v>
      </c>
      <c r="D262" s="13" t="s">
        <v>36</v>
      </c>
      <c r="E262" s="13" t="s">
        <v>32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5">
        <v>0</v>
      </c>
      <c r="N262" s="670"/>
      <c r="O262" s="14"/>
      <c r="P262" s="15">
        <v>111682.87</v>
      </c>
      <c r="Q262" s="15">
        <f>IF(ISTEXT('Incurred 2.5% cpi'!Q262),"",'Incurred 2.5% cpi'!Q262/'Incurred 2.5% cpi'!Q$17*Incurred!Q$17)</f>
        <v>29039.79</v>
      </c>
      <c r="R262" s="110" t="str">
        <f>IF(ISTEXT('Incurred 2.5% cpi'!R262),"",'Incurred 2.5% cpi'!R262/'Incurred 2.5% cpi'!R$17*Incurred!R$17*BG262)</f>
        <v/>
      </c>
      <c r="S262" s="102" t="str">
        <f>IF(ISTEXT('Incurred 2.5% cpi'!S262),"",'Incurred 2.5% cpi'!S262/'Incurred 2.5% cpi'!S$17*Incurred!S$17*BH262)</f>
        <v/>
      </c>
      <c r="T262" s="16" t="str">
        <f>IF(ISTEXT('Incurred 2.5% cpi'!T262),"",'Incurred 2.5% cpi'!T262/'Incurred 2.5% cpi'!T$17*Incurred!T$17*BI262)</f>
        <v/>
      </c>
      <c r="U262" s="16" t="str">
        <f>IF(ISTEXT('Incurred 2.5% cpi'!U262),"",'Incurred 2.5% cpi'!U262/'Incurred 2.5% cpi'!U$17*Incurred!U$17*BJ262)</f>
        <v/>
      </c>
      <c r="V262" s="16" t="str">
        <f>IF(ISTEXT('Incurred 2.5% cpi'!V262),"",'Incurred 2.5% cpi'!V262/'Incurred 2.5% cpi'!V$17*Incurred!V$17*BK262)</f>
        <v/>
      </c>
      <c r="W262" s="110" t="str">
        <f>IF(ISTEXT('Incurred 2.5% cpi'!W262),"",'Incurred 2.5% cpi'!W262/'Incurred 2.5% cpi'!W$17*Incurred!W$17*BL262)</f>
        <v/>
      </c>
      <c r="X262" s="102" t="str">
        <f>IF(ISTEXT('Incurred 2.5% cpi'!X262),"",'Incurred 2.5% cpi'!X262/'Incurred 2.5% cpi'!X$17*Incurred!X$17*BM262)</f>
        <v/>
      </c>
      <c r="Y262" s="80">
        <f t="shared" si="353"/>
        <v>140722.66</v>
      </c>
      <c r="Z262" s="80">
        <f t="shared" si="408"/>
        <v>140722.66</v>
      </c>
      <c r="AA262" s="566">
        <f t="shared" si="414"/>
        <v>165948.29550956975</v>
      </c>
      <c r="AB262" s="566">
        <f t="shared" si="419"/>
        <v>143096.69512938967</v>
      </c>
      <c r="AC262" s="567">
        <f t="shared" si="387"/>
        <v>1.1596934182128902</v>
      </c>
      <c r="AD262" s="568" t="str">
        <f t="shared" si="420"/>
        <v>2017</v>
      </c>
      <c r="AE262" s="569">
        <v>42543</v>
      </c>
      <c r="AF262" s="568">
        <v>2017</v>
      </c>
      <c r="AG262" s="569"/>
      <c r="AH262" s="566">
        <f t="shared" si="415"/>
        <v>146674.11250762441</v>
      </c>
      <c r="AI262" s="80">
        <f t="shared" si="421"/>
        <v>29039.79</v>
      </c>
      <c r="AJ262" s="571" t="s">
        <v>0</v>
      </c>
      <c r="AK262" s="875">
        <f t="shared" ref="AK262:AK313" si="429">IF(ISNA(VLOOKUP($A262,Estimates,71,FALSE)),0,VLOOKUP($A262,Estimates,71,FALSE))</f>
        <v>0</v>
      </c>
      <c r="AL262" s="28">
        <f t="shared" si="416"/>
        <v>1</v>
      </c>
      <c r="AM262" s="28">
        <f t="shared" si="416"/>
        <v>0</v>
      </c>
      <c r="AN262" s="28">
        <f t="shared" si="416"/>
        <v>0</v>
      </c>
      <c r="AO262" s="28">
        <f t="shared" si="416"/>
        <v>0</v>
      </c>
      <c r="AP262" s="28">
        <f t="shared" si="416"/>
        <v>0</v>
      </c>
      <c r="AQ262" s="28">
        <f t="shared" si="416"/>
        <v>0</v>
      </c>
      <c r="AR262" s="28">
        <f t="shared" si="416"/>
        <v>0</v>
      </c>
      <c r="AS262" s="28">
        <f t="shared" si="416"/>
        <v>0</v>
      </c>
      <c r="AT262" s="28">
        <f t="shared" si="416"/>
        <v>0</v>
      </c>
      <c r="AU262" s="28">
        <f t="shared" si="416"/>
        <v>0</v>
      </c>
      <c r="AV262" s="28">
        <f t="shared" si="417"/>
        <v>0</v>
      </c>
      <c r="AW262" s="28">
        <f t="shared" si="417"/>
        <v>0</v>
      </c>
      <c r="AX262" s="28">
        <f t="shared" si="417"/>
        <v>0</v>
      </c>
      <c r="AY262" s="28">
        <f t="shared" si="417"/>
        <v>0</v>
      </c>
      <c r="AZ262" s="28">
        <f t="shared" si="417"/>
        <v>0</v>
      </c>
      <c r="BA262" s="28">
        <f t="shared" si="417"/>
        <v>0</v>
      </c>
      <c r="BB262" s="28">
        <f t="shared" si="417"/>
        <v>0</v>
      </c>
      <c r="BC262" s="28">
        <f t="shared" si="417"/>
        <v>0</v>
      </c>
      <c r="BD262" s="28">
        <f t="shared" si="417"/>
        <v>0</v>
      </c>
      <c r="BE262" s="28">
        <f t="shared" si="417"/>
        <v>0</v>
      </c>
      <c r="BF262" s="27">
        <f t="shared" si="418"/>
        <v>1</v>
      </c>
      <c r="BG262" s="520">
        <f t="shared" si="393"/>
        <v>1.0018756098697492</v>
      </c>
      <c r="BH262" s="520">
        <f t="shared" si="422"/>
        <v>1.0035842262088148</v>
      </c>
      <c r="BI262" s="520">
        <f t="shared" si="423"/>
        <v>1.0054334103650095</v>
      </c>
      <c r="BJ262" s="520">
        <f t="shared" si="424"/>
        <v>1.007569434664183</v>
      </c>
      <c r="BK262" s="520">
        <f t="shared" si="425"/>
        <v>1.0106813639277612</v>
      </c>
      <c r="BL262" s="520">
        <f t="shared" si="426"/>
        <v>1.0141817318919957</v>
      </c>
      <c r="BM262" s="520">
        <f t="shared" si="427"/>
        <v>1.0165251332119476</v>
      </c>
      <c r="BN262" s="521" t="str">
        <f t="shared" si="428"/>
        <v>Category</v>
      </c>
      <c r="BP262" s="3"/>
    </row>
    <row r="263" spans="1:68" hidden="1" x14ac:dyDescent="0.15">
      <c r="A263" s="12" t="s">
        <v>534</v>
      </c>
      <c r="B263" s="13" t="s">
        <v>535</v>
      </c>
      <c r="C263" s="13" t="s">
        <v>27</v>
      </c>
      <c r="D263" s="13" t="s">
        <v>36</v>
      </c>
      <c r="E263" s="13" t="s">
        <v>112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5">
        <v>0</v>
      </c>
      <c r="N263" s="670"/>
      <c r="O263" s="14"/>
      <c r="P263" s="15"/>
      <c r="Q263" s="15" t="str">
        <f>IF(ISTEXT('Incurred 2.5% cpi'!Q263),"",'Incurred 2.5% cpi'!Q263/'Incurred 2.5% cpi'!Q$17*Incurred!Q$17)</f>
        <v/>
      </c>
      <c r="R263" s="110" t="str">
        <f>IF(ISTEXT('Incurred 2.5% cpi'!R263),"",'Incurred 2.5% cpi'!R263/'Incurred 2.5% cpi'!R$17*Incurred!R$17*BG263)</f>
        <v/>
      </c>
      <c r="S263" s="102">
        <f>IF(ISTEXT('Incurred 2.5% cpi'!S263),"",'Incurred 2.5% cpi'!S263/'Incurred 2.5% cpi'!S$17*Incurred!S$17*BH263)</f>
        <v>350766.67453077924</v>
      </c>
      <c r="T263" s="16">
        <f>IF(ISTEXT('Incurred 2.5% cpi'!T263),"",'Incurred 2.5% cpi'!T263/'Incurred 2.5% cpi'!T$17*Incurred!T$17*BI263)</f>
        <v>210503.91222176523</v>
      </c>
      <c r="U263" s="16" t="str">
        <f>IF(ISTEXT('Incurred 2.5% cpi'!U263),"",'Incurred 2.5% cpi'!U263/'Incurred 2.5% cpi'!U$17*Incurred!U$17*BJ263)</f>
        <v/>
      </c>
      <c r="V263" s="16" t="str">
        <f>IF(ISTEXT('Incurred 2.5% cpi'!V263),"",'Incurred 2.5% cpi'!V263/'Incurred 2.5% cpi'!V$17*Incurred!V$17*BK263)</f>
        <v/>
      </c>
      <c r="W263" s="110" t="str">
        <f>IF(ISTEXT('Incurred 2.5% cpi'!W263),"",'Incurred 2.5% cpi'!W263/'Incurred 2.5% cpi'!W$17*Incurred!W$17*BL263)</f>
        <v/>
      </c>
      <c r="X263" s="102" t="str">
        <f>IF(ISTEXT('Incurred 2.5% cpi'!X263),"",'Incurred 2.5% cpi'!X263/'Incurred 2.5% cpi'!X$17*Incurred!X$17*BM263)</f>
        <v/>
      </c>
      <c r="Y263" s="80">
        <f t="shared" si="353"/>
        <v>561270.58675254451</v>
      </c>
      <c r="Z263" s="80">
        <f t="shared" si="408"/>
        <v>561270.58675254451</v>
      </c>
      <c r="AA263" s="566">
        <f t="shared" si="414"/>
        <v>613870.46654617973</v>
      </c>
      <c r="AB263" s="566">
        <f t="shared" si="419"/>
        <v>570039.75361581391</v>
      </c>
      <c r="AC263" s="567">
        <f t="shared" si="387"/>
        <v>1.0768906249999999</v>
      </c>
      <c r="AD263" s="568" t="str">
        <f t="shared" si="420"/>
        <v>2020</v>
      </c>
      <c r="AE263" s="569">
        <v>43685</v>
      </c>
      <c r="AF263" s="568">
        <v>2020</v>
      </c>
      <c r="AG263" s="569"/>
      <c r="AH263" s="566">
        <f t="shared" si="415"/>
        <v>542572.04389369569</v>
      </c>
      <c r="AI263" s="80">
        <f t="shared" si="421"/>
        <v>210503.91222176523</v>
      </c>
      <c r="AJ263" s="571" t="s">
        <v>3035</v>
      </c>
      <c r="AK263" s="875">
        <f t="shared" ref="AK263:AK277" si="430">IF(ISNA(VLOOKUP(LEFT($A263,8),Estimates,72,FALSE)),0,VLOOKUP(LEFT($A263,8),Estimates,72,FALSE))</f>
        <v>383000.00000000029</v>
      </c>
      <c r="AL263" s="28">
        <f t="shared" si="416"/>
        <v>0.69973890339425593</v>
      </c>
      <c r="AM263" s="28">
        <f t="shared" si="416"/>
        <v>0</v>
      </c>
      <c r="AN263" s="28">
        <f t="shared" si="416"/>
        <v>0</v>
      </c>
      <c r="AO263" s="28">
        <f t="shared" si="416"/>
        <v>0</v>
      </c>
      <c r="AP263" s="28">
        <f t="shared" si="416"/>
        <v>0</v>
      </c>
      <c r="AQ263" s="28">
        <f t="shared" si="416"/>
        <v>0</v>
      </c>
      <c r="AR263" s="28">
        <f t="shared" si="416"/>
        <v>0</v>
      </c>
      <c r="AS263" s="28">
        <f t="shared" si="416"/>
        <v>0.30026109660574407</v>
      </c>
      <c r="AT263" s="28">
        <f t="shared" si="416"/>
        <v>0</v>
      </c>
      <c r="AU263" s="28">
        <f t="shared" si="416"/>
        <v>0</v>
      </c>
      <c r="AV263" s="28">
        <f t="shared" si="417"/>
        <v>0</v>
      </c>
      <c r="AW263" s="28">
        <f t="shared" si="417"/>
        <v>0</v>
      </c>
      <c r="AX263" s="28">
        <f t="shared" si="417"/>
        <v>0</v>
      </c>
      <c r="AY263" s="28">
        <f t="shared" si="417"/>
        <v>0</v>
      </c>
      <c r="AZ263" s="28">
        <f t="shared" si="417"/>
        <v>0</v>
      </c>
      <c r="BA263" s="28">
        <f t="shared" si="417"/>
        <v>0</v>
      </c>
      <c r="BB263" s="28">
        <f t="shared" si="417"/>
        <v>0</v>
      </c>
      <c r="BC263" s="28">
        <f t="shared" si="417"/>
        <v>0</v>
      </c>
      <c r="BD263" s="28">
        <f t="shared" si="417"/>
        <v>0</v>
      </c>
      <c r="BE263" s="28">
        <f t="shared" si="417"/>
        <v>0</v>
      </c>
      <c r="BF263" s="27">
        <f t="shared" si="418"/>
        <v>1</v>
      </c>
      <c r="BG263" s="520">
        <f t="shared" si="393"/>
        <v>1.0023493896625941</v>
      </c>
      <c r="BH263" s="520">
        <f t="shared" si="422"/>
        <v>1.0044896031627912</v>
      </c>
      <c r="BI263" s="520">
        <f t="shared" si="423"/>
        <v>1.0068058919661647</v>
      </c>
      <c r="BJ263" s="520">
        <f t="shared" si="424"/>
        <v>1.0094814768457638</v>
      </c>
      <c r="BK263" s="520">
        <f t="shared" si="425"/>
        <v>1.013379480668676</v>
      </c>
      <c r="BL263" s="520">
        <f t="shared" si="426"/>
        <v>1.0177640429612318</v>
      </c>
      <c r="BM263" s="520">
        <f t="shared" si="427"/>
        <v>1.0206993883788484</v>
      </c>
      <c r="BN263" s="521" t="str">
        <f t="shared" si="428"/>
        <v>Project</v>
      </c>
      <c r="BP263" s="3"/>
    </row>
    <row r="264" spans="1:68" hidden="1" x14ac:dyDescent="0.15">
      <c r="A264" s="12" t="s">
        <v>536</v>
      </c>
      <c r="B264" s="13" t="s">
        <v>537</v>
      </c>
      <c r="C264" s="13" t="s">
        <v>27</v>
      </c>
      <c r="D264" s="13" t="s">
        <v>36</v>
      </c>
      <c r="E264" s="13" t="s">
        <v>112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5">
        <v>0</v>
      </c>
      <c r="N264" s="670"/>
      <c r="O264" s="14"/>
      <c r="P264" s="15"/>
      <c r="Q264" s="15" t="str">
        <f>IF(ISTEXT('Incurred 2.5% cpi'!Q264),"",'Incurred 2.5% cpi'!Q264/'Incurred 2.5% cpi'!Q$17*Incurred!Q$17)</f>
        <v/>
      </c>
      <c r="R264" s="110" t="str">
        <f>IF(ISTEXT('Incurred 2.5% cpi'!R264),"",'Incurred 2.5% cpi'!R264/'Incurred 2.5% cpi'!R$17*Incurred!R$17*BG264)</f>
        <v/>
      </c>
      <c r="S264" s="102" t="str">
        <f>IF(ISTEXT('Incurred 2.5% cpi'!S264),"",'Incurred 2.5% cpi'!S264/'Incurred 2.5% cpi'!S$17*Incurred!S$17*BH264)</f>
        <v/>
      </c>
      <c r="T264" s="16">
        <f>IF(ISTEXT('Incurred 2.5% cpi'!T264),"",'Incurred 2.5% cpi'!T264/'Incurred 2.5% cpi'!T$17*Incurred!T$17*BI264)</f>
        <v>444091.50748440955</v>
      </c>
      <c r="U264" s="16">
        <f>IF(ISTEXT('Incurred 2.5% cpi'!U264),"",'Incurred 2.5% cpi'!U264/'Incurred 2.5% cpi'!U$17*Incurred!U$17*BJ264)</f>
        <v>131591.39199126459</v>
      </c>
      <c r="V264" s="16" t="str">
        <f>IF(ISTEXT('Incurred 2.5% cpi'!V264),"",'Incurred 2.5% cpi'!V264/'Incurred 2.5% cpi'!V$17*Incurred!V$17*BK264)</f>
        <v/>
      </c>
      <c r="W264" s="110" t="str">
        <f>IF(ISTEXT('Incurred 2.5% cpi'!W264),"",'Incurred 2.5% cpi'!W264/'Incurred 2.5% cpi'!W$17*Incurred!W$17*BL264)</f>
        <v/>
      </c>
      <c r="X264" s="102" t="str">
        <f>IF(ISTEXT('Incurred 2.5% cpi'!X264),"",'Incurred 2.5% cpi'!X264/'Incurred 2.5% cpi'!X$17*Incurred!X$17*BM264)</f>
        <v/>
      </c>
      <c r="Y264" s="80">
        <f t="shared" si="353"/>
        <v>575682.89947567414</v>
      </c>
      <c r="Z264" s="80">
        <f t="shared" si="408"/>
        <v>575682.89947567414</v>
      </c>
      <c r="AA264" s="566">
        <f t="shared" si="414"/>
        <v>616491.18726290029</v>
      </c>
      <c r="AB264" s="566">
        <f t="shared" si="419"/>
        <v>586785.18716278439</v>
      </c>
      <c r="AC264" s="567">
        <f t="shared" si="387"/>
        <v>1.0506249999999999</v>
      </c>
      <c r="AD264" s="568" t="str">
        <f t="shared" si="420"/>
        <v>2021</v>
      </c>
      <c r="AE264" s="569">
        <v>44008</v>
      </c>
      <c r="AF264" s="568">
        <v>2021</v>
      </c>
      <c r="AG264" s="569"/>
      <c r="AH264" s="566">
        <f t="shared" si="415"/>
        <v>544888.3791357961</v>
      </c>
      <c r="AI264" s="80">
        <f t="shared" si="421"/>
        <v>131591.39199126459</v>
      </c>
      <c r="AJ264" s="571" t="s">
        <v>3035</v>
      </c>
      <c r="AK264" s="875">
        <f t="shared" si="430"/>
        <v>383000.00000000017</v>
      </c>
      <c r="AL264" s="28">
        <f t="shared" si="416"/>
        <v>0.69973890339425582</v>
      </c>
      <c r="AM264" s="28">
        <f t="shared" si="416"/>
        <v>0</v>
      </c>
      <c r="AN264" s="28">
        <f t="shared" si="416"/>
        <v>0</v>
      </c>
      <c r="AO264" s="28">
        <f t="shared" si="416"/>
        <v>0</v>
      </c>
      <c r="AP264" s="28">
        <f t="shared" si="416"/>
        <v>0</v>
      </c>
      <c r="AQ264" s="28">
        <f t="shared" si="416"/>
        <v>0</v>
      </c>
      <c r="AR264" s="28">
        <f t="shared" si="416"/>
        <v>0</v>
      </c>
      <c r="AS264" s="28">
        <f t="shared" si="416"/>
        <v>0.30026109660574413</v>
      </c>
      <c r="AT264" s="28">
        <f t="shared" si="416"/>
        <v>0</v>
      </c>
      <c r="AU264" s="28">
        <f t="shared" si="416"/>
        <v>0</v>
      </c>
      <c r="AV264" s="28">
        <f t="shared" si="417"/>
        <v>0</v>
      </c>
      <c r="AW264" s="28">
        <f t="shared" si="417"/>
        <v>0</v>
      </c>
      <c r="AX264" s="28">
        <f t="shared" si="417"/>
        <v>0</v>
      </c>
      <c r="AY264" s="28">
        <f t="shared" si="417"/>
        <v>0</v>
      </c>
      <c r="AZ264" s="28">
        <f t="shared" si="417"/>
        <v>0</v>
      </c>
      <c r="BA264" s="28">
        <f t="shared" si="417"/>
        <v>0</v>
      </c>
      <c r="BB264" s="28">
        <f t="shared" si="417"/>
        <v>0</v>
      </c>
      <c r="BC264" s="28">
        <f t="shared" si="417"/>
        <v>0</v>
      </c>
      <c r="BD264" s="28">
        <f t="shared" si="417"/>
        <v>0</v>
      </c>
      <c r="BE264" s="28">
        <f t="shared" si="417"/>
        <v>0</v>
      </c>
      <c r="BF264" s="27">
        <f t="shared" si="418"/>
        <v>1</v>
      </c>
      <c r="BG264" s="520">
        <f t="shared" si="393"/>
        <v>1.0023493896625941</v>
      </c>
      <c r="BH264" s="520">
        <f t="shared" si="422"/>
        <v>1.0044896031627912</v>
      </c>
      <c r="BI264" s="520">
        <f t="shared" si="423"/>
        <v>1.0068058919661647</v>
      </c>
      <c r="BJ264" s="520">
        <f t="shared" si="424"/>
        <v>1.0094814768457638</v>
      </c>
      <c r="BK264" s="520">
        <f t="shared" si="425"/>
        <v>1.013379480668676</v>
      </c>
      <c r="BL264" s="520">
        <f t="shared" si="426"/>
        <v>1.0177640429612318</v>
      </c>
      <c r="BM264" s="520">
        <f t="shared" si="427"/>
        <v>1.0206993883788484</v>
      </c>
      <c r="BN264" s="521" t="str">
        <f t="shared" si="428"/>
        <v>Project</v>
      </c>
      <c r="BP264" s="3"/>
    </row>
    <row r="265" spans="1:68" hidden="1" x14ac:dyDescent="0.15">
      <c r="A265" s="12" t="s">
        <v>538</v>
      </c>
      <c r="B265" s="13" t="s">
        <v>539</v>
      </c>
      <c r="C265" s="13" t="s">
        <v>27</v>
      </c>
      <c r="D265" s="13" t="s">
        <v>36</v>
      </c>
      <c r="E265" s="13" t="s">
        <v>112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5">
        <v>0</v>
      </c>
      <c r="N265" s="670"/>
      <c r="O265" s="14"/>
      <c r="P265" s="15"/>
      <c r="Q265" s="15" t="str">
        <f>IF(ISTEXT('Incurred 2.5% cpi'!Q265),"",'Incurred 2.5% cpi'!Q265/'Incurred 2.5% cpi'!Q$17*Incurred!Q$17)</f>
        <v/>
      </c>
      <c r="R265" s="110" t="str">
        <f>IF(ISTEXT('Incurred 2.5% cpi'!R265),"",'Incurred 2.5% cpi'!R265/'Incurred 2.5% cpi'!R$17*Incurred!R$17*BG265)</f>
        <v/>
      </c>
      <c r="S265" s="102" t="str">
        <f>IF(ISTEXT('Incurred 2.5% cpi'!S265),"",'Incurred 2.5% cpi'!S265/'Incurred 2.5% cpi'!S$17*Incurred!S$17*BH265)</f>
        <v/>
      </c>
      <c r="T265" s="16" t="str">
        <f>IF(ISTEXT('Incurred 2.5% cpi'!T265),"",'Incurred 2.5% cpi'!T265/'Incurred 2.5% cpi'!T$17*Incurred!T$17*BI265)</f>
        <v/>
      </c>
      <c r="U265" s="16">
        <f>IF(ISTEXT('Incurred 2.5% cpi'!U265),"",'Incurred 2.5% cpi'!U265/'Incurred 2.5% cpi'!U$17*Incurred!U$17*BJ265)</f>
        <v>400426.17190932028</v>
      </c>
      <c r="V265" s="16">
        <f>IF(ISTEXT('Incurred 2.5% cpi'!V265),"",'Incurred 2.5% cpi'!V265/'Incurred 2.5% cpi'!V$17*Incurred!V$17*BK265)</f>
        <v>187668.10070785036</v>
      </c>
      <c r="W265" s="110" t="str">
        <f>IF(ISTEXT('Incurred 2.5% cpi'!W265),"",'Incurred 2.5% cpi'!W265/'Incurred 2.5% cpi'!W$17*Incurred!W$17*BL265)</f>
        <v/>
      </c>
      <c r="X265" s="102" t="str">
        <f>IF(ISTEXT('Incurred 2.5% cpi'!X265),"",'Incurred 2.5% cpi'!X265/'Incurred 2.5% cpi'!X$17*Incurred!X$17*BM265)</f>
        <v/>
      </c>
      <c r="Y265" s="80">
        <f t="shared" si="353"/>
        <v>588094.27261717059</v>
      </c>
      <c r="Z265" s="80">
        <f t="shared" si="408"/>
        <v>588094.27261717059</v>
      </c>
      <c r="AA265" s="566">
        <f t="shared" si="414"/>
        <v>613057.55008777627</v>
      </c>
      <c r="AB265" s="566">
        <f t="shared" si="419"/>
        <v>598104.92691490368</v>
      </c>
      <c r="AC265" s="567">
        <f t="shared" si="387"/>
        <v>1.0249999999999999</v>
      </c>
      <c r="AD265" s="568" t="str">
        <f t="shared" si="420"/>
        <v>2022</v>
      </c>
      <c r="AE265" s="569">
        <v>44404</v>
      </c>
      <c r="AF265" s="568">
        <v>2022</v>
      </c>
      <c r="AG265" s="569"/>
      <c r="AH265" s="566">
        <f t="shared" si="415"/>
        <v>541853.54419646738</v>
      </c>
      <c r="AI265" s="80">
        <f t="shared" si="421"/>
        <v>187668.10070785036</v>
      </c>
      <c r="AJ265" s="571" t="s">
        <v>3035</v>
      </c>
      <c r="AK265" s="875">
        <f t="shared" si="430"/>
        <v>383000.00000000058</v>
      </c>
      <c r="AL265" s="28">
        <f t="shared" si="416"/>
        <v>0.69973890339425593</v>
      </c>
      <c r="AM265" s="28">
        <f t="shared" si="416"/>
        <v>0</v>
      </c>
      <c r="AN265" s="28">
        <f t="shared" si="416"/>
        <v>0</v>
      </c>
      <c r="AO265" s="28">
        <f t="shared" si="416"/>
        <v>0</v>
      </c>
      <c r="AP265" s="28">
        <f t="shared" si="416"/>
        <v>0</v>
      </c>
      <c r="AQ265" s="28">
        <f t="shared" si="416"/>
        <v>0</v>
      </c>
      <c r="AR265" s="28">
        <f t="shared" si="416"/>
        <v>0</v>
      </c>
      <c r="AS265" s="28">
        <f t="shared" si="416"/>
        <v>0.30026109660574407</v>
      </c>
      <c r="AT265" s="28">
        <f t="shared" si="416"/>
        <v>0</v>
      </c>
      <c r="AU265" s="28">
        <f t="shared" si="416"/>
        <v>0</v>
      </c>
      <c r="AV265" s="28">
        <f t="shared" si="417"/>
        <v>0</v>
      </c>
      <c r="AW265" s="28">
        <f t="shared" si="417"/>
        <v>0</v>
      </c>
      <c r="AX265" s="28">
        <f t="shared" si="417"/>
        <v>0</v>
      </c>
      <c r="AY265" s="28">
        <f t="shared" si="417"/>
        <v>0</v>
      </c>
      <c r="AZ265" s="28">
        <f t="shared" si="417"/>
        <v>0</v>
      </c>
      <c r="BA265" s="28">
        <f t="shared" si="417"/>
        <v>0</v>
      </c>
      <c r="BB265" s="28">
        <f t="shared" si="417"/>
        <v>0</v>
      </c>
      <c r="BC265" s="28">
        <f t="shared" si="417"/>
        <v>0</v>
      </c>
      <c r="BD265" s="28">
        <f t="shared" si="417"/>
        <v>0</v>
      </c>
      <c r="BE265" s="28">
        <f t="shared" si="417"/>
        <v>0</v>
      </c>
      <c r="BF265" s="27">
        <f t="shared" si="418"/>
        <v>1</v>
      </c>
      <c r="BG265" s="520">
        <f t="shared" si="393"/>
        <v>1.0023493896625941</v>
      </c>
      <c r="BH265" s="520">
        <f t="shared" si="422"/>
        <v>1.0044896031627912</v>
      </c>
      <c r="BI265" s="520">
        <f t="shared" si="423"/>
        <v>1.0068058919661647</v>
      </c>
      <c r="BJ265" s="520">
        <f t="shared" si="424"/>
        <v>1.0094814768457638</v>
      </c>
      <c r="BK265" s="520">
        <f t="shared" si="425"/>
        <v>1.013379480668676</v>
      </c>
      <c r="BL265" s="520">
        <f t="shared" si="426"/>
        <v>1.0177640429612318</v>
      </c>
      <c r="BM265" s="520">
        <f t="shared" si="427"/>
        <v>1.0206993883788484</v>
      </c>
      <c r="BN265" s="521" t="str">
        <f t="shared" si="428"/>
        <v>Project</v>
      </c>
      <c r="BP265" s="3"/>
    </row>
    <row r="266" spans="1:68" hidden="1" x14ac:dyDescent="0.15">
      <c r="A266" s="12" t="s">
        <v>541</v>
      </c>
      <c r="B266" s="13" t="s">
        <v>542</v>
      </c>
      <c r="C266" s="13" t="s">
        <v>27</v>
      </c>
      <c r="D266" s="13" t="s">
        <v>54</v>
      </c>
      <c r="E266" s="13" t="s">
        <v>112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5">
        <v>0</v>
      </c>
      <c r="N266" s="670"/>
      <c r="O266" s="14"/>
      <c r="P266" s="15"/>
      <c r="Q266" s="15" t="str">
        <f>IF(ISTEXT('Incurred 2.5% cpi'!Q266),"",'Incurred 2.5% cpi'!Q266/'Incurred 2.5% cpi'!Q$17*Incurred!Q$17)</f>
        <v/>
      </c>
      <c r="R266" s="110" t="str">
        <f>IF(ISTEXT('Incurred 2.5% cpi'!R266),"",'Incurred 2.5% cpi'!R266/'Incurred 2.5% cpi'!R$17*Incurred!R$17*BG266)</f>
        <v/>
      </c>
      <c r="S266" s="102">
        <f>IF(ISTEXT('Incurred 2.5% cpi'!S266),"",'Incurred 2.5% cpi'!S266/'Incurred 2.5% cpi'!S$17*Incurred!S$17*BH266)</f>
        <v>107293.27135743131</v>
      </c>
      <c r="T266" s="16">
        <f>IF(ISTEXT('Incurred 2.5% cpi'!T266),"",'Incurred 2.5% cpi'!T266/'Incurred 2.5% cpi'!T$17*Incurred!T$17*BI266)</f>
        <v>1235517.0299118508</v>
      </c>
      <c r="U266" s="16">
        <f>IF(ISTEXT('Incurred 2.5% cpi'!U266),"",'Incurred 2.5% cpi'!U266/'Incurred 2.5% cpi'!U$17*Incurred!U$17*BJ266)</f>
        <v>98847.618114164346</v>
      </c>
      <c r="V266" s="16" t="str">
        <f>IF(ISTEXT('Incurred 2.5% cpi'!V266),"",'Incurred 2.5% cpi'!V266/'Incurred 2.5% cpi'!V$17*Incurred!V$17*BK266)</f>
        <v/>
      </c>
      <c r="W266" s="110" t="str">
        <f>IF(ISTEXT('Incurred 2.5% cpi'!W266),"",'Incurred 2.5% cpi'!W266/'Incurred 2.5% cpi'!W$17*Incurred!W$17*BL266)</f>
        <v/>
      </c>
      <c r="X266" s="102" t="str">
        <f>IF(ISTEXT('Incurred 2.5% cpi'!X266),"",'Incurred 2.5% cpi'!X266/'Incurred 2.5% cpi'!X$17*Incurred!X$17*BM266)</f>
        <v/>
      </c>
      <c r="Y266" s="80">
        <f t="shared" si="353"/>
        <v>1441657.9193834465</v>
      </c>
      <c r="Z266" s="80">
        <f t="shared" ref="Z266:Z285" si="431">-SUMIFS(F266:W266,F266:W266,"&lt;0")+SUMIFS(F266:W266,F266:W266,"&gt;0")</f>
        <v>1441657.9193834465</v>
      </c>
      <c r="AA266" s="566">
        <f t="shared" si="414"/>
        <v>1552800.1813227693</v>
      </c>
      <c r="AB266" s="566">
        <f t="shared" si="419"/>
        <v>1441929.3336524027</v>
      </c>
      <c r="AC266" s="567">
        <f t="shared" si="387"/>
        <v>1.0768906249999999</v>
      </c>
      <c r="AD266" s="568" t="str">
        <f t="shared" si="420"/>
        <v>2021</v>
      </c>
      <c r="AE266" s="569">
        <v>43985</v>
      </c>
      <c r="AF266" s="568">
        <v>2020</v>
      </c>
      <c r="AG266" s="569"/>
      <c r="AH266" s="566">
        <f t="shared" si="415"/>
        <v>1372449.0980629651</v>
      </c>
      <c r="AI266" s="80">
        <f t="shared" si="421"/>
        <v>98847.618114164346</v>
      </c>
      <c r="AJ266" s="571" t="s">
        <v>3035</v>
      </c>
      <c r="AK266" s="875">
        <f t="shared" si="430"/>
        <v>749999.96250000002</v>
      </c>
      <c r="AL266" s="28">
        <f t="shared" si="416"/>
        <v>0</v>
      </c>
      <c r="AM266" s="28">
        <f t="shared" si="416"/>
        <v>0.29999996499999831</v>
      </c>
      <c r="AN266" s="28">
        <f t="shared" si="416"/>
        <v>0.60000003000000146</v>
      </c>
      <c r="AO266" s="28">
        <f t="shared" si="416"/>
        <v>0</v>
      </c>
      <c r="AP266" s="28">
        <f t="shared" si="416"/>
        <v>0</v>
      </c>
      <c r="AQ266" s="28">
        <f t="shared" si="416"/>
        <v>0</v>
      </c>
      <c r="AR266" s="28">
        <f t="shared" si="416"/>
        <v>0</v>
      </c>
      <c r="AS266" s="28">
        <f t="shared" si="416"/>
        <v>0</v>
      </c>
      <c r="AT266" s="28">
        <f t="shared" si="416"/>
        <v>0</v>
      </c>
      <c r="AU266" s="28">
        <f t="shared" si="416"/>
        <v>0</v>
      </c>
      <c r="AV266" s="28">
        <f t="shared" si="417"/>
        <v>0</v>
      </c>
      <c r="AW266" s="28">
        <f t="shared" si="417"/>
        <v>0</v>
      </c>
      <c r="AX266" s="28">
        <f t="shared" si="417"/>
        <v>0</v>
      </c>
      <c r="AY266" s="28">
        <f t="shared" si="417"/>
        <v>0</v>
      </c>
      <c r="AZ266" s="28">
        <f t="shared" si="417"/>
        <v>0</v>
      </c>
      <c r="BA266" s="28">
        <f t="shared" si="417"/>
        <v>0.10000000500000025</v>
      </c>
      <c r="BB266" s="28">
        <f t="shared" si="417"/>
        <v>0</v>
      </c>
      <c r="BC266" s="28">
        <f t="shared" si="417"/>
        <v>0</v>
      </c>
      <c r="BD266" s="28">
        <f t="shared" si="417"/>
        <v>0</v>
      </c>
      <c r="BE266" s="28">
        <f t="shared" si="417"/>
        <v>0</v>
      </c>
      <c r="BF266" s="27">
        <f t="shared" si="418"/>
        <v>1</v>
      </c>
      <c r="BG266" s="520">
        <f t="shared" si="393"/>
        <v>1.0024048082105217</v>
      </c>
      <c r="BH266" s="520">
        <f t="shared" si="422"/>
        <v>1.0045955061094221</v>
      </c>
      <c r="BI266" s="520">
        <f t="shared" si="423"/>
        <v>1.00696643266153</v>
      </c>
      <c r="BJ266" s="520">
        <f t="shared" si="424"/>
        <v>1.0097051305407498</v>
      </c>
      <c r="BK266" s="520">
        <f t="shared" si="425"/>
        <v>1.0136950823768511</v>
      </c>
      <c r="BL266" s="520">
        <f t="shared" si="426"/>
        <v>1.0181830698608172</v>
      </c>
      <c r="BM266" s="520">
        <f t="shared" si="427"/>
        <v>1.0211876556361745</v>
      </c>
      <c r="BN266" s="521" t="str">
        <f t="shared" si="428"/>
        <v>Project</v>
      </c>
      <c r="BP266" s="3"/>
    </row>
    <row r="267" spans="1:68" hidden="1" x14ac:dyDescent="0.15">
      <c r="A267" s="12" t="s">
        <v>543</v>
      </c>
      <c r="B267" s="13" t="s">
        <v>544</v>
      </c>
      <c r="C267" s="13" t="s">
        <v>27</v>
      </c>
      <c r="D267" s="13" t="s">
        <v>36</v>
      </c>
      <c r="E267" s="13" t="s">
        <v>112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5">
        <v>0</v>
      </c>
      <c r="N267" s="670"/>
      <c r="O267" s="14"/>
      <c r="P267" s="15"/>
      <c r="Q267" s="15" t="str">
        <f>IF(ISTEXT('Incurred 2.5% cpi'!Q267),"",'Incurred 2.5% cpi'!Q267/'Incurred 2.5% cpi'!Q$17*Incurred!Q$17)</f>
        <v/>
      </c>
      <c r="R267" s="110" t="str">
        <f>IF(ISTEXT('Incurred 2.5% cpi'!R267),"",'Incurred 2.5% cpi'!R267/'Incurred 2.5% cpi'!R$17*Incurred!R$17*BG267)</f>
        <v/>
      </c>
      <c r="S267" s="102" t="str">
        <f>IF(ISTEXT('Incurred 2.5% cpi'!S267),"",'Incurred 2.5% cpi'!S267/'Incurred 2.5% cpi'!S$17*Incurred!S$17*BH267)</f>
        <v/>
      </c>
      <c r="T267" s="16" t="str">
        <f>IF(ISTEXT('Incurred 2.5% cpi'!T267),"",'Incurred 2.5% cpi'!T267/'Incurred 2.5% cpi'!T$17*Incurred!T$17*BI267)</f>
        <v/>
      </c>
      <c r="U267" s="16" t="str">
        <f>IF(ISTEXT('Incurred 2.5% cpi'!U267),"",'Incurred 2.5% cpi'!U267/'Incurred 2.5% cpi'!U$17*Incurred!U$17*BJ267)</f>
        <v/>
      </c>
      <c r="V267" s="16" t="str">
        <f>IF(ISTEXT('Incurred 2.5% cpi'!V267),"",'Incurred 2.5% cpi'!V267/'Incurred 2.5% cpi'!V$17*Incurred!V$17*BK267)</f>
        <v/>
      </c>
      <c r="W267" s="110">
        <f>IF(ISTEXT('Incurred 2.5% cpi'!W267),"",'Incurred 2.5% cpi'!W267/'Incurred 2.5% cpi'!W$17*Incurred!W$17*BL267)</f>
        <v>134574.99865764257</v>
      </c>
      <c r="X267" s="102">
        <f>IF(ISTEXT('Incurred 2.5% cpi'!X267),"",'Incurred 2.5% cpi'!X267/'Incurred 2.5% cpi'!X$17*Incurred!X$17*BM267)</f>
        <v>74.39469884198455</v>
      </c>
      <c r="Y267" s="80">
        <f t="shared" si="353"/>
        <v>134574.99865764257</v>
      </c>
      <c r="Z267" s="80">
        <f t="shared" si="431"/>
        <v>134574.99865764257</v>
      </c>
      <c r="AA267" s="566">
        <f t="shared" si="414"/>
        <v>134574.99865764257</v>
      </c>
      <c r="AB267" s="566">
        <f t="shared" si="419"/>
        <v>134574.99865764257</v>
      </c>
      <c r="AC267" s="567">
        <f t="shared" si="387"/>
        <v>1</v>
      </c>
      <c r="AD267" s="568" t="str">
        <f>IF(AI267=0,"",INDEX($F$24:$X$24,1,MATCH(AI267,F267:X267,0)))</f>
        <v>2024</v>
      </c>
      <c r="AE267" s="569">
        <v>45050</v>
      </c>
      <c r="AF267" s="568">
        <v>2023</v>
      </c>
      <c r="AG267" s="569"/>
      <c r="AH267" s="566">
        <f t="shared" si="415"/>
        <v>118944.68956860239</v>
      </c>
      <c r="AI267" s="80">
        <f t="shared" si="421"/>
        <v>74.39469884198455</v>
      </c>
      <c r="AJ267" s="571" t="s">
        <v>3035</v>
      </c>
      <c r="AK267" s="875">
        <f t="shared" si="430"/>
        <v>84000.000000000044</v>
      </c>
      <c r="AL267" s="28">
        <f t="shared" ref="AL267:AU275" si="432">IF($AK267=0,VLOOKUP(MID($A267,4,5),ProjectSplits,AL$23,FALSE),IF(ISNA(VLOOKUP($A267,Estimates,AL$22,FALSE)),VLOOKUP(MID($A267,4,5),ProjectSplits,AL$23,FALSE),VLOOKUP($A267,Estimates,AL$22,FALSE)))</f>
        <v>1</v>
      </c>
      <c r="AM267" s="28">
        <f t="shared" si="432"/>
        <v>0</v>
      </c>
      <c r="AN267" s="28">
        <f t="shared" si="432"/>
        <v>0</v>
      </c>
      <c r="AO267" s="28">
        <f t="shared" si="432"/>
        <v>0</v>
      </c>
      <c r="AP267" s="28">
        <f t="shared" si="432"/>
        <v>0</v>
      </c>
      <c r="AQ267" s="28">
        <f t="shared" si="432"/>
        <v>0</v>
      </c>
      <c r="AR267" s="28">
        <f t="shared" si="432"/>
        <v>0</v>
      </c>
      <c r="AS267" s="28">
        <f t="shared" si="432"/>
        <v>0</v>
      </c>
      <c r="AT267" s="28">
        <f t="shared" si="432"/>
        <v>0</v>
      </c>
      <c r="AU267" s="28">
        <f t="shared" si="432"/>
        <v>0</v>
      </c>
      <c r="AV267" s="28">
        <f t="shared" ref="AV267:BE275" si="433">IF($AK267=0,VLOOKUP(MID($A267,4,5),ProjectSplits,AV$23,FALSE),IF(ISNA(VLOOKUP($A267,Estimates,AV$22,FALSE)),VLOOKUP(MID($A267,4,5),ProjectSplits,AV$23,FALSE),VLOOKUP($A267,Estimates,AV$22,FALSE)))</f>
        <v>0</v>
      </c>
      <c r="AW267" s="28">
        <f t="shared" si="433"/>
        <v>0</v>
      </c>
      <c r="AX267" s="28">
        <f t="shared" si="433"/>
        <v>0</v>
      </c>
      <c r="AY267" s="28">
        <f t="shared" si="433"/>
        <v>0</v>
      </c>
      <c r="AZ267" s="28">
        <f t="shared" si="433"/>
        <v>0</v>
      </c>
      <c r="BA267" s="28">
        <f t="shared" si="433"/>
        <v>0</v>
      </c>
      <c r="BB267" s="28">
        <f t="shared" si="433"/>
        <v>0</v>
      </c>
      <c r="BC267" s="28">
        <f t="shared" si="433"/>
        <v>0</v>
      </c>
      <c r="BD267" s="28">
        <f t="shared" si="433"/>
        <v>0</v>
      </c>
      <c r="BE267" s="28">
        <f t="shared" si="433"/>
        <v>0</v>
      </c>
      <c r="BF267" s="27">
        <f t="shared" si="418"/>
        <v>1</v>
      </c>
      <c r="BG267" s="520">
        <f t="shared" si="393"/>
        <v>1.0014128840484184</v>
      </c>
      <c r="BH267" s="520">
        <f t="shared" si="422"/>
        <v>1.0026999730157291</v>
      </c>
      <c r="BI267" s="520">
        <f t="shared" si="423"/>
        <v>1.0040929507554044</v>
      </c>
      <c r="BJ267" s="520">
        <f t="shared" si="424"/>
        <v>1.0057020032070956</v>
      </c>
      <c r="BK267" s="520">
        <f t="shared" si="425"/>
        <v>1.0080461981738795</v>
      </c>
      <c r="BL267" s="520">
        <f t="shared" si="426"/>
        <v>1.0106830013492238</v>
      </c>
      <c r="BM267" s="520">
        <f t="shared" si="427"/>
        <v>1.0124482694880859</v>
      </c>
      <c r="BN267" s="521" t="str">
        <f t="shared" si="428"/>
        <v>Project</v>
      </c>
      <c r="BP267" s="3"/>
    </row>
    <row r="268" spans="1:68" hidden="1" x14ac:dyDescent="0.15">
      <c r="A268" s="12" t="s">
        <v>545</v>
      </c>
      <c r="B268" s="13" t="s">
        <v>546</v>
      </c>
      <c r="C268" s="13" t="s">
        <v>27</v>
      </c>
      <c r="D268" s="13" t="s">
        <v>40</v>
      </c>
      <c r="E268" s="13" t="s">
        <v>29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5">
        <v>0</v>
      </c>
      <c r="N268" s="670"/>
      <c r="O268" s="14"/>
      <c r="P268" s="15"/>
      <c r="Q268" s="15">
        <f>IF(ISTEXT('Incurred 2.5% cpi'!Q268),"",'Incurred 2.5% cpi'!Q268/'Incurred 2.5% cpi'!Q$17*Incurred!Q$17)</f>
        <v>125770.66</v>
      </c>
      <c r="R268" s="110">
        <f>IF(ISTEXT('Incurred 2.5% cpi'!R268),"",'Incurred 2.5% cpi'!R268/'Incurred 2.5% cpi'!R$17*Incurred!R$17*BG268)</f>
        <v>709026.46734372713</v>
      </c>
      <c r="S268" s="102">
        <f>IF(ISTEXT('Incurred 2.5% cpi'!S268),"",'Incurred 2.5% cpi'!S268/'Incurred 2.5% cpi'!S$17*Incurred!S$17*BH268)</f>
        <v>50759.829136085718</v>
      </c>
      <c r="T268" s="16" t="str">
        <f>IF(ISTEXT('Incurred 2.5% cpi'!T268),"",'Incurred 2.5% cpi'!T268/'Incurred 2.5% cpi'!T$17*Incurred!T$17*BI268)</f>
        <v/>
      </c>
      <c r="U268" s="16" t="str">
        <f>IF(ISTEXT('Incurred 2.5% cpi'!U268),"",'Incurred 2.5% cpi'!U268/'Incurred 2.5% cpi'!U$17*Incurred!U$17*BJ268)</f>
        <v/>
      </c>
      <c r="V268" s="16" t="str">
        <f>IF(ISTEXT('Incurred 2.5% cpi'!V268),"",'Incurred 2.5% cpi'!V268/'Incurred 2.5% cpi'!V$17*Incurred!V$17*BK268)</f>
        <v/>
      </c>
      <c r="W268" s="110" t="str">
        <f>IF(ISTEXT('Incurred 2.5% cpi'!W268),"",'Incurred 2.5% cpi'!W268/'Incurred 2.5% cpi'!W$17*Incurred!W$17*BL268)</f>
        <v/>
      </c>
      <c r="X268" s="102" t="str">
        <f>IF(ISTEXT('Incurred 2.5% cpi'!X268),"",'Incurred 2.5% cpi'!X268/'Incurred 2.5% cpi'!X$17*Incurred!X$17*BM268)</f>
        <v/>
      </c>
      <c r="Y268" s="80">
        <f t="shared" ref="Y268:Y331" si="434">SUM(F268:W268)</f>
        <v>885556.95647981286</v>
      </c>
      <c r="Z268" s="80">
        <f t="shared" si="431"/>
        <v>885556.95647981286</v>
      </c>
      <c r="AA268" s="566">
        <f t="shared" si="414"/>
        <v>1004083.1286421441</v>
      </c>
      <c r="AB268" s="566">
        <f t="shared" si="419"/>
        <v>887463.17836673756</v>
      </c>
      <c r="AC268" s="567">
        <f t="shared" si="387"/>
        <v>1.1314082128906247</v>
      </c>
      <c r="AD268" s="568" t="str">
        <f t="shared" si="420"/>
        <v>2019</v>
      </c>
      <c r="AE268" s="569">
        <v>43174</v>
      </c>
      <c r="AF268" s="568">
        <v>2018</v>
      </c>
      <c r="AG268" s="569"/>
      <c r="AH268" s="566">
        <f t="shared" si="415"/>
        <v>887463.17836673756</v>
      </c>
      <c r="AI268" s="80">
        <f t="shared" si="421"/>
        <v>50759.829136085718</v>
      </c>
      <c r="AJ268" s="571" t="s">
        <v>0</v>
      </c>
      <c r="AK268" s="875">
        <f t="shared" si="430"/>
        <v>379700.01500794443</v>
      </c>
      <c r="AL268" s="28">
        <f t="shared" si="432"/>
        <v>0</v>
      </c>
      <c r="AM268" s="28">
        <f t="shared" si="432"/>
        <v>0</v>
      </c>
      <c r="AN268" s="28">
        <f t="shared" si="432"/>
        <v>7.9009741412236476E-2</v>
      </c>
      <c r="AO268" s="28">
        <f t="shared" si="432"/>
        <v>0</v>
      </c>
      <c r="AP268" s="28">
        <f t="shared" si="432"/>
        <v>0</v>
      </c>
      <c r="AQ268" s="28">
        <f t="shared" si="432"/>
        <v>0</v>
      </c>
      <c r="AR268" s="28">
        <f t="shared" si="432"/>
        <v>0</v>
      </c>
      <c r="AS268" s="28">
        <f t="shared" si="432"/>
        <v>0</v>
      </c>
      <c r="AT268" s="28">
        <f t="shared" si="432"/>
        <v>0</v>
      </c>
      <c r="AU268" s="28">
        <f t="shared" si="432"/>
        <v>0</v>
      </c>
      <c r="AV268" s="28">
        <f t="shared" si="433"/>
        <v>0</v>
      </c>
      <c r="AW268" s="28">
        <f t="shared" si="433"/>
        <v>0</v>
      </c>
      <c r="AX268" s="28">
        <f t="shared" si="433"/>
        <v>0</v>
      </c>
      <c r="AY268" s="28">
        <f t="shared" si="433"/>
        <v>0</v>
      </c>
      <c r="AZ268" s="28">
        <f t="shared" si="433"/>
        <v>0.92099025858776351</v>
      </c>
      <c r="BA268" s="28">
        <f t="shared" si="433"/>
        <v>0</v>
      </c>
      <c r="BB268" s="28">
        <f t="shared" si="433"/>
        <v>0</v>
      </c>
      <c r="BC268" s="28">
        <f t="shared" si="433"/>
        <v>0</v>
      </c>
      <c r="BD268" s="28">
        <f t="shared" si="433"/>
        <v>0</v>
      </c>
      <c r="BE268" s="28">
        <f t="shared" si="433"/>
        <v>0</v>
      </c>
      <c r="BF268" s="27">
        <f t="shared" si="418"/>
        <v>1</v>
      </c>
      <c r="BG268" s="520">
        <f t="shared" si="393"/>
        <v>1.0034498951996242</v>
      </c>
      <c r="BH268" s="520">
        <f t="shared" si="422"/>
        <v>1.0065926315443261</v>
      </c>
      <c r="BI268" s="520">
        <f t="shared" si="423"/>
        <v>1.0099939207178206</v>
      </c>
      <c r="BJ268" s="520">
        <f t="shared" si="424"/>
        <v>1.0139228081132494</v>
      </c>
      <c r="BK268" s="520">
        <f t="shared" si="425"/>
        <v>1.0196467222390713</v>
      </c>
      <c r="BL268" s="520">
        <f t="shared" si="426"/>
        <v>1.0260851094706045</v>
      </c>
      <c r="BM268" s="520">
        <f t="shared" si="427"/>
        <v>1.0303954349252136</v>
      </c>
      <c r="BN268" s="521" t="str">
        <f t="shared" si="428"/>
        <v>Category</v>
      </c>
      <c r="BP268" s="3"/>
    </row>
    <row r="269" spans="1:68" hidden="1" x14ac:dyDescent="0.15">
      <c r="A269" s="12" t="s">
        <v>547</v>
      </c>
      <c r="B269" s="13" t="s">
        <v>548</v>
      </c>
      <c r="C269" s="13" t="s">
        <v>27</v>
      </c>
      <c r="D269" s="13" t="s">
        <v>40</v>
      </c>
      <c r="E269" s="13" t="s">
        <v>112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5">
        <v>0</v>
      </c>
      <c r="N269" s="670"/>
      <c r="O269" s="14"/>
      <c r="P269" s="15"/>
      <c r="Q269" s="15" t="str">
        <f>IF(ISTEXT('Incurred 2.5% cpi'!Q269),"",'Incurred 2.5% cpi'!Q269/'Incurred 2.5% cpi'!Q$17*Incurred!Q$17)</f>
        <v/>
      </c>
      <c r="R269" s="110" t="str">
        <f>IF(ISTEXT('Incurred 2.5% cpi'!R269),"",'Incurred 2.5% cpi'!R269/'Incurred 2.5% cpi'!R$17*Incurred!R$17*BG269)</f>
        <v/>
      </c>
      <c r="S269" s="102">
        <f>IF(ISTEXT('Incurred 2.5% cpi'!S269),"",'Incurred 2.5% cpi'!S269/'Incurred 2.5% cpi'!S$17*Incurred!S$17*BH269)</f>
        <v>48473.625310986492</v>
      </c>
      <c r="T269" s="16">
        <f>IF(ISTEXT('Incurred 2.5% cpi'!T269),"",'Incurred 2.5% cpi'!T269/'Incurred 2.5% cpi'!T$17*Incurred!T$17*BI269)</f>
        <v>117303.94639097802</v>
      </c>
      <c r="U269" s="16">
        <f>IF(ISTEXT('Incurred 2.5% cpi'!U269),"",'Incurred 2.5% cpi'!U269/'Incurred 2.5% cpi'!U$17*Incurred!U$17*BJ269)</f>
        <v>341589.68077612034</v>
      </c>
      <c r="V269" s="16">
        <f>IF(ISTEXT('Incurred 2.5% cpi'!V269),"",'Incurred 2.5% cpi'!V269/'Incurred 2.5% cpi'!V$17*Incurred!V$17*BK269)</f>
        <v>877808.56545273971</v>
      </c>
      <c r="W269" s="110">
        <f>IF(ISTEXT('Incurred 2.5% cpi'!W269),"",'Incurred 2.5% cpi'!W269/'Incurred 2.5% cpi'!W$17*Incurred!W$17*BL269)</f>
        <v>620960.66668771417</v>
      </c>
      <c r="X269" s="102" t="str">
        <f>IF(ISTEXT('Incurred 2.5% cpi'!X269),"",'Incurred 2.5% cpi'!X269/'Incurred 2.5% cpi'!X$17*Incurred!X$17*BM269)</f>
        <v/>
      </c>
      <c r="Y269" s="80">
        <f t="shared" si="434"/>
        <v>2006136.4846185388</v>
      </c>
      <c r="Z269" s="80">
        <f t="shared" si="431"/>
        <v>2006136.4846185388</v>
      </c>
      <c r="AA269" s="566">
        <f t="shared" si="414"/>
        <v>2059426.4372597237</v>
      </c>
      <c r="AB269" s="566">
        <f t="shared" si="419"/>
        <v>2059426.4372597237</v>
      </c>
      <c r="AC269" s="567">
        <f t="shared" si="387"/>
        <v>1</v>
      </c>
      <c r="AD269" s="568" t="str">
        <f t="shared" si="420"/>
        <v>2023</v>
      </c>
      <c r="AE269" s="569">
        <v>44938</v>
      </c>
      <c r="AF269" s="568">
        <v>2023</v>
      </c>
      <c r="AG269" s="569"/>
      <c r="AH269" s="566">
        <f t="shared" si="415"/>
        <v>1820232.8865883993</v>
      </c>
      <c r="AI269" s="80">
        <f t="shared" si="421"/>
        <v>620960.66668771417</v>
      </c>
      <c r="AJ269" s="571" t="s">
        <v>3037</v>
      </c>
      <c r="AK269" s="875">
        <f t="shared" si="430"/>
        <v>1086032.6174999999</v>
      </c>
      <c r="AL269" s="28">
        <f t="shared" si="432"/>
        <v>0</v>
      </c>
      <c r="AM269" s="28">
        <f t="shared" si="432"/>
        <v>2.7623472828153802E-2</v>
      </c>
      <c r="AN269" s="28">
        <f t="shared" si="432"/>
        <v>0.97237652717184631</v>
      </c>
      <c r="AO269" s="28">
        <f t="shared" si="432"/>
        <v>0</v>
      </c>
      <c r="AP269" s="28">
        <f t="shared" si="432"/>
        <v>0</v>
      </c>
      <c r="AQ269" s="28">
        <f t="shared" si="432"/>
        <v>0</v>
      </c>
      <c r="AR269" s="28">
        <f t="shared" si="432"/>
        <v>0</v>
      </c>
      <c r="AS269" s="28">
        <f t="shared" si="432"/>
        <v>0</v>
      </c>
      <c r="AT269" s="28">
        <f t="shared" si="432"/>
        <v>0</v>
      </c>
      <c r="AU269" s="28">
        <f t="shared" si="432"/>
        <v>0</v>
      </c>
      <c r="AV269" s="28">
        <f t="shared" si="433"/>
        <v>0</v>
      </c>
      <c r="AW269" s="28">
        <f t="shared" si="433"/>
        <v>0</v>
      </c>
      <c r="AX269" s="28">
        <f t="shared" si="433"/>
        <v>0</v>
      </c>
      <c r="AY269" s="28">
        <f t="shared" si="433"/>
        <v>0</v>
      </c>
      <c r="AZ269" s="28">
        <f t="shared" si="433"/>
        <v>0</v>
      </c>
      <c r="BA269" s="28">
        <f t="shared" si="433"/>
        <v>0</v>
      </c>
      <c r="BB269" s="28">
        <f t="shared" si="433"/>
        <v>0</v>
      </c>
      <c r="BC269" s="28">
        <f t="shared" si="433"/>
        <v>0</v>
      </c>
      <c r="BD269" s="28">
        <f t="shared" si="433"/>
        <v>0</v>
      </c>
      <c r="BE269" s="28">
        <f t="shared" si="433"/>
        <v>0</v>
      </c>
      <c r="BF269" s="27">
        <f t="shared" si="418"/>
        <v>1</v>
      </c>
      <c r="BG269" s="520">
        <f t="shared" si="393"/>
        <v>1.0020405547152136</v>
      </c>
      <c r="BH269" s="520">
        <f t="shared" si="422"/>
        <v>1.0038994301580251</v>
      </c>
      <c r="BI269" s="520">
        <f t="shared" si="423"/>
        <v>1.0059112352301141</v>
      </c>
      <c r="BJ269" s="520">
        <f t="shared" si="424"/>
        <v>1.0082351057352699</v>
      </c>
      <c r="BK269" s="520">
        <f t="shared" si="425"/>
        <v>1.0116207042195935</v>
      </c>
      <c r="BL269" s="520">
        <f t="shared" si="426"/>
        <v>1.0154289014729789</v>
      </c>
      <c r="BM269" s="520">
        <f t="shared" si="427"/>
        <v>1.0179783861447063</v>
      </c>
      <c r="BN269" s="521" t="str">
        <f t="shared" si="428"/>
        <v>Project</v>
      </c>
      <c r="BP269" s="3"/>
    </row>
    <row r="270" spans="1:68" hidden="1" x14ac:dyDescent="0.15">
      <c r="A270" s="12" t="s">
        <v>549</v>
      </c>
      <c r="B270" s="13" t="s">
        <v>224</v>
      </c>
      <c r="C270" s="13" t="s">
        <v>27</v>
      </c>
      <c r="D270" s="13" t="s">
        <v>40</v>
      </c>
      <c r="E270" s="13" t="s">
        <v>112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5">
        <v>0</v>
      </c>
      <c r="N270" s="670"/>
      <c r="O270" s="14"/>
      <c r="P270" s="15"/>
      <c r="Q270" s="15" t="str">
        <f>IF(ISTEXT('Incurred 2.5% cpi'!Q270),"",'Incurred 2.5% cpi'!Q270/'Incurred 2.5% cpi'!Q$17*Incurred!Q$17)</f>
        <v/>
      </c>
      <c r="R270" s="110" t="str">
        <f>IF(ISTEXT('Incurred 2.5% cpi'!R270),"",'Incurred 2.5% cpi'!R270/'Incurred 2.5% cpi'!R$17*Incurred!R$17*BG270)</f>
        <v/>
      </c>
      <c r="S270" s="102">
        <f>IF(ISTEXT('Incurred 2.5% cpi'!S270),"",'Incurred 2.5% cpi'!S270/'Incurred 2.5% cpi'!S$17*Incurred!S$17*BH270)</f>
        <v>305680.67991900118</v>
      </c>
      <c r="T270" s="16">
        <f>IF(ISTEXT('Incurred 2.5% cpi'!T270),"",'Incurred 2.5% cpi'!T270/'Incurred 2.5% cpi'!T$17*Incurred!T$17*BI270)</f>
        <v>1703791.6733597943</v>
      </c>
      <c r="U270" s="16">
        <f>IF(ISTEXT('Incurred 2.5% cpi'!U270),"",'Incurred 2.5% cpi'!U270/'Incurred 2.5% cpi'!U$17*Incurred!U$17*BJ270)</f>
        <v>1659846.3902028925</v>
      </c>
      <c r="V270" s="16" t="str">
        <f>IF(ISTEXT('Incurred 2.5% cpi'!V270),"",'Incurred 2.5% cpi'!V270/'Incurred 2.5% cpi'!V$17*Incurred!V$17*BK270)</f>
        <v/>
      </c>
      <c r="W270" s="110" t="str">
        <f>IF(ISTEXT('Incurred 2.5% cpi'!W270),"",'Incurred 2.5% cpi'!W270/'Incurred 2.5% cpi'!W$17*Incurred!W$17*BL270)</f>
        <v/>
      </c>
      <c r="X270" s="102" t="str">
        <f>IF(ISTEXT('Incurred 2.5% cpi'!X270),"",'Incurred 2.5% cpi'!X270/'Incurred 2.5% cpi'!X$17*Incurred!X$17*BM270)</f>
        <v/>
      </c>
      <c r="Y270" s="80">
        <f t="shared" si="434"/>
        <v>3669318.7434816882</v>
      </c>
      <c r="Z270" s="80">
        <f t="shared" si="431"/>
        <v>3669318.7434816882</v>
      </c>
      <c r="AA270" s="566">
        <f t="shared" si="414"/>
        <v>3916087.668610746</v>
      </c>
      <c r="AB270" s="566">
        <f t="shared" si="419"/>
        <v>3727388.619736582</v>
      </c>
      <c r="AC270" s="567">
        <f t="shared" si="387"/>
        <v>1.0506249999999999</v>
      </c>
      <c r="AD270" s="568" t="str">
        <f t="shared" si="420"/>
        <v>2021</v>
      </c>
      <c r="AE270" s="569">
        <v>44266</v>
      </c>
      <c r="AF270" s="568">
        <v>2021</v>
      </c>
      <c r="AG270" s="569"/>
      <c r="AH270" s="566">
        <f t="shared" si="415"/>
        <v>3461250.8765563658</v>
      </c>
      <c r="AI270" s="80">
        <f t="shared" si="421"/>
        <v>1659846.3902028925</v>
      </c>
      <c r="AJ270" s="571" t="s">
        <v>3035</v>
      </c>
      <c r="AK270" s="875">
        <f t="shared" si="430"/>
        <v>1785000.0000000007</v>
      </c>
      <c r="AL270" s="28">
        <f t="shared" si="432"/>
        <v>0</v>
      </c>
      <c r="AM270" s="28">
        <f t="shared" si="432"/>
        <v>0</v>
      </c>
      <c r="AN270" s="28">
        <f t="shared" si="432"/>
        <v>0</v>
      </c>
      <c r="AO270" s="28">
        <f t="shared" si="432"/>
        <v>0</v>
      </c>
      <c r="AP270" s="28">
        <f t="shared" si="432"/>
        <v>0</v>
      </c>
      <c r="AQ270" s="28">
        <f t="shared" si="432"/>
        <v>0</v>
      </c>
      <c r="AR270" s="28">
        <f t="shared" si="432"/>
        <v>0</v>
      </c>
      <c r="AS270" s="28">
        <f t="shared" si="432"/>
        <v>0</v>
      </c>
      <c r="AT270" s="28">
        <f t="shared" si="432"/>
        <v>0</v>
      </c>
      <c r="AU270" s="28">
        <f t="shared" si="432"/>
        <v>0</v>
      </c>
      <c r="AV270" s="28">
        <f t="shared" si="433"/>
        <v>0</v>
      </c>
      <c r="AW270" s="28">
        <f t="shared" si="433"/>
        <v>0</v>
      </c>
      <c r="AX270" s="28">
        <f t="shared" si="433"/>
        <v>0</v>
      </c>
      <c r="AY270" s="28">
        <f t="shared" si="433"/>
        <v>0</v>
      </c>
      <c r="AZ270" s="28">
        <f t="shared" si="433"/>
        <v>1</v>
      </c>
      <c r="BA270" s="28">
        <f t="shared" si="433"/>
        <v>0</v>
      </c>
      <c r="BB270" s="28">
        <f t="shared" si="433"/>
        <v>0</v>
      </c>
      <c r="BC270" s="28">
        <f t="shared" si="433"/>
        <v>0</v>
      </c>
      <c r="BD270" s="28">
        <f t="shared" si="433"/>
        <v>0</v>
      </c>
      <c r="BE270" s="28">
        <f t="shared" si="433"/>
        <v>0</v>
      </c>
      <c r="BF270" s="27">
        <f t="shared" si="418"/>
        <v>1</v>
      </c>
      <c r="BG270" s="520">
        <f t="shared" si="393"/>
        <v>1.0042108617050511</v>
      </c>
      <c r="BH270" s="520">
        <f t="shared" si="422"/>
        <v>1.0080468124679667</v>
      </c>
      <c r="BI270" s="520">
        <f t="shared" si="423"/>
        <v>1.0121983467899465</v>
      </c>
      <c r="BJ270" s="520">
        <f t="shared" si="424"/>
        <v>1.0169938552096431</v>
      </c>
      <c r="BK270" s="520">
        <f t="shared" si="425"/>
        <v>1.0239803314359499</v>
      </c>
      <c r="BL270" s="520">
        <f t="shared" si="426"/>
        <v>1.0318388768893034</v>
      </c>
      <c r="BM270" s="520">
        <f t="shared" si="427"/>
        <v>1.037099959717297</v>
      </c>
      <c r="BN270" s="521" t="str">
        <f t="shared" si="428"/>
        <v>Project</v>
      </c>
      <c r="BP270" s="3"/>
    </row>
    <row r="271" spans="1:68" hidden="1" x14ac:dyDescent="0.15">
      <c r="A271" s="12" t="s">
        <v>550</v>
      </c>
      <c r="B271" s="13" t="s">
        <v>551</v>
      </c>
      <c r="C271" s="13" t="s">
        <v>27</v>
      </c>
      <c r="D271" s="13" t="s">
        <v>54</v>
      </c>
      <c r="E271" s="13" t="s">
        <v>112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5">
        <v>0</v>
      </c>
      <c r="N271" s="670"/>
      <c r="O271" s="14"/>
      <c r="P271" s="15"/>
      <c r="Q271" s="15" t="str">
        <f>IF(ISTEXT('Incurred 2.5% cpi'!Q271),"",'Incurred 2.5% cpi'!Q271/'Incurred 2.5% cpi'!Q$17*Incurred!Q$17)</f>
        <v/>
      </c>
      <c r="R271" s="110">
        <f>IF(ISTEXT('Incurred 2.5% cpi'!R271),"",'Incurred 2.5% cpi'!R271/'Incurred 2.5% cpi'!R$17*Incurred!R$17*BG271)</f>
        <v>278043.33850177424</v>
      </c>
      <c r="S271" s="102">
        <f>IF(ISTEXT('Incurred 2.5% cpi'!S271),"",'Incurred 2.5% cpi'!S271/'Incurred 2.5% cpi'!S$17*Incurred!S$17*BH271)</f>
        <v>2827206.3822550867</v>
      </c>
      <c r="T271" s="16">
        <f>IF(ISTEXT('Incurred 2.5% cpi'!T271),"",'Incurred 2.5% cpi'!T271/'Incurred 2.5% cpi'!T$17*Incurred!T$17*BI271)</f>
        <v>4056086.9452014253</v>
      </c>
      <c r="U271" s="16" t="str">
        <f>IF(ISTEXT('Incurred 2.5% cpi'!U271),"",'Incurred 2.5% cpi'!U271/'Incurred 2.5% cpi'!U$17*Incurred!U$17*BJ271)</f>
        <v/>
      </c>
      <c r="V271" s="16" t="str">
        <f>IF(ISTEXT('Incurred 2.5% cpi'!V271),"",'Incurred 2.5% cpi'!V271/'Incurred 2.5% cpi'!V$17*Incurred!V$17*BK271)</f>
        <v/>
      </c>
      <c r="W271" s="110" t="str">
        <f>IF(ISTEXT('Incurred 2.5% cpi'!W271),"",'Incurred 2.5% cpi'!W271/'Incurred 2.5% cpi'!W$17*Incurred!W$17*BL271)</f>
        <v/>
      </c>
      <c r="X271" s="102" t="str">
        <f>IF(ISTEXT('Incurred 2.5% cpi'!X271),"",'Incurred 2.5% cpi'!X271/'Incurred 2.5% cpi'!X$17*Incurred!X$17*BM271)</f>
        <v/>
      </c>
      <c r="Y271" s="80">
        <f t="shared" si="434"/>
        <v>7161336.6659582863</v>
      </c>
      <c r="Z271" s="80">
        <f t="shared" si="431"/>
        <v>7161336.6659582863</v>
      </c>
      <c r="AA271" s="566">
        <f t="shared" si="414"/>
        <v>7803249.3713831743</v>
      </c>
      <c r="AB271" s="566">
        <f t="shared" si="419"/>
        <v>7246092.7695263159</v>
      </c>
      <c r="AC271" s="567">
        <f t="shared" si="387"/>
        <v>1.0768906249999999</v>
      </c>
      <c r="AD271" s="568" t="str">
        <f t="shared" si="420"/>
        <v>2020</v>
      </c>
      <c r="AE271" s="569">
        <v>43815</v>
      </c>
      <c r="AF271" s="568">
        <v>2020</v>
      </c>
      <c r="AG271" s="569"/>
      <c r="AH271" s="566">
        <f t="shared" si="415"/>
        <v>6896935.4141832869</v>
      </c>
      <c r="AI271" s="80">
        <f t="shared" si="421"/>
        <v>4056086.9452014253</v>
      </c>
      <c r="AJ271" s="571" t="s">
        <v>3035</v>
      </c>
      <c r="AK271" s="875">
        <f t="shared" si="430"/>
        <v>3888801.5634900387</v>
      </c>
      <c r="AL271" s="28">
        <f t="shared" si="432"/>
        <v>0</v>
      </c>
      <c r="AM271" s="28">
        <f t="shared" si="432"/>
        <v>0</v>
      </c>
      <c r="AN271" s="28">
        <f t="shared" si="432"/>
        <v>0</v>
      </c>
      <c r="AO271" s="28">
        <f t="shared" si="432"/>
        <v>0</v>
      </c>
      <c r="AP271" s="28">
        <f t="shared" si="432"/>
        <v>0</v>
      </c>
      <c r="AQ271" s="28">
        <f t="shared" si="432"/>
        <v>1.5428917886504976E-2</v>
      </c>
      <c r="AR271" s="28">
        <f t="shared" si="432"/>
        <v>0</v>
      </c>
      <c r="AS271" s="28">
        <f t="shared" si="432"/>
        <v>0</v>
      </c>
      <c r="AT271" s="28">
        <f t="shared" si="432"/>
        <v>0</v>
      </c>
      <c r="AU271" s="28">
        <f t="shared" si="432"/>
        <v>0.40789629806647021</v>
      </c>
      <c r="AV271" s="28">
        <f t="shared" si="433"/>
        <v>0</v>
      </c>
      <c r="AW271" s="28">
        <f t="shared" si="433"/>
        <v>0.39913936504313302</v>
      </c>
      <c r="AX271" s="28">
        <f t="shared" si="433"/>
        <v>3.08578357702456E-2</v>
      </c>
      <c r="AY271" s="28">
        <f t="shared" si="433"/>
        <v>0</v>
      </c>
      <c r="AZ271" s="28">
        <f t="shared" si="433"/>
        <v>0.13382015166155883</v>
      </c>
      <c r="BA271" s="28">
        <f t="shared" si="433"/>
        <v>1.2857431572087477E-2</v>
      </c>
      <c r="BB271" s="28">
        <f t="shared" si="433"/>
        <v>0</v>
      </c>
      <c r="BC271" s="28">
        <f t="shared" si="433"/>
        <v>0</v>
      </c>
      <c r="BD271" s="28">
        <f t="shared" si="433"/>
        <v>0</v>
      </c>
      <c r="BE271" s="28">
        <f t="shared" si="433"/>
        <v>0</v>
      </c>
      <c r="BF271" s="27">
        <f t="shared" si="418"/>
        <v>1</v>
      </c>
      <c r="BG271" s="520">
        <f t="shared" si="393"/>
        <v>1.0032131679772827</v>
      </c>
      <c r="BH271" s="520">
        <f t="shared" si="422"/>
        <v>1.0061402539319335</v>
      </c>
      <c r="BI271" s="520">
        <f t="shared" si="423"/>
        <v>1.0093081511639832</v>
      </c>
      <c r="BJ271" s="520">
        <f t="shared" si="424"/>
        <v>1.0129674435293616</v>
      </c>
      <c r="BK271" s="520">
        <f t="shared" si="425"/>
        <v>1.0182985902771846</v>
      </c>
      <c r="BL271" s="520">
        <f t="shared" si="426"/>
        <v>1.0242951839360184</v>
      </c>
      <c r="BM271" s="520">
        <f t="shared" si="427"/>
        <v>1.0283097405880361</v>
      </c>
      <c r="BN271" s="521" t="str">
        <f t="shared" si="428"/>
        <v>Project</v>
      </c>
      <c r="BP271" s="3"/>
    </row>
    <row r="272" spans="1:68" hidden="1" x14ac:dyDescent="0.15">
      <c r="A272" s="12" t="s">
        <v>554</v>
      </c>
      <c r="B272" s="13" t="s">
        <v>555</v>
      </c>
      <c r="C272" s="13" t="s">
        <v>27</v>
      </c>
      <c r="D272" s="13" t="s">
        <v>54</v>
      </c>
      <c r="E272" s="13" t="s">
        <v>112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5">
        <v>0</v>
      </c>
      <c r="N272" s="670"/>
      <c r="O272" s="14"/>
      <c r="P272" s="15"/>
      <c r="Q272" s="15" t="str">
        <f>IF(ISTEXT('Incurred 2.5% cpi'!Q272),"",'Incurred 2.5% cpi'!Q272/'Incurred 2.5% cpi'!Q$17*Incurred!Q$17)</f>
        <v/>
      </c>
      <c r="R272" s="110" t="str">
        <f>IF(ISTEXT('Incurred 2.5% cpi'!R272),"",'Incurred 2.5% cpi'!R272/'Incurred 2.5% cpi'!R$17*Incurred!R$17*BG272)</f>
        <v/>
      </c>
      <c r="S272" s="102" t="str">
        <f>IF(ISTEXT('Incurred 2.5% cpi'!S272),"",'Incurred 2.5% cpi'!S272/'Incurred 2.5% cpi'!S$17*Incurred!S$17*BH272)</f>
        <v/>
      </c>
      <c r="T272" s="16" t="str">
        <f>IF(ISTEXT('Incurred 2.5% cpi'!T272),"",'Incurred 2.5% cpi'!T272/'Incurred 2.5% cpi'!T$17*Incurred!T$17*BI272)</f>
        <v/>
      </c>
      <c r="U272" s="16">
        <f>IF(ISTEXT('Incurred 2.5% cpi'!U272),"",'Incurred 2.5% cpi'!U272/'Incurred 2.5% cpi'!U$17*Incurred!U$17*BJ272)</f>
        <v>43781.458509426033</v>
      </c>
      <c r="V272" s="16">
        <f>IF(ISTEXT('Incurred 2.5% cpi'!V272),"",'Incurred 2.5% cpi'!V272/'Incurred 2.5% cpi'!V$17*Incurred!V$17*BK272)</f>
        <v>142471.39383334661</v>
      </c>
      <c r="W272" s="110">
        <f>IF(ISTEXT('Incurred 2.5% cpi'!W272),"",'Incurred 2.5% cpi'!W272/'Incurred 2.5% cpi'!W$17*Incurred!W$17*BL272)</f>
        <v>774640.84171171964</v>
      </c>
      <c r="X272" s="102" t="str">
        <f>IF(ISTEXT('Incurred 2.5% cpi'!X272),"",'Incurred 2.5% cpi'!X272/'Incurred 2.5% cpi'!X$17*Incurred!X$17*BM272)</f>
        <v/>
      </c>
      <c r="Y272" s="80">
        <f t="shared" si="434"/>
        <v>960893.69405449228</v>
      </c>
      <c r="Z272" s="80">
        <f t="shared" si="431"/>
        <v>960893.69405449228</v>
      </c>
      <c r="AA272" s="566">
        <f t="shared" si="414"/>
        <v>966671.91523736564</v>
      </c>
      <c r="AB272" s="566">
        <f t="shared" si="419"/>
        <v>966671.91523736564</v>
      </c>
      <c r="AC272" s="567">
        <f t="shared" si="387"/>
        <v>1</v>
      </c>
      <c r="AD272" s="568" t="str">
        <f t="shared" si="420"/>
        <v>2023</v>
      </c>
      <c r="AE272" s="569">
        <v>44963</v>
      </c>
      <c r="AF272" s="568">
        <v>2023</v>
      </c>
      <c r="AG272" s="569"/>
      <c r="AH272" s="566">
        <f t="shared" si="415"/>
        <v>854397.1169942494</v>
      </c>
      <c r="AI272" s="80">
        <f t="shared" si="421"/>
        <v>774640.84171171964</v>
      </c>
      <c r="AJ272" s="571" t="s">
        <v>3035</v>
      </c>
      <c r="AK272" s="875">
        <f t="shared" si="430"/>
        <v>135493.10353250001</v>
      </c>
      <c r="AL272" s="28">
        <f t="shared" si="432"/>
        <v>0</v>
      </c>
      <c r="AM272" s="28">
        <f t="shared" si="432"/>
        <v>0</v>
      </c>
      <c r="AN272" s="28">
        <f t="shared" si="432"/>
        <v>0</v>
      </c>
      <c r="AO272" s="28">
        <f t="shared" si="432"/>
        <v>0</v>
      </c>
      <c r="AP272" s="28">
        <f t="shared" si="432"/>
        <v>0</v>
      </c>
      <c r="AQ272" s="28">
        <f t="shared" si="432"/>
        <v>0</v>
      </c>
      <c r="AR272" s="28">
        <f t="shared" si="432"/>
        <v>0</v>
      </c>
      <c r="AS272" s="28">
        <f t="shared" si="432"/>
        <v>0</v>
      </c>
      <c r="AT272" s="28">
        <f t="shared" si="432"/>
        <v>0</v>
      </c>
      <c r="AU272" s="28">
        <f t="shared" si="432"/>
        <v>0.66377548122534002</v>
      </c>
      <c r="AV272" s="28">
        <f t="shared" si="433"/>
        <v>0</v>
      </c>
      <c r="AW272" s="28">
        <f t="shared" si="433"/>
        <v>0.14391876406700388</v>
      </c>
      <c r="AX272" s="28">
        <f t="shared" si="433"/>
        <v>0</v>
      </c>
      <c r="AY272" s="28">
        <f t="shared" si="433"/>
        <v>0</v>
      </c>
      <c r="AZ272" s="28">
        <f t="shared" si="433"/>
        <v>5.84531595595216E-2</v>
      </c>
      <c r="BA272" s="28">
        <f t="shared" si="433"/>
        <v>0.13385259514813455</v>
      </c>
      <c r="BB272" s="28">
        <f t="shared" si="433"/>
        <v>0</v>
      </c>
      <c r="BC272" s="28">
        <f t="shared" si="433"/>
        <v>0</v>
      </c>
      <c r="BD272" s="28">
        <f t="shared" si="433"/>
        <v>0</v>
      </c>
      <c r="BE272" s="28">
        <f t="shared" si="433"/>
        <v>0</v>
      </c>
      <c r="BF272" s="27">
        <f t="shared" si="418"/>
        <v>1</v>
      </c>
      <c r="BG272" s="520">
        <f t="shared" si="393"/>
        <v>1.0048566765671652</v>
      </c>
      <c r="BH272" s="520">
        <f t="shared" si="422"/>
        <v>1.0092809425459559</v>
      </c>
      <c r="BI272" s="520">
        <f t="shared" si="423"/>
        <v>1.0140691927597199</v>
      </c>
      <c r="BJ272" s="520">
        <f t="shared" si="424"/>
        <v>1.0196001826142775</v>
      </c>
      <c r="BK272" s="520">
        <f t="shared" si="425"/>
        <v>1.0276581664076323</v>
      </c>
      <c r="BL272" s="520">
        <f t="shared" si="426"/>
        <v>1.0367219676503854</v>
      </c>
      <c r="BM272" s="520">
        <f t="shared" si="427"/>
        <v>1.0427899365076816</v>
      </c>
      <c r="BN272" s="521" t="str">
        <f t="shared" si="428"/>
        <v>Project</v>
      </c>
      <c r="BP272" s="3"/>
    </row>
    <row r="273" spans="1:69" hidden="1" x14ac:dyDescent="0.15">
      <c r="A273" s="12" t="s">
        <v>556</v>
      </c>
      <c r="B273" s="13" t="s">
        <v>557</v>
      </c>
      <c r="C273" s="13" t="s">
        <v>27</v>
      </c>
      <c r="D273" s="13" t="s">
        <v>40</v>
      </c>
      <c r="E273" s="13" t="s">
        <v>112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5">
        <v>0</v>
      </c>
      <c r="N273" s="670"/>
      <c r="O273" s="14"/>
      <c r="P273" s="15"/>
      <c r="Q273" s="15" t="str">
        <f>IF(ISTEXT('Incurred 2.5% cpi'!Q273),"",'Incurred 2.5% cpi'!Q273/'Incurred 2.5% cpi'!Q$17*Incurred!Q$17)</f>
        <v/>
      </c>
      <c r="R273" s="110" t="str">
        <f>IF(ISTEXT('Incurred 2.5% cpi'!R273),"",'Incurred 2.5% cpi'!R273/'Incurred 2.5% cpi'!R$17*Incurred!R$17*BG273)</f>
        <v/>
      </c>
      <c r="S273" s="102">
        <f>IF(ISTEXT('Incurred 2.5% cpi'!S273),"",'Incurred 2.5% cpi'!S273/'Incurred 2.5% cpi'!S$17*Incurred!S$17*BH273)</f>
        <v>29066.524786166734</v>
      </c>
      <c r="T273" s="16">
        <f>IF(ISTEXT('Incurred 2.5% cpi'!T273),"",'Incurred 2.5% cpi'!T273/'Incurred 2.5% cpi'!T$17*Incurred!T$17*BI273)</f>
        <v>101664.30008371212</v>
      </c>
      <c r="U273" s="16">
        <f>IF(ISTEXT('Incurred 2.5% cpi'!U273),"",'Incurred 2.5% cpi'!U273/'Incurred 2.5% cpi'!U$17*Incurred!U$17*BJ273)</f>
        <v>627983.04245576612</v>
      </c>
      <c r="V273" s="16">
        <f>IF(ISTEXT('Incurred 2.5% cpi'!V273),"",'Incurred 2.5% cpi'!V273/'Incurred 2.5% cpi'!V$17*Incurred!V$17*BK273)</f>
        <v>587483.46258687356</v>
      </c>
      <c r="W273" s="110" t="str">
        <f>IF(ISTEXT('Incurred 2.5% cpi'!W273),"",'Incurred 2.5% cpi'!W273/'Incurred 2.5% cpi'!W$17*Incurred!W$17*BL273)</f>
        <v/>
      </c>
      <c r="X273" s="102" t="str">
        <f>IF(ISTEXT('Incurred 2.5% cpi'!X273),"",'Incurred 2.5% cpi'!X273/'Incurred 2.5% cpi'!X$17*Incurred!X$17*BM273)</f>
        <v/>
      </c>
      <c r="Y273" s="80">
        <f t="shared" si="434"/>
        <v>1346197.3299125186</v>
      </c>
      <c r="Z273" s="80">
        <f t="shared" si="431"/>
        <v>1346197.3299125186</v>
      </c>
      <c r="AA273" s="566">
        <f t="shared" si="414"/>
        <v>1403510.5695336128</v>
      </c>
      <c r="AB273" s="566">
        <f t="shared" si="419"/>
        <v>1369278.604423037</v>
      </c>
      <c r="AC273" s="567">
        <f t="shared" si="387"/>
        <v>1.0249999999999999</v>
      </c>
      <c r="AD273" s="568" t="str">
        <f t="shared" si="420"/>
        <v>2022</v>
      </c>
      <c r="AE273" s="569">
        <v>44652</v>
      </c>
      <c r="AF273" s="568">
        <v>2022</v>
      </c>
      <c r="AG273" s="569"/>
      <c r="AH273" s="566">
        <f t="shared" si="415"/>
        <v>1240498.8345875591</v>
      </c>
      <c r="AI273" s="80">
        <f t="shared" si="421"/>
        <v>587483.46258687356</v>
      </c>
      <c r="AJ273" s="571" t="s">
        <v>3035</v>
      </c>
      <c r="AK273" s="875">
        <f t="shared" si="430"/>
        <v>629369.3399999988</v>
      </c>
      <c r="AL273" s="28">
        <f t="shared" si="432"/>
        <v>0</v>
      </c>
      <c r="AM273" s="28">
        <f t="shared" si="432"/>
        <v>0</v>
      </c>
      <c r="AN273" s="28">
        <f t="shared" si="432"/>
        <v>0</v>
      </c>
      <c r="AO273" s="28">
        <f t="shared" si="432"/>
        <v>0</v>
      </c>
      <c r="AP273" s="28">
        <f t="shared" si="432"/>
        <v>0</v>
      </c>
      <c r="AQ273" s="28">
        <f t="shared" si="432"/>
        <v>0</v>
      </c>
      <c r="AR273" s="28">
        <f t="shared" si="432"/>
        <v>0</v>
      </c>
      <c r="AS273" s="28">
        <f t="shared" si="432"/>
        <v>0</v>
      </c>
      <c r="AT273" s="28">
        <f t="shared" si="432"/>
        <v>0</v>
      </c>
      <c r="AU273" s="28">
        <f t="shared" si="432"/>
        <v>0</v>
      </c>
      <c r="AV273" s="28">
        <f t="shared" si="433"/>
        <v>0.61092902936771587</v>
      </c>
      <c r="AW273" s="28">
        <f t="shared" si="433"/>
        <v>4.934701776225707E-2</v>
      </c>
      <c r="AX273" s="28">
        <f t="shared" si="433"/>
        <v>0</v>
      </c>
      <c r="AY273" s="28">
        <f t="shared" si="433"/>
        <v>0</v>
      </c>
      <c r="AZ273" s="28">
        <f t="shared" si="433"/>
        <v>0.3397239528700271</v>
      </c>
      <c r="BA273" s="28">
        <f t="shared" si="433"/>
        <v>0</v>
      </c>
      <c r="BB273" s="28">
        <f t="shared" si="433"/>
        <v>0</v>
      </c>
      <c r="BC273" s="28">
        <f t="shared" si="433"/>
        <v>0</v>
      </c>
      <c r="BD273" s="28">
        <f t="shared" si="433"/>
        <v>0</v>
      </c>
      <c r="BE273" s="28">
        <f t="shared" si="433"/>
        <v>0</v>
      </c>
      <c r="BF273" s="27">
        <f t="shared" si="418"/>
        <v>1</v>
      </c>
      <c r="BG273" s="520">
        <f t="shared" si="393"/>
        <v>1.0033048225580747</v>
      </c>
      <c r="BH273" s="520">
        <f t="shared" si="422"/>
        <v>1.0063154026960406</v>
      </c>
      <c r="BI273" s="520">
        <f t="shared" si="423"/>
        <v>1.0095736631754677</v>
      </c>
      <c r="BJ273" s="520">
        <f t="shared" si="424"/>
        <v>1.0133373356760014</v>
      </c>
      <c r="BK273" s="520">
        <f t="shared" si="425"/>
        <v>1.0188205516663189</v>
      </c>
      <c r="BL273" s="520">
        <f t="shared" si="426"/>
        <v>1.0249881962262781</v>
      </c>
      <c r="BM273" s="520">
        <f t="shared" si="427"/>
        <v>1.0291172668127087</v>
      </c>
      <c r="BN273" s="521" t="str">
        <f t="shared" si="428"/>
        <v>Project</v>
      </c>
      <c r="BP273" s="3"/>
    </row>
    <row r="274" spans="1:69" hidden="1" x14ac:dyDescent="0.15">
      <c r="A274" s="12" t="s">
        <v>558</v>
      </c>
      <c r="B274" s="13" t="s">
        <v>559</v>
      </c>
      <c r="C274" s="13" t="s">
        <v>27</v>
      </c>
      <c r="D274" s="13" t="s">
        <v>41</v>
      </c>
      <c r="E274" s="13" t="s">
        <v>112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5">
        <v>0</v>
      </c>
      <c r="N274" s="670"/>
      <c r="O274" s="14"/>
      <c r="P274" s="15"/>
      <c r="Q274" s="15" t="str">
        <f>IF(ISTEXT('Incurred 2.5% cpi'!Q274),"",'Incurred 2.5% cpi'!Q274/'Incurred 2.5% cpi'!Q$17*Incurred!Q$17)</f>
        <v/>
      </c>
      <c r="R274" s="110" t="str">
        <f>IF(ISTEXT('Incurred 2.5% cpi'!R274),"",'Incurred 2.5% cpi'!R274/'Incurred 2.5% cpi'!R$17*Incurred!R$17*BG274)</f>
        <v/>
      </c>
      <c r="S274" s="102">
        <f>IF(ISTEXT('Incurred 2.5% cpi'!S274),"",'Incurred 2.5% cpi'!S274/'Incurred 2.5% cpi'!S$17*Incurred!S$17*BH274)</f>
        <v>836832.42297502363</v>
      </c>
      <c r="T274" s="16">
        <f>IF(ISTEXT('Incurred 2.5% cpi'!T274),"",'Incurred 2.5% cpi'!T274/'Incurred 2.5% cpi'!T$17*Incurred!T$17*BI274)</f>
        <v>2315482.885726443</v>
      </c>
      <c r="U274" s="16">
        <f>IF(ISTEXT('Incurred 2.5% cpi'!U274),"",'Incurred 2.5% cpi'!U274/'Incurred 2.5% cpi'!U$17*Incurred!U$17*BJ274)</f>
        <v>2347273.2138793063</v>
      </c>
      <c r="V274" s="16">
        <f>IF(ISTEXT('Incurred 2.5% cpi'!V274),"",'Incurred 2.5% cpi'!V274/'Incurred 2.5% cpi'!V$17*Incurred!V$17*BK274)</f>
        <v>2422891.1972947172</v>
      </c>
      <c r="W274" s="110">
        <f>IF(ISTEXT('Incurred 2.5% cpi'!W274),"",'Incurred 2.5% cpi'!W274/'Incurred 2.5% cpi'!W$17*Incurred!W$17*BL274)</f>
        <v>1603397.3164950798</v>
      </c>
      <c r="X274" s="102" t="str">
        <f>IF(ISTEXT('Incurred 2.5% cpi'!X274),"",'Incurred 2.5% cpi'!X274/'Incurred 2.5% cpi'!X$17*Incurred!X$17*BM274)</f>
        <v/>
      </c>
      <c r="Y274" s="80">
        <f t="shared" si="434"/>
        <v>9525877.0363705698</v>
      </c>
      <c r="Z274" s="80">
        <f t="shared" si="431"/>
        <v>9525877.0363705698</v>
      </c>
      <c r="AA274" s="566">
        <f t="shared" si="414"/>
        <v>9970192.9418136459</v>
      </c>
      <c r="AB274" s="566">
        <f t="shared" si="419"/>
        <v>9970192.9418136459</v>
      </c>
      <c r="AC274" s="567">
        <f t="shared" ref="AC274:AC321" si="435">IF(AF274="","",IF(AF274&lt;AD274,INDEX($F$20:$W$20,1,MATCH(TEXT(AF274,"000"),$F$24:$W$24)),INDEX($F$20:$W$20,1,MATCH(AD274,$F$24:$W$24))))</f>
        <v>1</v>
      </c>
      <c r="AD274" s="568" t="str">
        <f t="shared" si="420"/>
        <v>2023</v>
      </c>
      <c r="AE274" s="569">
        <v>44921</v>
      </c>
      <c r="AF274" s="568">
        <v>2023</v>
      </c>
      <c r="AG274" s="569"/>
      <c r="AH274" s="566">
        <f t="shared" si="415"/>
        <v>8812197.7799161356</v>
      </c>
      <c r="AI274" s="80">
        <f t="shared" si="421"/>
        <v>1603397.3164950798</v>
      </c>
      <c r="AJ274" s="571" t="s">
        <v>3035</v>
      </c>
      <c r="AK274" s="875">
        <f t="shared" si="430"/>
        <v>2994494.56300034</v>
      </c>
      <c r="AL274" s="28">
        <f t="shared" si="432"/>
        <v>0</v>
      </c>
      <c r="AM274" s="28">
        <f t="shared" si="432"/>
        <v>0</v>
      </c>
      <c r="AN274" s="28">
        <f t="shared" si="432"/>
        <v>0</v>
      </c>
      <c r="AO274" s="28">
        <f t="shared" si="432"/>
        <v>0</v>
      </c>
      <c r="AP274" s="28">
        <f t="shared" si="432"/>
        <v>0</v>
      </c>
      <c r="AQ274" s="28">
        <f t="shared" si="432"/>
        <v>0</v>
      </c>
      <c r="AR274" s="28">
        <f t="shared" si="432"/>
        <v>0</v>
      </c>
      <c r="AS274" s="28">
        <f t="shared" si="432"/>
        <v>0</v>
      </c>
      <c r="AT274" s="28">
        <f t="shared" si="432"/>
        <v>0</v>
      </c>
      <c r="AU274" s="28">
        <f t="shared" si="432"/>
        <v>0</v>
      </c>
      <c r="AV274" s="28">
        <f t="shared" si="433"/>
        <v>0</v>
      </c>
      <c r="AW274" s="28">
        <f t="shared" si="433"/>
        <v>0</v>
      </c>
      <c r="AX274" s="28">
        <f t="shared" si="433"/>
        <v>0</v>
      </c>
      <c r="AY274" s="28">
        <f t="shared" si="433"/>
        <v>0</v>
      </c>
      <c r="AZ274" s="28">
        <f t="shared" si="433"/>
        <v>0</v>
      </c>
      <c r="BA274" s="28">
        <f t="shared" si="433"/>
        <v>0</v>
      </c>
      <c r="BB274" s="28">
        <f t="shared" si="433"/>
        <v>0</v>
      </c>
      <c r="BC274" s="28">
        <f t="shared" si="433"/>
        <v>0</v>
      </c>
      <c r="BD274" s="28">
        <f t="shared" si="433"/>
        <v>0</v>
      </c>
      <c r="BE274" s="28">
        <f t="shared" si="433"/>
        <v>1</v>
      </c>
      <c r="BF274" s="27">
        <f>SUM(AL274:BE274)</f>
        <v>1</v>
      </c>
      <c r="BG274" s="520">
        <f t="shared" si="393"/>
        <v>1.003627545954092</v>
      </c>
      <c r="BH274" s="520">
        <f t="shared" si="422"/>
        <v>1.0069321160503786</v>
      </c>
      <c r="BI274" s="520">
        <f t="shared" si="423"/>
        <v>1.0105085530335516</v>
      </c>
      <c r="BJ274" s="520">
        <f t="shared" si="424"/>
        <v>1.0146397566645844</v>
      </c>
      <c r="BK274" s="520">
        <f t="shared" si="425"/>
        <v>1.0206584210955958</v>
      </c>
      <c r="BL274" s="520">
        <f t="shared" si="426"/>
        <v>1.027428350093778</v>
      </c>
      <c r="BM274" s="520">
        <f t="shared" si="427"/>
        <v>1.0319606337600731</v>
      </c>
      <c r="BN274" s="521" t="str">
        <f t="shared" si="428"/>
        <v>Project</v>
      </c>
      <c r="BP274" s="3"/>
    </row>
    <row r="275" spans="1:69" hidden="1" x14ac:dyDescent="0.15">
      <c r="A275" s="12" t="s">
        <v>560</v>
      </c>
      <c r="B275" s="13" t="s">
        <v>561</v>
      </c>
      <c r="C275" s="13" t="s">
        <v>27</v>
      </c>
      <c r="D275" s="13" t="s">
        <v>40</v>
      </c>
      <c r="E275" s="13" t="s">
        <v>112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5">
        <v>0</v>
      </c>
      <c r="N275" s="670"/>
      <c r="O275" s="14"/>
      <c r="P275" s="15"/>
      <c r="Q275" s="15" t="str">
        <f>IF(ISTEXT('Incurred 2.5% cpi'!Q275),"",'Incurred 2.5% cpi'!Q275/'Incurred 2.5% cpi'!Q$17*Incurred!Q$17)</f>
        <v/>
      </c>
      <c r="R275" s="110" t="str">
        <f>IF(ISTEXT('Incurred 2.5% cpi'!R275),"",'Incurred 2.5% cpi'!R275/'Incurred 2.5% cpi'!R$17*Incurred!R$17*BG275)</f>
        <v/>
      </c>
      <c r="S275" s="102">
        <f>IF(ISTEXT('Incurred 2.5% cpi'!S275),"",'Incurred 2.5% cpi'!S275/'Incurred 2.5% cpi'!S$17*Incurred!S$17*BH275)</f>
        <v>42933.321997861043</v>
      </c>
      <c r="T275" s="16">
        <f>IF(ISTEXT('Incurred 2.5% cpi'!T275),"",'Incurred 2.5% cpi'!T275/'Incurred 2.5% cpi'!T$17*Incurred!T$17*BI275)</f>
        <v>131250.24947845834</v>
      </c>
      <c r="U275" s="16">
        <f>IF(ISTEXT('Incurred 2.5% cpi'!U275),"",'Incurred 2.5% cpi'!U275/'Incurred 2.5% cpi'!U$17*Incurred!U$17*BJ275)</f>
        <v>1445935.4013621025</v>
      </c>
      <c r="V275" s="16">
        <f>IF(ISTEXT('Incurred 2.5% cpi'!V275),"",'Incurred 2.5% cpi'!V275/'Incurred 2.5% cpi'!V$17*Incurred!V$17*BK275)</f>
        <v>1355603.2158186692</v>
      </c>
      <c r="W275" s="110" t="str">
        <f>IF(ISTEXT('Incurred 2.5% cpi'!W275),"",'Incurred 2.5% cpi'!W275/'Incurred 2.5% cpi'!W$17*Incurred!W$17*BL275)</f>
        <v/>
      </c>
      <c r="X275" s="102" t="str">
        <f>IF(ISTEXT('Incurred 2.5% cpi'!X275),"",'Incurred 2.5% cpi'!X275/'Incurred 2.5% cpi'!X$17*Incurred!X$17*BM275)</f>
        <v/>
      </c>
      <c r="Y275" s="80">
        <f t="shared" si="434"/>
        <v>2975722.188657091</v>
      </c>
      <c r="Z275" s="80">
        <f t="shared" si="431"/>
        <v>2975722.188657091</v>
      </c>
      <c r="AA275" s="566">
        <f t="shared" si="414"/>
        <v>3097361.6947210506</v>
      </c>
      <c r="AB275" s="566">
        <f t="shared" si="419"/>
        <v>3021816.2875327324</v>
      </c>
      <c r="AC275" s="567">
        <f t="shared" si="435"/>
        <v>1.0249999999999999</v>
      </c>
      <c r="AD275" s="568" t="str">
        <f t="shared" si="420"/>
        <v>2022</v>
      </c>
      <c r="AE275" s="569">
        <v>44652</v>
      </c>
      <c r="AF275" s="568">
        <v>2022</v>
      </c>
      <c r="AG275" s="569"/>
      <c r="AH275" s="566">
        <f t="shared" si="415"/>
        <v>2737616.4141566809</v>
      </c>
      <c r="AI275" s="80">
        <f t="shared" si="421"/>
        <v>1355603.2158186692</v>
      </c>
      <c r="AJ275" s="571" t="s">
        <v>3035</v>
      </c>
      <c r="AK275" s="875">
        <f t="shared" si="430"/>
        <v>2145445.3497671089</v>
      </c>
      <c r="AL275" s="28">
        <f t="shared" si="432"/>
        <v>0</v>
      </c>
      <c r="AM275" s="28">
        <f t="shared" si="432"/>
        <v>0</v>
      </c>
      <c r="AN275" s="28">
        <f t="shared" si="432"/>
        <v>0</v>
      </c>
      <c r="AO275" s="28">
        <f t="shared" si="432"/>
        <v>0</v>
      </c>
      <c r="AP275" s="28">
        <f t="shared" si="432"/>
        <v>0</v>
      </c>
      <c r="AQ275" s="28">
        <f t="shared" si="432"/>
        <v>0</v>
      </c>
      <c r="AR275" s="28">
        <f t="shared" si="432"/>
        <v>0</v>
      </c>
      <c r="AS275" s="28">
        <f t="shared" si="432"/>
        <v>0</v>
      </c>
      <c r="AT275" s="28">
        <f t="shared" si="432"/>
        <v>0</v>
      </c>
      <c r="AU275" s="28">
        <f t="shared" si="432"/>
        <v>0.91754625676654367</v>
      </c>
      <c r="AV275" s="28">
        <f t="shared" si="433"/>
        <v>0</v>
      </c>
      <c r="AW275" s="28">
        <f t="shared" si="433"/>
        <v>6.3809595525689169E-2</v>
      </c>
      <c r="AX275" s="28">
        <f t="shared" si="433"/>
        <v>0</v>
      </c>
      <c r="AY275" s="28">
        <f t="shared" si="433"/>
        <v>0</v>
      </c>
      <c r="AZ275" s="28">
        <f t="shared" si="433"/>
        <v>1.3983110780825307E-2</v>
      </c>
      <c r="BA275" s="28">
        <f t="shared" si="433"/>
        <v>0</v>
      </c>
      <c r="BB275" s="28">
        <f t="shared" si="433"/>
        <v>4.6610369269417693E-3</v>
      </c>
      <c r="BC275" s="28">
        <f t="shared" si="433"/>
        <v>0</v>
      </c>
      <c r="BD275" s="28">
        <f t="shared" si="433"/>
        <v>0</v>
      </c>
      <c r="BE275" s="28">
        <f t="shared" si="433"/>
        <v>0</v>
      </c>
      <c r="BF275" s="27">
        <f t="shared" si="418"/>
        <v>0.99999999999999989</v>
      </c>
      <c r="BG275" s="520">
        <f t="shared" ref="BG275:BG321" si="436">1+IF(ISNA(VLOOKUP($A275,ProjLabEsc,7,FALSE)),VLOOKUP(D275,CatLabEsc,4,FALSE),VLOOKUP(A275,ProjLabEsc,7,FALSE))*Labesc18*LabIn</f>
        <v>1.0015049965191951</v>
      </c>
      <c r="BH275" s="520">
        <f t="shared" si="422"/>
        <v>1.0028759967919105</v>
      </c>
      <c r="BI275" s="520">
        <f t="shared" si="423"/>
        <v>1.0043597892176757</v>
      </c>
      <c r="BJ275" s="520">
        <f t="shared" si="424"/>
        <v>1.0060737432691129</v>
      </c>
      <c r="BK275" s="520">
        <f t="shared" si="425"/>
        <v>1.0085707671892807</v>
      </c>
      <c r="BL275" s="520">
        <f t="shared" si="426"/>
        <v>1.0113794758056303</v>
      </c>
      <c r="BM275" s="520">
        <f t="shared" si="427"/>
        <v>1.0132598299701545</v>
      </c>
      <c r="BN275" s="521" t="str">
        <f t="shared" si="428"/>
        <v>Project</v>
      </c>
      <c r="BP275" s="3"/>
    </row>
    <row r="276" spans="1:69" hidden="1" x14ac:dyDescent="0.15">
      <c r="A276" s="12" t="s">
        <v>563</v>
      </c>
      <c r="B276" s="13" t="s">
        <v>564</v>
      </c>
      <c r="C276" s="13" t="s">
        <v>27</v>
      </c>
      <c r="D276" s="13" t="s">
        <v>40</v>
      </c>
      <c r="E276" s="13" t="s">
        <v>112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5">
        <v>0</v>
      </c>
      <c r="N276" s="670"/>
      <c r="O276" s="14"/>
      <c r="P276" s="15"/>
      <c r="Q276" s="15" t="str">
        <f>IF(ISTEXT('Incurred 2.5% cpi'!Q276),"",'Incurred 2.5% cpi'!Q276/'Incurred 2.5% cpi'!Q$17*Incurred!Q$17)</f>
        <v/>
      </c>
      <c r="R276" s="110" t="str">
        <f>IF(ISTEXT('Incurred 2.5% cpi'!R276),"",'Incurred 2.5% cpi'!R276/'Incurred 2.5% cpi'!R$17*Incurred!R$17*BG276)</f>
        <v/>
      </c>
      <c r="S276" s="102">
        <f>IF(ISTEXT('Incurred 2.5% cpi'!S276),"",'Incurred 2.5% cpi'!S276/'Incurred 2.5% cpi'!S$17*Incurred!S$17*BH276)</f>
        <v>32137.880425049229</v>
      </c>
      <c r="T276" s="16">
        <f>IF(ISTEXT('Incurred 2.5% cpi'!T276),"",'Incurred 2.5% cpi'!T276/'Incurred 2.5% cpi'!T$17*Incurred!T$17*BI276)</f>
        <v>112168.44521620301</v>
      </c>
      <c r="U276" s="16">
        <f>IF(ISTEXT('Incurred 2.5% cpi'!U276),"",'Incurred 2.5% cpi'!U276/'Incurred 2.5% cpi'!U$17*Incurred!U$17*BJ276)</f>
        <v>691177.73836794123</v>
      </c>
      <c r="V276" s="16">
        <f>IF(ISTEXT('Incurred 2.5% cpi'!V276),"",'Incurred 2.5% cpi'!V276/'Incurred 2.5% cpi'!V$17*Incurred!V$17*BK276)</f>
        <v>643538.15953126305</v>
      </c>
      <c r="W276" s="110" t="str">
        <f>IF(ISTEXT('Incurred 2.5% cpi'!W276),"",'Incurred 2.5% cpi'!W276/'Incurred 2.5% cpi'!W$17*Incurred!W$17*BL276)</f>
        <v/>
      </c>
      <c r="X276" s="102" t="str">
        <f>IF(ISTEXT('Incurred 2.5% cpi'!X276),"",'Incurred 2.5% cpi'!X276/'Incurred 2.5% cpi'!X$17*Incurred!X$17*BM276)</f>
        <v/>
      </c>
      <c r="Y276" s="80">
        <f t="shared" si="434"/>
        <v>1479022.2235404565</v>
      </c>
      <c r="Z276" s="80">
        <f t="shared" si="431"/>
        <v>1479022.2235404565</v>
      </c>
      <c r="AA276" s="566">
        <f t="shared" ref="AA276:AA281" si="437">IF(ROUND(Y276,0)=0,0,SUMPRODUCT($F$20:$W$20,F276:W276))</f>
        <v>1542062.578657052</v>
      </c>
      <c r="AB276" s="566">
        <f t="shared" si="419"/>
        <v>1504451.2962507827</v>
      </c>
      <c r="AC276" s="567">
        <f t="shared" si="435"/>
        <v>1.0249999999999999</v>
      </c>
      <c r="AD276" s="568" t="str">
        <f t="shared" si="420"/>
        <v>2022</v>
      </c>
      <c r="AE276" s="569">
        <v>44652</v>
      </c>
      <c r="AF276" s="568">
        <v>2022</v>
      </c>
      <c r="AG276" s="569"/>
      <c r="AH276" s="566">
        <f t="shared" ref="AH276:AH281" si="438">IF(ROUND(Y276,0)=0,0,SUMPRODUCT($F$19:$W$19,F276:W276))</f>
        <v>1362958.6219082237</v>
      </c>
      <c r="AI276" s="80">
        <f t="shared" si="421"/>
        <v>643538.15953126305</v>
      </c>
      <c r="AJ276" s="571" t="s">
        <v>3035</v>
      </c>
      <c r="AK276" s="875">
        <f t="shared" si="430"/>
        <v>1027459.5999990082</v>
      </c>
      <c r="AL276" s="28">
        <f t="shared" ref="AL276:AU281" si="439">IF($AK276=0,VLOOKUP(MID($A276,4,5),ProjectSplits,AL$23,FALSE),IF(ISNA(VLOOKUP($A276,Estimates,AL$22,FALSE)),VLOOKUP(MID($A276,4,5),ProjectSplits,AL$23,FALSE),VLOOKUP($A276,Estimates,AL$22,FALSE)))</f>
        <v>0</v>
      </c>
      <c r="AM276" s="28">
        <f t="shared" si="439"/>
        <v>0</v>
      </c>
      <c r="AN276" s="28">
        <f t="shared" si="439"/>
        <v>0</v>
      </c>
      <c r="AO276" s="28">
        <f t="shared" si="439"/>
        <v>0</v>
      </c>
      <c r="AP276" s="28">
        <f t="shared" si="439"/>
        <v>0</v>
      </c>
      <c r="AQ276" s="28">
        <f t="shared" si="439"/>
        <v>0</v>
      </c>
      <c r="AR276" s="28">
        <f t="shared" si="439"/>
        <v>0</v>
      </c>
      <c r="AS276" s="28">
        <f t="shared" si="439"/>
        <v>0</v>
      </c>
      <c r="AT276" s="28">
        <f t="shared" si="439"/>
        <v>0</v>
      </c>
      <c r="AU276" s="28">
        <f t="shared" si="439"/>
        <v>0</v>
      </c>
      <c r="AV276" s="28">
        <f t="shared" ref="AV276:BE281" si="440">IF($AK276=0,VLOOKUP(MID($A276,4,5),ProjectSplits,AV$23,FALSE),IF(ISNA(VLOOKUP($A276,Estimates,AV$22,FALSE)),VLOOKUP(MID($A276,4,5),ProjectSplits,AV$23,FALSE),VLOOKUP($A276,Estimates,AV$22,FALSE)))</f>
        <v>0.9508983126936974</v>
      </c>
      <c r="AW276" s="28">
        <f t="shared" si="440"/>
        <v>1.0706017054121249E-2</v>
      </c>
      <c r="AX276" s="28">
        <f t="shared" si="440"/>
        <v>3.839567025218122E-2</v>
      </c>
      <c r="AY276" s="28">
        <f t="shared" si="440"/>
        <v>0</v>
      </c>
      <c r="AZ276" s="28">
        <f t="shared" si="440"/>
        <v>0</v>
      </c>
      <c r="BA276" s="28">
        <f t="shared" si="440"/>
        <v>0</v>
      </c>
      <c r="BB276" s="28">
        <f t="shared" si="440"/>
        <v>0</v>
      </c>
      <c r="BC276" s="28">
        <f t="shared" si="440"/>
        <v>0</v>
      </c>
      <c r="BD276" s="28">
        <f t="shared" si="440"/>
        <v>0</v>
      </c>
      <c r="BE276" s="28">
        <f t="shared" si="440"/>
        <v>0</v>
      </c>
      <c r="BF276" s="27">
        <f t="shared" si="418"/>
        <v>0.99999999999999989</v>
      </c>
      <c r="BG276" s="520">
        <f t="shared" si="436"/>
        <v>1.0011267571926963</v>
      </c>
      <c r="BH276" s="520">
        <f t="shared" si="422"/>
        <v>1.0021531943962168</v>
      </c>
      <c r="BI276" s="520">
        <f t="shared" si="423"/>
        <v>1.0032640765589829</v>
      </c>
      <c r="BJ276" s="520">
        <f t="shared" si="424"/>
        <v>1.0045472755769052</v>
      </c>
      <c r="BK276" s="520">
        <f t="shared" si="425"/>
        <v>1.0064167414703469</v>
      </c>
      <c r="BL276" s="520">
        <f t="shared" si="426"/>
        <v>1.0085195587162981</v>
      </c>
      <c r="BM276" s="520">
        <f t="shared" si="427"/>
        <v>1.0099273377727087</v>
      </c>
      <c r="BN276" s="521" t="str">
        <f t="shared" si="428"/>
        <v>Project</v>
      </c>
      <c r="BP276" s="3"/>
    </row>
    <row r="277" spans="1:69" hidden="1" x14ac:dyDescent="0.15">
      <c r="A277" s="12" t="s">
        <v>565</v>
      </c>
      <c r="B277" s="13" t="s">
        <v>566</v>
      </c>
      <c r="C277" s="13" t="s">
        <v>27</v>
      </c>
      <c r="D277" s="13" t="s">
        <v>40</v>
      </c>
      <c r="E277" s="13" t="s">
        <v>112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5">
        <v>0</v>
      </c>
      <c r="N277" s="670"/>
      <c r="O277" s="14"/>
      <c r="P277" s="15"/>
      <c r="Q277" s="15" t="str">
        <f>IF(ISTEXT('Incurred 2.5% cpi'!Q277),"",'Incurred 2.5% cpi'!Q277/'Incurred 2.5% cpi'!Q$17*Incurred!Q$17)</f>
        <v/>
      </c>
      <c r="R277" s="110" t="str">
        <f>IF(ISTEXT('Incurred 2.5% cpi'!R277),"",'Incurred 2.5% cpi'!R277/'Incurred 2.5% cpi'!R$17*Incurred!R$17*BG277)</f>
        <v/>
      </c>
      <c r="S277" s="102">
        <f>IF(ISTEXT('Incurred 2.5% cpi'!S277),"",'Incurred 2.5% cpi'!S277/'Incurred 2.5% cpi'!S$17*Incurred!S$17*BH277)</f>
        <v>935162.49570273585</v>
      </c>
      <c r="T277" s="16">
        <f>IF(ISTEXT('Incurred 2.5% cpi'!T277),"",'Incurred 2.5% cpi'!T277/'Incurred 2.5% cpi'!T$17*Incurred!T$17*BI277)</f>
        <v>2076157.8692446612</v>
      </c>
      <c r="U277" s="16">
        <f>IF(ISTEXT('Incurred 2.5% cpi'!U277),"",'Incurred 2.5% cpi'!U277/'Incurred 2.5% cpi'!U$17*Incurred!U$17*BJ277)</f>
        <v>1288140.4477500694</v>
      </c>
      <c r="V277" s="16" t="str">
        <f>IF(ISTEXT('Incurred 2.5% cpi'!V277),"",'Incurred 2.5% cpi'!V277/'Incurred 2.5% cpi'!V$17*Incurred!V$17*BK277)</f>
        <v/>
      </c>
      <c r="W277" s="110" t="str">
        <f>IF(ISTEXT('Incurred 2.5% cpi'!W277),"",'Incurred 2.5% cpi'!W277/'Incurred 2.5% cpi'!W$17*Incurred!W$17*BL277)</f>
        <v/>
      </c>
      <c r="X277" s="102" t="str">
        <f>IF(ISTEXT('Incurred 2.5% cpi'!X277),"",'Incurred 2.5% cpi'!X277/'Incurred 2.5% cpi'!X$17*Incurred!X$17*BM277)</f>
        <v/>
      </c>
      <c r="Y277" s="80">
        <f t="shared" si="434"/>
        <v>4299460.8126974665</v>
      </c>
      <c r="Z277" s="80">
        <f t="shared" si="431"/>
        <v>4299460.8126974665</v>
      </c>
      <c r="AA277" s="566">
        <f t="shared" si="437"/>
        <v>4621391.9209126942</v>
      </c>
      <c r="AB277" s="566">
        <f t="shared" si="419"/>
        <v>4398707.3607735345</v>
      </c>
      <c r="AC277" s="567">
        <f t="shared" si="435"/>
        <v>1.0506249999999999</v>
      </c>
      <c r="AD277" s="568" t="str">
        <f t="shared" si="420"/>
        <v>2021</v>
      </c>
      <c r="AE277" s="569">
        <v>44180</v>
      </c>
      <c r="AF277" s="568">
        <v>2021</v>
      </c>
      <c r="AG277" s="569"/>
      <c r="AH277" s="566">
        <f t="shared" si="438"/>
        <v>4084637.0640226668</v>
      </c>
      <c r="AI277" s="80">
        <f t="shared" si="421"/>
        <v>1288140.4477500694</v>
      </c>
      <c r="AJ277" s="571" t="s">
        <v>3035</v>
      </c>
      <c r="AK277" s="875">
        <f t="shared" si="430"/>
        <v>2152747.9141771351</v>
      </c>
      <c r="AL277" s="28">
        <f t="shared" si="439"/>
        <v>0</v>
      </c>
      <c r="AM277" s="28">
        <f t="shared" si="439"/>
        <v>0</v>
      </c>
      <c r="AN277" s="28">
        <f t="shared" si="439"/>
        <v>0</v>
      </c>
      <c r="AO277" s="28">
        <f t="shared" si="439"/>
        <v>0</v>
      </c>
      <c r="AP277" s="28">
        <f t="shared" si="439"/>
        <v>0</v>
      </c>
      <c r="AQ277" s="28">
        <f t="shared" si="439"/>
        <v>9.8711046751252304E-3</v>
      </c>
      <c r="AR277" s="28">
        <f t="shared" si="439"/>
        <v>0</v>
      </c>
      <c r="AS277" s="28">
        <f t="shared" si="439"/>
        <v>0</v>
      </c>
      <c r="AT277" s="28">
        <f t="shared" si="439"/>
        <v>0</v>
      </c>
      <c r="AU277" s="28">
        <f t="shared" si="439"/>
        <v>0</v>
      </c>
      <c r="AV277" s="28">
        <f t="shared" si="440"/>
        <v>0</v>
      </c>
      <c r="AW277" s="28">
        <f t="shared" si="440"/>
        <v>0.2708504374340589</v>
      </c>
      <c r="AX277" s="28">
        <f t="shared" si="440"/>
        <v>0.7192784578908159</v>
      </c>
      <c r="AY277" s="28">
        <f t="shared" si="440"/>
        <v>0</v>
      </c>
      <c r="AZ277" s="28">
        <f t="shared" si="440"/>
        <v>0</v>
      </c>
      <c r="BA277" s="28">
        <f t="shared" si="440"/>
        <v>0</v>
      </c>
      <c r="BB277" s="28">
        <f t="shared" si="440"/>
        <v>0</v>
      </c>
      <c r="BC277" s="28">
        <f t="shared" si="440"/>
        <v>0</v>
      </c>
      <c r="BD277" s="28">
        <f t="shared" si="440"/>
        <v>0</v>
      </c>
      <c r="BE277" s="28">
        <f t="shared" si="440"/>
        <v>0</v>
      </c>
      <c r="BF277" s="27">
        <f t="shared" si="418"/>
        <v>1</v>
      </c>
      <c r="BG277" s="520">
        <f t="shared" si="436"/>
        <v>1.0036259516135706</v>
      </c>
      <c r="BH277" s="520">
        <f t="shared" si="422"/>
        <v>1.0069290693202593</v>
      </c>
      <c r="BI277" s="520">
        <f t="shared" si="423"/>
        <v>1.0105039344257838</v>
      </c>
      <c r="BJ277" s="520">
        <f t="shared" si="424"/>
        <v>1.0146333223540154</v>
      </c>
      <c r="BK277" s="520">
        <f t="shared" si="425"/>
        <v>1.0206493415254745</v>
      </c>
      <c r="BL277" s="520">
        <f t="shared" si="426"/>
        <v>1.0274162950762702</v>
      </c>
      <c r="BM277" s="520">
        <f t="shared" si="427"/>
        <v>1.0319465867613211</v>
      </c>
      <c r="BN277" s="521" t="str">
        <f t="shared" si="428"/>
        <v>Project</v>
      </c>
      <c r="BP277" s="3"/>
    </row>
    <row r="278" spans="1:69" hidden="1" x14ac:dyDescent="0.15">
      <c r="A278" s="511" t="s">
        <v>567</v>
      </c>
      <c r="B278" s="512" t="s">
        <v>568</v>
      </c>
      <c r="C278" s="512" t="s">
        <v>27</v>
      </c>
      <c r="D278" s="512" t="s">
        <v>41</v>
      </c>
      <c r="E278" s="512" t="s">
        <v>112</v>
      </c>
      <c r="F278" s="518">
        <v>0</v>
      </c>
      <c r="G278" s="518">
        <v>0</v>
      </c>
      <c r="H278" s="518">
        <v>0</v>
      </c>
      <c r="I278" s="518">
        <v>0</v>
      </c>
      <c r="J278" s="518">
        <v>0</v>
      </c>
      <c r="K278" s="518">
        <v>0</v>
      </c>
      <c r="L278" s="518">
        <v>0</v>
      </c>
      <c r="M278" s="513">
        <v>0</v>
      </c>
      <c r="N278" s="671"/>
      <c r="O278" s="518"/>
      <c r="P278" s="513"/>
      <c r="Q278" s="513" t="str">
        <f>IF(ISTEXT('Incurred 2.5% cpi'!Q278),"",'Incurred 2.5% cpi'!Q278/'Incurred 2.5% cpi'!Q$17*Incurred!Q$17)</f>
        <v/>
      </c>
      <c r="R278" s="514" t="str">
        <f>IF(ISTEXT('Incurred 2.5% cpi'!R278),"",'Incurred 2.5% cpi'!R278/'Incurred 2.5% cpi'!R$17*Incurred!R$17*BG278)</f>
        <v/>
      </c>
      <c r="S278" s="515">
        <f>IF(ISTEXT('Incurred 2.5% cpi'!S278),"",'Incurred 2.5% cpi'!S278/'Incurred 2.5% cpi'!S$17*Incurred!S$17*BH278)</f>
        <v>2974817.2989782053</v>
      </c>
      <c r="T278" s="513" t="str">
        <f>IF(ISTEXT('Incurred 2.5% cpi'!T278),"",'Incurred 2.5% cpi'!T278/'Incurred 2.5% cpi'!T$17*Incurred!T$17*BI278)</f>
        <v/>
      </c>
      <c r="U278" s="513" t="str">
        <f>IF(ISTEXT('Incurred 2.5% cpi'!U278),"",'Incurred 2.5% cpi'!U278/'Incurred 2.5% cpi'!U$17*Incurred!U$17*BJ278)</f>
        <v/>
      </c>
      <c r="V278" s="513" t="str">
        <f>IF(ISTEXT('Incurred 2.5% cpi'!V278),"",'Incurred 2.5% cpi'!V278/'Incurred 2.5% cpi'!V$17*Incurred!V$17*BK278)</f>
        <v/>
      </c>
      <c r="W278" s="514" t="str">
        <f>IF(ISTEXT('Incurred 2.5% cpi'!W278),"",'Incurred 2.5% cpi'!W278/'Incurred 2.5% cpi'!W$17*Incurred!W$17*BL278)</f>
        <v/>
      </c>
      <c r="X278" s="515" t="str">
        <f>IF(ISTEXT('Incurred 2.5% cpi'!X278),"",'Incurred 2.5% cpi'!X278/'Incurred 2.5% cpi'!X$17*Incurred!X$17*BM278)</f>
        <v/>
      </c>
      <c r="Y278" s="80">
        <f t="shared" si="434"/>
        <v>2974817.2989782053</v>
      </c>
      <c r="Z278" s="80">
        <f t="shared" si="431"/>
        <v>2974817.2989782053</v>
      </c>
      <c r="AA278" s="566">
        <f t="shared" si="437"/>
        <v>3283641.6818663869</v>
      </c>
      <c r="AB278" s="566">
        <f t="shared" si="419"/>
        <v>2974817.2989782053</v>
      </c>
      <c r="AC278" s="567">
        <f t="shared" si="435"/>
        <v>1.1038128906249998</v>
      </c>
      <c r="AD278" s="568" t="str">
        <f t="shared" si="420"/>
        <v>2019</v>
      </c>
      <c r="AE278" s="569">
        <v>44978</v>
      </c>
      <c r="AF278" s="568">
        <v>2019</v>
      </c>
      <c r="AG278" s="569"/>
      <c r="AH278" s="566">
        <f t="shared" si="438"/>
        <v>2902260.7794909324</v>
      </c>
      <c r="AI278" s="80">
        <f t="shared" si="421"/>
        <v>2974817.2989782053</v>
      </c>
      <c r="AJ278" s="571" t="s">
        <v>3035</v>
      </c>
      <c r="AK278" s="875">
        <f t="shared" si="429"/>
        <v>0</v>
      </c>
      <c r="AL278" s="28">
        <f t="shared" si="439"/>
        <v>0</v>
      </c>
      <c r="AM278" s="28">
        <f t="shared" si="439"/>
        <v>0</v>
      </c>
      <c r="AN278" s="28">
        <f t="shared" si="439"/>
        <v>0</v>
      </c>
      <c r="AO278" s="28">
        <f t="shared" si="439"/>
        <v>0</v>
      </c>
      <c r="AP278" s="28">
        <f t="shared" si="439"/>
        <v>0</v>
      </c>
      <c r="AQ278" s="28">
        <f t="shared" si="439"/>
        <v>0</v>
      </c>
      <c r="AR278" s="28">
        <f t="shared" si="439"/>
        <v>0</v>
      </c>
      <c r="AS278" s="28">
        <f t="shared" si="439"/>
        <v>0</v>
      </c>
      <c r="AT278" s="28">
        <f t="shared" si="439"/>
        <v>0</v>
      </c>
      <c r="AU278" s="28">
        <f t="shared" si="439"/>
        <v>0</v>
      </c>
      <c r="AV278" s="28">
        <f t="shared" si="440"/>
        <v>0</v>
      </c>
      <c r="AW278" s="28">
        <f t="shared" si="440"/>
        <v>0</v>
      </c>
      <c r="AX278" s="28">
        <f t="shared" si="440"/>
        <v>0</v>
      </c>
      <c r="AY278" s="28">
        <f t="shared" si="440"/>
        <v>0</v>
      </c>
      <c r="AZ278" s="28">
        <f t="shared" si="440"/>
        <v>0</v>
      </c>
      <c r="BA278" s="28">
        <f t="shared" si="440"/>
        <v>0</v>
      </c>
      <c r="BB278" s="28">
        <f t="shared" si="440"/>
        <v>0</v>
      </c>
      <c r="BC278" s="28">
        <f t="shared" si="440"/>
        <v>0</v>
      </c>
      <c r="BD278" s="28">
        <f t="shared" si="440"/>
        <v>0</v>
      </c>
      <c r="BE278" s="28">
        <f t="shared" si="440"/>
        <v>1</v>
      </c>
      <c r="BF278" s="27">
        <f t="shared" ref="BF278:BF279" si="441">SUM(AL278:BE278)</f>
        <v>1</v>
      </c>
      <c r="BG278" s="520">
        <f t="shared" si="436"/>
        <v>1.0029392094402594</v>
      </c>
      <c r="BH278" s="520">
        <f t="shared" si="422"/>
        <v>1.0056167285526079</v>
      </c>
      <c r="BI278" s="520">
        <f t="shared" si="423"/>
        <v>1.0085145270854086</v>
      </c>
      <c r="BJ278" s="520">
        <f t="shared" si="424"/>
        <v>1.0118618238159349</v>
      </c>
      <c r="BK278" s="520">
        <f t="shared" si="425"/>
        <v>1.0167384306287106</v>
      </c>
      <c r="BL278" s="520">
        <f t="shared" si="426"/>
        <v>1.0222237475545779</v>
      </c>
      <c r="BM278" s="520">
        <f t="shared" si="427"/>
        <v>1.0258960183146164</v>
      </c>
      <c r="BN278" s="521" t="str">
        <f t="shared" si="428"/>
        <v>Project</v>
      </c>
      <c r="BP278" s="3"/>
    </row>
    <row r="279" spans="1:69" hidden="1" x14ac:dyDescent="0.15">
      <c r="A279" s="511" t="s">
        <v>569</v>
      </c>
      <c r="B279" s="512" t="s">
        <v>570</v>
      </c>
      <c r="C279" s="512" t="s">
        <v>27</v>
      </c>
      <c r="D279" s="512" t="s">
        <v>41</v>
      </c>
      <c r="E279" s="512" t="s">
        <v>112</v>
      </c>
      <c r="F279" s="518">
        <v>0</v>
      </c>
      <c r="G279" s="518">
        <v>0</v>
      </c>
      <c r="H279" s="518">
        <v>0</v>
      </c>
      <c r="I279" s="518">
        <v>0</v>
      </c>
      <c r="J279" s="518">
        <v>0</v>
      </c>
      <c r="K279" s="518">
        <v>0</v>
      </c>
      <c r="L279" s="518">
        <v>0</v>
      </c>
      <c r="M279" s="513">
        <v>0</v>
      </c>
      <c r="N279" s="671"/>
      <c r="O279" s="518"/>
      <c r="P279" s="513"/>
      <c r="Q279" s="513" t="str">
        <f>IF(ISTEXT('Incurred 2.5% cpi'!Q279),"",'Incurred 2.5% cpi'!Q279/'Incurred 2.5% cpi'!Q$17*Incurred!Q$17)</f>
        <v/>
      </c>
      <c r="R279" s="514" t="str">
        <f>IF(ISTEXT('Incurred 2.5% cpi'!R279),"",'Incurred 2.5% cpi'!R279/'Incurred 2.5% cpi'!R$17*Incurred!R$17*BG279)</f>
        <v/>
      </c>
      <c r="S279" s="515">
        <f>IF(ISTEXT('Incurred 2.5% cpi'!S279),"",'Incurred 2.5% cpi'!S279/'Incurred 2.5% cpi'!S$17*Incurred!S$17*BH279)</f>
        <v>858624.13248160144</v>
      </c>
      <c r="T279" s="513">
        <f>IF(ISTEXT('Incurred 2.5% cpi'!T279),"",'Incurred 2.5% cpi'!T279/'Incurred 2.5% cpi'!T$17*Incurred!T$17*BI279)</f>
        <v>3057846.5383502087</v>
      </c>
      <c r="U279" s="513">
        <f>IF(ISTEXT('Incurred 2.5% cpi'!U279),"",'Incurred 2.5% cpi'!U279/'Incurred 2.5% cpi'!U$17*Incurred!U$17*BJ279)</f>
        <v>5284574.6417443398</v>
      </c>
      <c r="V279" s="513" t="str">
        <f>IF(ISTEXT('Incurred 2.5% cpi'!V279),"",'Incurred 2.5% cpi'!V279/'Incurred 2.5% cpi'!V$17*Incurred!V$17*BK279)</f>
        <v/>
      </c>
      <c r="W279" s="514" t="str">
        <f>IF(ISTEXT('Incurred 2.5% cpi'!W279),"",'Incurred 2.5% cpi'!W279/'Incurred 2.5% cpi'!W$17*Incurred!W$17*BL279)</f>
        <v/>
      </c>
      <c r="X279" s="515" t="str">
        <f>IF(ISTEXT('Incurred 2.5% cpi'!X279),"",'Incurred 2.5% cpi'!X279/'Incurred 2.5% cpi'!X$17*Incurred!X$17*BM279)</f>
        <v/>
      </c>
      <c r="Y279" s="80">
        <f t="shared" si="434"/>
        <v>9201045.3125761505</v>
      </c>
      <c r="Z279" s="80">
        <f t="shared" si="431"/>
        <v>9201045.3125761505</v>
      </c>
      <c r="AA279" s="566">
        <f t="shared" si="437"/>
        <v>9792832.8884555884</v>
      </c>
      <c r="AB279" s="566">
        <f t="shared" si="419"/>
        <v>9320959.322741786</v>
      </c>
      <c r="AC279" s="567">
        <f t="shared" si="435"/>
        <v>1.0506249999999999</v>
      </c>
      <c r="AD279" s="568" t="str">
        <f t="shared" si="420"/>
        <v>2021</v>
      </c>
      <c r="AE279" s="569">
        <v>44908</v>
      </c>
      <c r="AF279" s="568">
        <v>2021</v>
      </c>
      <c r="AG279" s="569"/>
      <c r="AH279" s="566">
        <f t="shared" si="438"/>
        <v>8655437.3363049626</v>
      </c>
      <c r="AI279" s="80">
        <f t="shared" si="421"/>
        <v>5284574.6417443398</v>
      </c>
      <c r="AJ279" s="571" t="s">
        <v>3035</v>
      </c>
      <c r="AK279" s="875">
        <f t="shared" si="429"/>
        <v>0</v>
      </c>
      <c r="AL279" s="28">
        <f t="shared" si="439"/>
        <v>0</v>
      </c>
      <c r="AM279" s="28">
        <f t="shared" si="439"/>
        <v>0</v>
      </c>
      <c r="AN279" s="28">
        <f t="shared" si="439"/>
        <v>0</v>
      </c>
      <c r="AO279" s="28">
        <f t="shared" si="439"/>
        <v>0</v>
      </c>
      <c r="AP279" s="28">
        <f t="shared" si="439"/>
        <v>0</v>
      </c>
      <c r="AQ279" s="28">
        <f t="shared" si="439"/>
        <v>0</v>
      </c>
      <c r="AR279" s="28">
        <f t="shared" si="439"/>
        <v>0</v>
      </c>
      <c r="AS279" s="28">
        <f t="shared" si="439"/>
        <v>0</v>
      </c>
      <c r="AT279" s="28">
        <f t="shared" si="439"/>
        <v>0</v>
      </c>
      <c r="AU279" s="28">
        <f t="shared" si="439"/>
        <v>0</v>
      </c>
      <c r="AV279" s="28">
        <f t="shared" si="440"/>
        <v>0</v>
      </c>
      <c r="AW279" s="28">
        <f t="shared" si="440"/>
        <v>0</v>
      </c>
      <c r="AX279" s="28">
        <f t="shared" si="440"/>
        <v>0</v>
      </c>
      <c r="AY279" s="28">
        <f t="shared" si="440"/>
        <v>0</v>
      </c>
      <c r="AZ279" s="28">
        <f t="shared" si="440"/>
        <v>0</v>
      </c>
      <c r="BA279" s="28">
        <f t="shared" si="440"/>
        <v>0</v>
      </c>
      <c r="BB279" s="28">
        <f t="shared" si="440"/>
        <v>0</v>
      </c>
      <c r="BC279" s="28">
        <f t="shared" si="440"/>
        <v>0</v>
      </c>
      <c r="BD279" s="28">
        <f t="shared" si="440"/>
        <v>0</v>
      </c>
      <c r="BE279" s="28">
        <f t="shared" si="440"/>
        <v>1</v>
      </c>
      <c r="BF279" s="27">
        <f t="shared" si="441"/>
        <v>1</v>
      </c>
      <c r="BG279" s="520">
        <f t="shared" si="436"/>
        <v>1.0043960733921258</v>
      </c>
      <c r="BH279" s="520">
        <f t="shared" si="422"/>
        <v>1.0084007456572179</v>
      </c>
      <c r="BI279" s="520">
        <f t="shared" si="423"/>
        <v>1.0127348821945115</v>
      </c>
      <c r="BJ279" s="520">
        <f t="shared" si="424"/>
        <v>1.0177413175614709</v>
      </c>
      <c r="BK279" s="520">
        <f t="shared" si="425"/>
        <v>1.0250350888592423</v>
      </c>
      <c r="BL279" s="520">
        <f t="shared" si="426"/>
        <v>1.0332392867142461</v>
      </c>
      <c r="BM279" s="520">
        <f t="shared" si="427"/>
        <v>1.0387317744409668</v>
      </c>
      <c r="BN279" s="521" t="str">
        <f t="shared" si="428"/>
        <v>Project</v>
      </c>
      <c r="BP279" s="3"/>
    </row>
    <row r="280" spans="1:69" hidden="1" x14ac:dyDescent="0.15">
      <c r="A280" s="12" t="s">
        <v>571</v>
      </c>
      <c r="B280" s="13" t="s">
        <v>572</v>
      </c>
      <c r="C280" s="13" t="s">
        <v>27</v>
      </c>
      <c r="D280" s="13" t="s">
        <v>31</v>
      </c>
      <c r="E280" s="13" t="s">
        <v>112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5">
        <v>0</v>
      </c>
      <c r="N280" s="670"/>
      <c r="O280" s="14"/>
      <c r="P280" s="15"/>
      <c r="Q280" s="15" t="str">
        <f>IF(ISTEXT('Incurred 2.5% cpi'!Q280),"",'Incurred 2.5% cpi'!Q280/'Incurred 2.5% cpi'!Q$17*Incurred!Q$17)</f>
        <v/>
      </c>
      <c r="R280" s="110" t="str">
        <f>IF(ISTEXT('Incurred 2.5% cpi'!R280),"",'Incurred 2.5% cpi'!R280/'Incurred 2.5% cpi'!R$17*Incurred!R$17*BG280)</f>
        <v/>
      </c>
      <c r="S280" s="102">
        <f>IF(ISTEXT('Incurred 2.5% cpi'!S280),"",'Incurred 2.5% cpi'!S280/'Incurred 2.5% cpi'!S$17*Incurred!S$17*BH280)</f>
        <v>86866.319824794569</v>
      </c>
      <c r="T280" s="16">
        <f>IF(ISTEXT('Incurred 2.5% cpi'!T280),"",'Incurred 2.5% cpi'!T280/'Incurred 2.5% cpi'!T$17*Incurred!T$17*BI280)</f>
        <v>1318767.4648033672</v>
      </c>
      <c r="U280" s="16">
        <f>IF(ISTEXT('Incurred 2.5% cpi'!U280),"",'Incurred 2.5% cpi'!U280/'Incurred 2.5% cpi'!U$17*Incurred!U$17*BJ280)</f>
        <v>5388971.4146279553</v>
      </c>
      <c r="V280" s="16">
        <f>IF(ISTEXT('Incurred 2.5% cpi'!V280),"",'Incurred 2.5% cpi'!V280/'Incurred 2.5% cpi'!V$17*Incurred!V$17*BK280)</f>
        <v>7057.2730445704938</v>
      </c>
      <c r="W280" s="110" t="str">
        <f>IF(ISTEXT('Incurred 2.5% cpi'!W280),"",'Incurred 2.5% cpi'!W280/'Incurred 2.5% cpi'!W$17*Incurred!W$17*BL280)</f>
        <v/>
      </c>
      <c r="X280" s="102" t="str">
        <f>IF(ISTEXT('Incurred 2.5% cpi'!X280),"",'Incurred 2.5% cpi'!X280/'Incurred 2.5% cpi'!X$17*Incurred!X$17*BM280)</f>
        <v/>
      </c>
      <c r="Y280" s="80">
        <f t="shared" si="434"/>
        <v>6801662.4723006869</v>
      </c>
      <c r="Z280" s="80">
        <f t="shared" si="431"/>
        <v>6801662.4723006869</v>
      </c>
      <c r="AA280" s="566">
        <f t="shared" si="437"/>
        <v>7185074.2803497054</v>
      </c>
      <c r="AB280" s="566">
        <f t="shared" si="419"/>
        <v>6838857.1377510587</v>
      </c>
      <c r="AC280" s="567">
        <f t="shared" si="435"/>
        <v>1.0506249999999999</v>
      </c>
      <c r="AD280" s="568" t="str">
        <f t="shared" si="420"/>
        <v>2022</v>
      </c>
      <c r="AE280" s="569">
        <v>44305</v>
      </c>
      <c r="AF280" s="568">
        <v>2021</v>
      </c>
      <c r="AG280" s="569"/>
      <c r="AH280" s="566">
        <f t="shared" si="438"/>
        <v>6350558.7094799522</v>
      </c>
      <c r="AI280" s="80">
        <f t="shared" si="421"/>
        <v>7057.2730445704938</v>
      </c>
      <c r="AJ280" s="571" t="s">
        <v>3035</v>
      </c>
      <c r="AK280" s="875">
        <f>IF(ISNA(VLOOKUP(LEFT($A280,8),Estimates,72,FALSE)),0,VLOOKUP(LEFT($A280,8),Estimates,72,FALSE))</f>
        <v>3795258.1264123372</v>
      </c>
      <c r="AL280" s="28">
        <f t="shared" si="439"/>
        <v>0</v>
      </c>
      <c r="AM280" s="28">
        <f t="shared" si="439"/>
        <v>2.6106899965632317E-2</v>
      </c>
      <c r="AN280" s="28">
        <f t="shared" si="439"/>
        <v>0.16177074430254343</v>
      </c>
      <c r="AO280" s="28">
        <f t="shared" si="439"/>
        <v>0</v>
      </c>
      <c r="AP280" s="28">
        <f t="shared" si="439"/>
        <v>0</v>
      </c>
      <c r="AQ280" s="28">
        <f t="shared" si="439"/>
        <v>0</v>
      </c>
      <c r="AR280" s="28">
        <f t="shared" si="439"/>
        <v>0</v>
      </c>
      <c r="AS280" s="28">
        <f t="shared" si="439"/>
        <v>0</v>
      </c>
      <c r="AT280" s="28">
        <f t="shared" si="439"/>
        <v>0</v>
      </c>
      <c r="AU280" s="28">
        <f t="shared" si="439"/>
        <v>0.44869940966227667</v>
      </c>
      <c r="AV280" s="28">
        <f t="shared" si="440"/>
        <v>0</v>
      </c>
      <c r="AW280" s="28">
        <f t="shared" si="440"/>
        <v>9.3520351622760664E-2</v>
      </c>
      <c r="AX280" s="28">
        <f t="shared" si="440"/>
        <v>0</v>
      </c>
      <c r="AY280" s="28">
        <f t="shared" si="440"/>
        <v>0</v>
      </c>
      <c r="AZ280" s="28">
        <f t="shared" si="440"/>
        <v>0.19533586128296904</v>
      </c>
      <c r="BA280" s="28">
        <f t="shared" si="440"/>
        <v>7.3249299715693883E-2</v>
      </c>
      <c r="BB280" s="28">
        <f t="shared" si="440"/>
        <v>1.3174334481239906E-3</v>
      </c>
      <c r="BC280" s="28">
        <f t="shared" si="440"/>
        <v>0</v>
      </c>
      <c r="BD280" s="28">
        <f t="shared" si="440"/>
        <v>0</v>
      </c>
      <c r="BE280" s="28">
        <f t="shared" si="440"/>
        <v>0</v>
      </c>
      <c r="BF280" s="27">
        <f t="shared" si="418"/>
        <v>0.99999999999999989</v>
      </c>
      <c r="BG280" s="520">
        <f t="shared" si="436"/>
        <v>1.0031222795856722</v>
      </c>
      <c r="BH280" s="520">
        <f t="shared" si="422"/>
        <v>1.005966569329106</v>
      </c>
      <c r="BI280" s="520">
        <f t="shared" si="423"/>
        <v>1.0090448587080203</v>
      </c>
      <c r="BJ280" s="520">
        <f t="shared" si="424"/>
        <v>1.012600643507074</v>
      </c>
      <c r="BK280" s="520">
        <f t="shared" si="425"/>
        <v>1.0177809922397374</v>
      </c>
      <c r="BL280" s="520">
        <f t="shared" si="426"/>
        <v>1.023607964902518</v>
      </c>
      <c r="BM280" s="520">
        <f t="shared" si="427"/>
        <v>1.0275089649027487</v>
      </c>
      <c r="BN280" s="521" t="str">
        <f t="shared" si="428"/>
        <v>Category</v>
      </c>
      <c r="BP280" s="3"/>
    </row>
    <row r="281" spans="1:69" hidden="1" x14ac:dyDescent="0.15">
      <c r="A281" s="12" t="s">
        <v>573</v>
      </c>
      <c r="B281" s="13" t="s">
        <v>2322</v>
      </c>
      <c r="C281" s="13" t="s">
        <v>27</v>
      </c>
      <c r="D281" s="13" t="s">
        <v>55</v>
      </c>
      <c r="E281" s="13" t="s">
        <v>112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5">
        <v>0</v>
      </c>
      <c r="N281" s="670"/>
      <c r="O281" s="14"/>
      <c r="P281" s="15"/>
      <c r="Q281" s="15" t="str">
        <f>IF(ISTEXT('Incurred 2.5% cpi'!Q281),"",'Incurred 2.5% cpi'!Q281/'Incurred 2.5% cpi'!Q$17*Incurred!Q$17)</f>
        <v/>
      </c>
      <c r="R281" s="110">
        <f>IF(ISTEXT('Incurred 2.5% cpi'!R281),"",'Incurred 2.5% cpi'!R281/'Incurred 2.5% cpi'!R$17*Incurred!R$17*BG281)</f>
        <v>353386.06145674526</v>
      </c>
      <c r="S281" s="102">
        <f>IF(ISTEXT('Incurred 2.5% cpi'!S281),"",'Incurred 2.5% cpi'!S281/'Incurred 2.5% cpi'!S$17*Incurred!S$17*BH281)</f>
        <v>2445.3661246369884</v>
      </c>
      <c r="T281" s="16" t="str">
        <f>IF(ISTEXT('Incurred 2.5% cpi'!T281),"",'Incurred 2.5% cpi'!T281/'Incurred 2.5% cpi'!T$17*Incurred!T$17*BI281)</f>
        <v/>
      </c>
      <c r="U281" s="16" t="str">
        <f>IF(ISTEXT('Incurred 2.5% cpi'!U281),"",'Incurred 2.5% cpi'!U281/'Incurred 2.5% cpi'!U$17*Incurred!U$17*BJ281)</f>
        <v/>
      </c>
      <c r="V281" s="16" t="str">
        <f>IF(ISTEXT('Incurred 2.5% cpi'!V281),"",'Incurred 2.5% cpi'!V281/'Incurred 2.5% cpi'!V$17*Incurred!V$17*BK281)</f>
        <v/>
      </c>
      <c r="W281" s="110" t="str">
        <f>IF(ISTEXT('Incurred 2.5% cpi'!W281),"",'Incurred 2.5% cpi'!W281/'Incurred 2.5% cpi'!W$17*Incurred!W$17*BL281)</f>
        <v/>
      </c>
      <c r="X281" s="102" t="str">
        <f>IF(ISTEXT('Incurred 2.5% cpi'!X281),"",'Incurred 2.5% cpi'!X281/'Incurred 2.5% cpi'!X$17*Incurred!X$17*BM281)</f>
        <v/>
      </c>
      <c r="Y281" s="80">
        <f t="shared" si="434"/>
        <v>355831.42758138222</v>
      </c>
      <c r="Z281" s="80">
        <f t="shared" si="431"/>
        <v>355831.42758138222</v>
      </c>
      <c r="AA281" s="566">
        <f t="shared" si="437"/>
        <v>402523.11890390463</v>
      </c>
      <c r="AB281" s="566">
        <f t="shared" si="419"/>
        <v>364666.07911780087</v>
      </c>
      <c r="AC281" s="567">
        <f t="shared" si="435"/>
        <v>1.1038128906249998</v>
      </c>
      <c r="AD281" s="568" t="str">
        <f t="shared" si="420"/>
        <v>2019</v>
      </c>
      <c r="AE281" s="569">
        <v>43203</v>
      </c>
      <c r="AF281" s="568" t="s">
        <v>3152</v>
      </c>
      <c r="AG281" s="569"/>
      <c r="AH281" s="566">
        <f t="shared" si="438"/>
        <v>355771.78450517158</v>
      </c>
      <c r="AI281" s="80">
        <f t="shared" si="421"/>
        <v>2445.3661246369884</v>
      </c>
      <c r="AJ281" s="571" t="s">
        <v>0</v>
      </c>
      <c r="AK281" s="875">
        <f>IF(ISNA(VLOOKUP(LEFT($A281,8),Estimates,72,FALSE)),0,VLOOKUP(LEFT($A281,8),Estimates,72,FALSE))</f>
        <v>67400.000000000015</v>
      </c>
      <c r="AL281" s="28">
        <f t="shared" si="439"/>
        <v>0</v>
      </c>
      <c r="AM281" s="28">
        <f t="shared" si="439"/>
        <v>0</v>
      </c>
      <c r="AN281" s="28">
        <f t="shared" si="439"/>
        <v>0</v>
      </c>
      <c r="AO281" s="28">
        <f t="shared" si="439"/>
        <v>1</v>
      </c>
      <c r="AP281" s="28">
        <f t="shared" si="439"/>
        <v>0</v>
      </c>
      <c r="AQ281" s="28">
        <f t="shared" si="439"/>
        <v>0</v>
      </c>
      <c r="AR281" s="28">
        <f t="shared" si="439"/>
        <v>0</v>
      </c>
      <c r="AS281" s="28">
        <f t="shared" si="439"/>
        <v>0</v>
      </c>
      <c r="AT281" s="28">
        <f t="shared" si="439"/>
        <v>0</v>
      </c>
      <c r="AU281" s="28">
        <f t="shared" si="439"/>
        <v>0</v>
      </c>
      <c r="AV281" s="28">
        <f t="shared" si="440"/>
        <v>0</v>
      </c>
      <c r="AW281" s="28">
        <f t="shared" si="440"/>
        <v>0</v>
      </c>
      <c r="AX281" s="28">
        <f t="shared" si="440"/>
        <v>0</v>
      </c>
      <c r="AY281" s="28">
        <f t="shared" si="440"/>
        <v>0</v>
      </c>
      <c r="AZ281" s="28">
        <f t="shared" si="440"/>
        <v>0</v>
      </c>
      <c r="BA281" s="28">
        <f t="shared" si="440"/>
        <v>0</v>
      </c>
      <c r="BB281" s="28">
        <f t="shared" si="440"/>
        <v>0</v>
      </c>
      <c r="BC281" s="28">
        <f t="shared" si="440"/>
        <v>0</v>
      </c>
      <c r="BD281" s="28">
        <f t="shared" si="440"/>
        <v>0</v>
      </c>
      <c r="BE281" s="28">
        <f t="shared" si="440"/>
        <v>0</v>
      </c>
      <c r="BF281" s="27">
        <f t="shared" si="418"/>
        <v>1</v>
      </c>
      <c r="BG281" s="520">
        <f t="shared" si="436"/>
        <v>1.0046190746045656</v>
      </c>
      <c r="BH281" s="520">
        <f t="shared" si="422"/>
        <v>1.0088268933348963</v>
      </c>
      <c r="BI281" s="520">
        <f t="shared" si="423"/>
        <v>1.0133808891912874</v>
      </c>
      <c r="BJ281" s="520">
        <f t="shared" si="424"/>
        <v>1.018641287824382</v>
      </c>
      <c r="BK281" s="520">
        <f t="shared" si="425"/>
        <v>1.0263050529092395</v>
      </c>
      <c r="BL281" s="520">
        <f t="shared" si="426"/>
        <v>1.0349254280901359</v>
      </c>
      <c r="BM281" s="520">
        <f t="shared" si="427"/>
        <v>1.0406965352376705</v>
      </c>
      <c r="BN281" s="521" t="str">
        <f t="shared" si="428"/>
        <v>Category</v>
      </c>
      <c r="BP281" s="3"/>
    </row>
    <row r="282" spans="1:69" hidden="1" x14ac:dyDescent="0.15">
      <c r="A282" s="12" t="s">
        <v>575</v>
      </c>
      <c r="B282" s="13" t="s">
        <v>576</v>
      </c>
      <c r="C282" s="13" t="s">
        <v>27</v>
      </c>
      <c r="D282" s="13" t="s">
        <v>54</v>
      </c>
      <c r="E282" s="13" t="s">
        <v>29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5">
        <v>0</v>
      </c>
      <c r="N282" s="670"/>
      <c r="O282" s="14"/>
      <c r="P282" s="15">
        <v>162054.01999999999</v>
      </c>
      <c r="Q282" s="15">
        <f>IF(ISTEXT('Incurred 2.5% cpi'!Q282),"",'Incurred 2.5% cpi'!Q282/'Incurred 2.5% cpi'!Q$17*Incurred!Q$17)</f>
        <v>305300.36</v>
      </c>
      <c r="R282" s="110">
        <f>IF(ISTEXT('Incurred 2.5% cpi'!R282),"",'Incurred 2.5% cpi'!R282/'Incurred 2.5% cpi'!R$17*Incurred!R$17*BG282)</f>
        <v>2144241.9767105887</v>
      </c>
      <c r="S282" s="102">
        <f>IF(ISTEXT('Incurred 2.5% cpi'!S282),"",'Incurred 2.5% cpi'!S282/'Incurred 2.5% cpi'!S$17*Incurred!S$17*BH282)</f>
        <v>728117.23508324614</v>
      </c>
      <c r="T282" s="16" t="str">
        <f>IF(ISTEXT('Incurred 2.5% cpi'!T282),"",'Incurred 2.5% cpi'!T282/'Incurred 2.5% cpi'!T$17*Incurred!T$17*BI282)</f>
        <v/>
      </c>
      <c r="U282" s="16" t="str">
        <f>IF(ISTEXT('Incurred 2.5% cpi'!U282),"",'Incurred 2.5% cpi'!U282/'Incurred 2.5% cpi'!U$17*Incurred!U$17*BJ282)</f>
        <v/>
      </c>
      <c r="V282" s="16" t="str">
        <f>IF(ISTEXT('Incurred 2.5% cpi'!V282),"",'Incurred 2.5% cpi'!V282/'Incurred 2.5% cpi'!V$17*Incurred!V$17*BK282)</f>
        <v/>
      </c>
      <c r="W282" s="110" t="str">
        <f>IF(ISTEXT('Incurred 2.5% cpi'!W282),"",'Incurred 2.5% cpi'!W282/'Incurred 2.5% cpi'!W$17*Incurred!W$17*BL282)</f>
        <v/>
      </c>
      <c r="X282" s="102" t="str">
        <f>IF(ISTEXT('Incurred 2.5% cpi'!X282),"",'Incurred 2.5% cpi'!X282/'Incurred 2.5% cpi'!X$17*Incurred!X$17*BM282)</f>
        <v/>
      </c>
      <c r="Y282" s="80">
        <f t="shared" si="434"/>
        <v>3339713.5917938347</v>
      </c>
      <c r="Z282" s="80">
        <f t="shared" si="431"/>
        <v>3339713.5917938347</v>
      </c>
      <c r="AA282" s="566">
        <f>IF(ROUND(Y282,0)=0,0,SUMPRODUCT($F$20:$W$20,F282:W282))</f>
        <v>3775700.8498163135</v>
      </c>
      <c r="AB282" s="566">
        <f t="shared" si="419"/>
        <v>3420598.6194620724</v>
      </c>
      <c r="AC282" s="567">
        <f t="shared" si="435"/>
        <v>1.1038128906249998</v>
      </c>
      <c r="AD282" s="568" t="str">
        <f t="shared" si="420"/>
        <v>2019</v>
      </c>
      <c r="AE282" s="569">
        <v>43357</v>
      </c>
      <c r="AF282" s="568">
        <v>2019</v>
      </c>
      <c r="AG282" s="569"/>
      <c r="AH282" s="566">
        <f>IF(ROUND(Y282,0)=0,0,SUMPRODUCT($F$19:$W$19,F282:W282))</f>
        <v>3337169.3848410463</v>
      </c>
      <c r="AI282" s="80">
        <f t="shared" si="421"/>
        <v>728117.23508324614</v>
      </c>
      <c r="AJ282" s="571" t="s">
        <v>3035</v>
      </c>
      <c r="AK282" s="875">
        <f t="shared" si="429"/>
        <v>0</v>
      </c>
      <c r="AL282" s="28">
        <f t="shared" ref="AL282:AU285" si="442">IF($AK282=0,VLOOKUP(MID($A282,4,5),ProjectSplits,AL$23,FALSE),IF(ISNA(VLOOKUP($A282,Estimates,AL$22,FALSE)),VLOOKUP(MID($A282,4,5),ProjectSplits,AL$23,FALSE),VLOOKUP($A282,Estimates,AL$22,FALSE)))</f>
        <v>0</v>
      </c>
      <c r="AM282" s="28">
        <f t="shared" si="442"/>
        <v>0</v>
      </c>
      <c r="AN282" s="28">
        <f t="shared" si="442"/>
        <v>0</v>
      </c>
      <c r="AO282" s="28">
        <f t="shared" si="442"/>
        <v>0</v>
      </c>
      <c r="AP282" s="28">
        <f t="shared" si="442"/>
        <v>0</v>
      </c>
      <c r="AQ282" s="28">
        <f t="shared" si="442"/>
        <v>0</v>
      </c>
      <c r="AR282" s="28">
        <f t="shared" si="442"/>
        <v>0</v>
      </c>
      <c r="AS282" s="28">
        <f t="shared" si="442"/>
        <v>0</v>
      </c>
      <c r="AT282" s="28">
        <f t="shared" si="442"/>
        <v>0</v>
      </c>
      <c r="AU282" s="28">
        <f t="shared" si="442"/>
        <v>0.42</v>
      </c>
      <c r="AV282" s="28">
        <f t="shared" ref="AV282:BE285" si="443">IF($AK282=0,VLOOKUP(MID($A282,4,5),ProjectSplits,AV$23,FALSE),IF(ISNA(VLOOKUP($A282,Estimates,AV$22,FALSE)),VLOOKUP(MID($A282,4,5),ProjectSplits,AV$23,FALSE),VLOOKUP($A282,Estimates,AV$22,FALSE)))</f>
        <v>0.15</v>
      </c>
      <c r="AW282" s="28">
        <f t="shared" si="443"/>
        <v>0.2</v>
      </c>
      <c r="AX282" s="28">
        <f t="shared" si="443"/>
        <v>0</v>
      </c>
      <c r="AY282" s="28">
        <f t="shared" si="443"/>
        <v>0</v>
      </c>
      <c r="AZ282" s="28">
        <f t="shared" si="443"/>
        <v>0.23</v>
      </c>
      <c r="BA282" s="28">
        <f t="shared" si="443"/>
        <v>0</v>
      </c>
      <c r="BB282" s="28">
        <f t="shared" si="443"/>
        <v>0</v>
      </c>
      <c r="BC282" s="28">
        <f t="shared" si="443"/>
        <v>0</v>
      </c>
      <c r="BD282" s="28">
        <f t="shared" si="443"/>
        <v>0</v>
      </c>
      <c r="BE282" s="28">
        <f t="shared" si="443"/>
        <v>0</v>
      </c>
      <c r="BF282" s="27">
        <f t="shared" ref="BF282:BF285" si="444">SUM(AL282:BD282)</f>
        <v>1</v>
      </c>
      <c r="BG282" s="520">
        <f t="shared" si="436"/>
        <v>1.0030818160192299</v>
      </c>
      <c r="BH282" s="520">
        <f t="shared" si="422"/>
        <v>1.0058892448397847</v>
      </c>
      <c r="BI282" s="520">
        <f t="shared" si="423"/>
        <v>1.0089276407487533</v>
      </c>
      <c r="BJ282" s="520">
        <f t="shared" si="424"/>
        <v>1.0124373439172154</v>
      </c>
      <c r="BK282" s="520">
        <f t="shared" si="425"/>
        <v>1.0175505572831101</v>
      </c>
      <c r="BL282" s="520">
        <f t="shared" si="426"/>
        <v>1.023302014576742</v>
      </c>
      <c r="BM282" s="520">
        <f t="shared" si="427"/>
        <v>1.0271524590875074</v>
      </c>
      <c r="BN282" s="521" t="str">
        <f t="shared" si="428"/>
        <v>Category</v>
      </c>
      <c r="BP282" s="3"/>
    </row>
    <row r="283" spans="1:69" hidden="1" x14ac:dyDescent="0.15">
      <c r="A283" s="12" t="s">
        <v>577</v>
      </c>
      <c r="B283" s="13" t="s">
        <v>578</v>
      </c>
      <c r="C283" s="13" t="s">
        <v>27</v>
      </c>
      <c r="D283" s="13" t="s">
        <v>54</v>
      </c>
      <c r="E283" s="13" t="s">
        <v>29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5">
        <v>0</v>
      </c>
      <c r="N283" s="670"/>
      <c r="O283" s="14"/>
      <c r="P283" s="15">
        <v>51133.84</v>
      </c>
      <c r="Q283" s="15">
        <f>IF(ISTEXT('Incurred 2.5% cpi'!Q283),"",'Incurred 2.5% cpi'!Q283/'Incurred 2.5% cpi'!Q$17*Incurred!Q$17)</f>
        <v>63043.92</v>
      </c>
      <c r="R283" s="110">
        <f>IF(ISTEXT('Incurred 2.5% cpi'!R283),"",'Incurred 2.5% cpi'!R283/'Incurred 2.5% cpi'!R$17*Incurred!R$17*BG283)</f>
        <v>248341.3509558627</v>
      </c>
      <c r="S283" s="102">
        <f>IF(ISTEXT('Incurred 2.5% cpi'!S283),"",'Incurred 2.5% cpi'!S283/'Incurred 2.5% cpi'!S$17*Incurred!S$17*BH283)</f>
        <v>1726163.0082419303</v>
      </c>
      <c r="T283" s="16">
        <f>IF(ISTEXT('Incurred 2.5% cpi'!T283),"",'Incurred 2.5% cpi'!T283/'Incurred 2.5% cpi'!T$17*Incurred!T$17*BI283)</f>
        <v>6470.27313867457</v>
      </c>
      <c r="U283" s="16" t="str">
        <f>IF(ISTEXT('Incurred 2.5% cpi'!U283),"",'Incurred 2.5% cpi'!U283/'Incurred 2.5% cpi'!U$17*Incurred!U$17*BJ283)</f>
        <v/>
      </c>
      <c r="V283" s="16" t="str">
        <f>IF(ISTEXT('Incurred 2.5% cpi'!V283),"",'Incurred 2.5% cpi'!V283/'Incurred 2.5% cpi'!V$17*Incurred!V$17*BK283)</f>
        <v/>
      </c>
      <c r="W283" s="110" t="str">
        <f>IF(ISTEXT('Incurred 2.5% cpi'!W283),"",'Incurred 2.5% cpi'!W283/'Incurred 2.5% cpi'!W$17*Incurred!W$17*BL283)</f>
        <v/>
      </c>
      <c r="X283" s="102" t="str">
        <f>IF(ISTEXT('Incurred 2.5% cpi'!X283),"",'Incurred 2.5% cpi'!X283/'Incurred 2.5% cpi'!X$17*Incurred!X$17*BM283)</f>
        <v/>
      </c>
      <c r="Y283" s="80">
        <f t="shared" si="434"/>
        <v>2095152.3923364675</v>
      </c>
      <c r="Z283" s="80">
        <f t="shared" si="431"/>
        <v>2095152.3923364675</v>
      </c>
      <c r="AA283" s="566">
        <f>IF(ROUND(Y283,0)=0,0,SUMPRODUCT($F$20:$W$20,F283:W283))</f>
        <v>2326975.9242192791</v>
      </c>
      <c r="AB283" s="566">
        <f t="shared" si="419"/>
        <v>2108125.3389799618</v>
      </c>
      <c r="AC283" s="567">
        <f t="shared" si="435"/>
        <v>1.1038128906249998</v>
      </c>
      <c r="AD283" s="568" t="str">
        <f t="shared" si="420"/>
        <v>2020</v>
      </c>
      <c r="AE283" s="569">
        <v>43635</v>
      </c>
      <c r="AF283" s="568">
        <v>2019</v>
      </c>
      <c r="AG283" s="569"/>
      <c r="AH283" s="566">
        <f>IF(ROUND(Y283,0)=0,0,SUMPRODUCT($F$19:$W$19,F283:W283))</f>
        <v>2056707.6477853288</v>
      </c>
      <c r="AI283" s="80">
        <f t="shared" si="421"/>
        <v>6470.27313867457</v>
      </c>
      <c r="AJ283" s="571" t="s">
        <v>3035</v>
      </c>
      <c r="AK283" s="875">
        <f t="shared" si="429"/>
        <v>0</v>
      </c>
      <c r="AL283" s="28">
        <f t="shared" si="442"/>
        <v>0</v>
      </c>
      <c r="AM283" s="28">
        <f t="shared" si="442"/>
        <v>0</v>
      </c>
      <c r="AN283" s="28">
        <f t="shared" si="442"/>
        <v>0</v>
      </c>
      <c r="AO283" s="28">
        <f t="shared" si="442"/>
        <v>0</v>
      </c>
      <c r="AP283" s="28">
        <f t="shared" si="442"/>
        <v>0</v>
      </c>
      <c r="AQ283" s="28">
        <f t="shared" si="442"/>
        <v>0</v>
      </c>
      <c r="AR283" s="28">
        <f t="shared" si="442"/>
        <v>0</v>
      </c>
      <c r="AS283" s="28">
        <f t="shared" si="442"/>
        <v>0</v>
      </c>
      <c r="AT283" s="28">
        <f t="shared" si="442"/>
        <v>0</v>
      </c>
      <c r="AU283" s="28">
        <f t="shared" si="442"/>
        <v>0.35</v>
      </c>
      <c r="AV283" s="28">
        <f t="shared" si="443"/>
        <v>0</v>
      </c>
      <c r="AW283" s="28">
        <f t="shared" si="443"/>
        <v>0.5</v>
      </c>
      <c r="AX283" s="28">
        <f t="shared" si="443"/>
        <v>0</v>
      </c>
      <c r="AY283" s="28">
        <f t="shared" si="443"/>
        <v>0</v>
      </c>
      <c r="AZ283" s="28">
        <f t="shared" si="443"/>
        <v>0.15</v>
      </c>
      <c r="BA283" s="28">
        <f t="shared" si="443"/>
        <v>0</v>
      </c>
      <c r="BB283" s="28">
        <f t="shared" si="443"/>
        <v>0</v>
      </c>
      <c r="BC283" s="28">
        <f t="shared" si="443"/>
        <v>0</v>
      </c>
      <c r="BD283" s="28">
        <f t="shared" si="443"/>
        <v>0</v>
      </c>
      <c r="BE283" s="28">
        <f t="shared" si="443"/>
        <v>0</v>
      </c>
      <c r="BF283" s="27">
        <f t="shared" si="444"/>
        <v>1</v>
      </c>
      <c r="BG283" s="520">
        <f t="shared" si="436"/>
        <v>1.0030818160192299</v>
      </c>
      <c r="BH283" s="520">
        <f t="shared" si="422"/>
        <v>1.0058892448397847</v>
      </c>
      <c r="BI283" s="520">
        <f t="shared" si="423"/>
        <v>1.0089276407487533</v>
      </c>
      <c r="BJ283" s="520">
        <f t="shared" si="424"/>
        <v>1.0124373439172154</v>
      </c>
      <c r="BK283" s="520">
        <f t="shared" si="425"/>
        <v>1.0175505572831101</v>
      </c>
      <c r="BL283" s="520">
        <f t="shared" si="426"/>
        <v>1.023302014576742</v>
      </c>
      <c r="BM283" s="520">
        <f t="shared" si="427"/>
        <v>1.0271524590875074</v>
      </c>
      <c r="BN283" s="521" t="str">
        <f t="shared" si="428"/>
        <v>Category</v>
      </c>
      <c r="BP283" s="3"/>
    </row>
    <row r="284" spans="1:69" hidden="1" x14ac:dyDescent="0.15">
      <c r="A284" s="12" t="s">
        <v>579</v>
      </c>
      <c r="B284" s="13" t="s">
        <v>580</v>
      </c>
      <c r="C284" s="13" t="s">
        <v>27</v>
      </c>
      <c r="D284" s="13" t="s">
        <v>40</v>
      </c>
      <c r="E284" s="13" t="s">
        <v>112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5">
        <v>0</v>
      </c>
      <c r="N284" s="670"/>
      <c r="O284" s="14"/>
      <c r="P284" s="15"/>
      <c r="Q284" s="15" t="str">
        <f>IF(ISTEXT('Incurred 2.5% cpi'!Q284),"",'Incurred 2.5% cpi'!Q284/'Incurred 2.5% cpi'!Q$17*Incurred!Q$17)</f>
        <v/>
      </c>
      <c r="R284" s="110">
        <f>IF(ISTEXT('Incurred 2.5% cpi'!R284),"",'Incurred 2.5% cpi'!R284/'Incurred 2.5% cpi'!R$17*Incurred!R$17*BG284)</f>
        <v>51540.024011076959</v>
      </c>
      <c r="S284" s="102">
        <f>IF(ISTEXT('Incurred 2.5% cpi'!S284),"",'Incurred 2.5% cpi'!S284/'Incurred 2.5% cpi'!S$17*Incurred!S$17*BH284)</f>
        <v>63048.238668146092</v>
      </c>
      <c r="T284" s="16">
        <f>IF(ISTEXT('Incurred 2.5% cpi'!T284),"",'Incurred 2.5% cpi'!T284/'Incurred 2.5% cpi'!T$17*Incurred!T$17*BI284)</f>
        <v>1104098.2896788779</v>
      </c>
      <c r="U284" s="16">
        <f>IF(ISTEXT('Incurred 2.5% cpi'!U284),"",'Incurred 2.5% cpi'!U284/'Incurred 2.5% cpi'!U$17*Incurred!U$17*BJ284)</f>
        <v>1043710.1512715162</v>
      </c>
      <c r="V284" s="16" t="str">
        <f>IF(ISTEXT('Incurred 2.5% cpi'!V284),"",'Incurred 2.5% cpi'!V284/'Incurred 2.5% cpi'!V$17*Incurred!V$17*BK284)</f>
        <v/>
      </c>
      <c r="W284" s="110" t="str">
        <f>IF(ISTEXT('Incurred 2.5% cpi'!W284),"",'Incurred 2.5% cpi'!W284/'Incurred 2.5% cpi'!W$17*Incurred!W$17*BL284)</f>
        <v/>
      </c>
      <c r="X284" s="102" t="str">
        <f>IF(ISTEXT('Incurred 2.5% cpi'!X284),"",'Incurred 2.5% cpi'!X284/'Incurred 2.5% cpi'!X$17*Incurred!X$17*BM284)</f>
        <v/>
      </c>
      <c r="Y284" s="80">
        <f t="shared" si="434"/>
        <v>2262396.7036296171</v>
      </c>
      <c r="Z284" s="80">
        <f t="shared" si="431"/>
        <v>2262396.7036296171</v>
      </c>
      <c r="AA284" s="566">
        <f>IF(ROUND(Y284,0)=0,0,SUMPRODUCT($F$20:$W$20,F284:W284))</f>
        <v>2413447.3399451682</v>
      </c>
      <c r="AB284" s="566">
        <f t="shared" si="419"/>
        <v>2297153.9226128906</v>
      </c>
      <c r="AC284" s="567">
        <f t="shared" si="435"/>
        <v>1.0506249999999999</v>
      </c>
      <c r="AD284" s="568" t="str">
        <f t="shared" si="420"/>
        <v>2021</v>
      </c>
      <c r="AE284" s="569">
        <v>44293</v>
      </c>
      <c r="AF284" s="568">
        <v>2021</v>
      </c>
      <c r="AG284" s="569"/>
      <c r="AH284" s="566">
        <f>IF(ROUND(Y284,0)=0,0,SUMPRODUCT($F$19:$W$19,F284:W284))</f>
        <v>2133135.7793303207</v>
      </c>
      <c r="AI284" s="80">
        <f t="shared" si="421"/>
        <v>1043710.1512715162</v>
      </c>
      <c r="AJ284" s="571" t="s">
        <v>3035</v>
      </c>
      <c r="AK284" s="875">
        <f>IF(ISNA(VLOOKUP(LEFT($A284,8),Estimates,72,FALSE)),0,VLOOKUP(LEFT($A284,8),Estimates,72,FALSE))</f>
        <v>1447635.6097869542</v>
      </c>
      <c r="AL284" s="28">
        <f t="shared" si="442"/>
        <v>0</v>
      </c>
      <c r="AM284" s="28">
        <f t="shared" si="442"/>
        <v>0</v>
      </c>
      <c r="AN284" s="28">
        <f t="shared" si="442"/>
        <v>0</v>
      </c>
      <c r="AO284" s="28">
        <f t="shared" si="442"/>
        <v>0</v>
      </c>
      <c r="AP284" s="28">
        <f t="shared" si="442"/>
        <v>0</v>
      </c>
      <c r="AQ284" s="28">
        <f t="shared" si="442"/>
        <v>0</v>
      </c>
      <c r="AR284" s="28">
        <f t="shared" si="442"/>
        <v>0</v>
      </c>
      <c r="AS284" s="28">
        <f t="shared" si="442"/>
        <v>0</v>
      </c>
      <c r="AT284" s="28">
        <f t="shared" si="442"/>
        <v>0</v>
      </c>
      <c r="AU284" s="28">
        <f t="shared" si="442"/>
        <v>0.7151102790576227</v>
      </c>
      <c r="AV284" s="28">
        <f t="shared" si="443"/>
        <v>0</v>
      </c>
      <c r="AW284" s="28">
        <f t="shared" si="443"/>
        <v>0.13870410379401654</v>
      </c>
      <c r="AX284" s="28">
        <f t="shared" si="443"/>
        <v>0</v>
      </c>
      <c r="AY284" s="28">
        <f t="shared" si="443"/>
        <v>0</v>
      </c>
      <c r="AZ284" s="28">
        <f t="shared" si="443"/>
        <v>0.11245924314241502</v>
      </c>
      <c r="BA284" s="28">
        <f t="shared" si="443"/>
        <v>3.3726374005945664E-2</v>
      </c>
      <c r="BB284" s="28">
        <f t="shared" si="443"/>
        <v>0</v>
      </c>
      <c r="BC284" s="28">
        <f t="shared" si="443"/>
        <v>0</v>
      </c>
      <c r="BD284" s="28">
        <f t="shared" si="443"/>
        <v>0</v>
      </c>
      <c r="BE284" s="28">
        <f t="shared" si="443"/>
        <v>0</v>
      </c>
      <c r="BF284" s="27">
        <f t="shared" si="444"/>
        <v>1</v>
      </c>
      <c r="BG284" s="520">
        <f t="shared" si="436"/>
        <v>1.0021149400622571</v>
      </c>
      <c r="BH284" s="520">
        <f t="shared" si="422"/>
        <v>1.0040415780080261</v>
      </c>
      <c r="BI284" s="520">
        <f t="shared" si="423"/>
        <v>1.0061267204022439</v>
      </c>
      <c r="BJ284" s="520">
        <f t="shared" si="424"/>
        <v>1.008535304104611</v>
      </c>
      <c r="BK284" s="520">
        <f t="shared" si="425"/>
        <v>1.0120443194796112</v>
      </c>
      <c r="BL284" s="520">
        <f t="shared" si="426"/>
        <v>1.0159913388249462</v>
      </c>
      <c r="BM284" s="520">
        <f t="shared" si="427"/>
        <v>1.0186337611183285</v>
      </c>
      <c r="BN284" s="521" t="str">
        <f t="shared" si="428"/>
        <v>Project</v>
      </c>
      <c r="BP284" s="3"/>
    </row>
    <row r="285" spans="1:69" hidden="1" x14ac:dyDescent="0.15">
      <c r="A285" s="12" t="s">
        <v>581</v>
      </c>
      <c r="B285" s="13" t="s">
        <v>582</v>
      </c>
      <c r="C285" s="13" t="s">
        <v>27</v>
      </c>
      <c r="D285" s="13" t="s">
        <v>40</v>
      </c>
      <c r="E285" s="13" t="s">
        <v>112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5">
        <v>0</v>
      </c>
      <c r="N285" s="670"/>
      <c r="O285" s="14"/>
      <c r="P285" s="15"/>
      <c r="Q285" s="15">
        <f>IF(ISTEXT('Incurred 2.5% cpi'!Q285),"",'Incurred 2.5% cpi'!Q285/'Incurred 2.5% cpi'!Q$17*Incurred!Q$17)</f>
        <v>809856.5</v>
      </c>
      <c r="R285" s="110">
        <f>IF(ISTEXT('Incurred 2.5% cpi'!R285),"",'Incurred 2.5% cpi'!R285/'Incurred 2.5% cpi'!R$17*Incurred!R$17*BG285)</f>
        <v>109274.61118360804</v>
      </c>
      <c r="S285" s="102">
        <f>IF(ISTEXT('Incurred 2.5% cpi'!S285),"",'Incurred 2.5% cpi'!S285/'Incurred 2.5% cpi'!S$17*Incurred!S$17*BH285)</f>
        <v>1611120.0237822658</v>
      </c>
      <c r="T285" s="16">
        <f>IF(ISTEXT('Incurred 2.5% cpi'!T285),"",'Incurred 2.5% cpi'!T285/'Incurred 2.5% cpi'!T$17*Incurred!T$17*BI285)</f>
        <v>1741536.8834572861</v>
      </c>
      <c r="U285" s="16">
        <f>IF(ISTEXT('Incurred 2.5% cpi'!U285),"",'Incurred 2.5% cpi'!U285/'Incurred 2.5% cpi'!U$17*Incurred!U$17*BJ285)</f>
        <v>595345.74921214371</v>
      </c>
      <c r="V285" s="16" t="str">
        <f>IF(ISTEXT('Incurred 2.5% cpi'!V285),"",'Incurred 2.5% cpi'!V285/'Incurred 2.5% cpi'!V$17*Incurred!V$17*BK285)</f>
        <v/>
      </c>
      <c r="W285" s="110" t="str">
        <f>IF(ISTEXT('Incurred 2.5% cpi'!W285),"",'Incurred 2.5% cpi'!W285/'Incurred 2.5% cpi'!W$17*Incurred!W$17*BL285)</f>
        <v/>
      </c>
      <c r="X285" s="102" t="str">
        <f>IF(ISTEXT('Incurred 2.5% cpi'!X285),"",'Incurred 2.5% cpi'!X285/'Incurred 2.5% cpi'!X$17*Incurred!X$17*BM285)</f>
        <v/>
      </c>
      <c r="Y285" s="80">
        <f t="shared" si="434"/>
        <v>4867133.7676353035</v>
      </c>
      <c r="Z285" s="80">
        <f t="shared" si="431"/>
        <v>4867133.7676353035</v>
      </c>
      <c r="AA285" s="566">
        <f>IF(ROUND(Y285,0)=0,0,SUMPRODUCT($F$20:$W$20,F285:W285))</f>
        <v>5342124.3665482895</v>
      </c>
      <c r="AB285" s="566">
        <f t="shared" si="419"/>
        <v>5084710.8783326969</v>
      </c>
      <c r="AC285" s="567">
        <f t="shared" si="435"/>
        <v>1.0506249999999999</v>
      </c>
      <c r="AD285" s="568" t="str">
        <f t="shared" si="420"/>
        <v>2021</v>
      </c>
      <c r="AE285" s="569">
        <v>44081</v>
      </c>
      <c r="AF285" s="568">
        <v>2021</v>
      </c>
      <c r="AG285" s="569"/>
      <c r="AH285" s="566">
        <f>IF(ROUND(Y285,0)=0,0,SUMPRODUCT($F$19:$W$19,F285:W285))</f>
        <v>4721659.5263169818</v>
      </c>
      <c r="AI285" s="80">
        <f t="shared" si="421"/>
        <v>595345.74921214371</v>
      </c>
      <c r="AJ285" s="571" t="s">
        <v>3035</v>
      </c>
      <c r="AK285" s="875">
        <f>IF(ISNA(VLOOKUP(LEFT($A285,8),Estimates,72,FALSE)),0,VLOOKUP(LEFT($A285,8),Estimates,72,FALSE))</f>
        <v>2610802.539383871</v>
      </c>
      <c r="AL285" s="28">
        <f t="shared" si="442"/>
        <v>0</v>
      </c>
      <c r="AM285" s="28">
        <f t="shared" si="442"/>
        <v>0</v>
      </c>
      <c r="AN285" s="28">
        <f t="shared" si="442"/>
        <v>0</v>
      </c>
      <c r="AO285" s="28">
        <f t="shared" si="442"/>
        <v>0</v>
      </c>
      <c r="AP285" s="28">
        <f t="shared" si="442"/>
        <v>0</v>
      </c>
      <c r="AQ285" s="28">
        <f t="shared" si="442"/>
        <v>0</v>
      </c>
      <c r="AR285" s="28">
        <f t="shared" si="442"/>
        <v>0</v>
      </c>
      <c r="AS285" s="28">
        <f t="shared" si="442"/>
        <v>0</v>
      </c>
      <c r="AT285" s="28">
        <f t="shared" si="442"/>
        <v>0</v>
      </c>
      <c r="AU285" s="28">
        <f t="shared" si="442"/>
        <v>9.1665507593874859E-2</v>
      </c>
      <c r="AV285" s="28">
        <f t="shared" si="443"/>
        <v>0</v>
      </c>
      <c r="AW285" s="28">
        <f t="shared" si="443"/>
        <v>1.443234156225855E-3</v>
      </c>
      <c r="AX285" s="28">
        <f t="shared" si="443"/>
        <v>0</v>
      </c>
      <c r="AY285" s="28">
        <f t="shared" si="443"/>
        <v>0</v>
      </c>
      <c r="AZ285" s="28">
        <f t="shared" si="443"/>
        <v>0.90689125824989925</v>
      </c>
      <c r="BA285" s="28">
        <f t="shared" si="443"/>
        <v>0</v>
      </c>
      <c r="BB285" s="28">
        <f t="shared" si="443"/>
        <v>0</v>
      </c>
      <c r="BC285" s="28">
        <f t="shared" si="443"/>
        <v>0</v>
      </c>
      <c r="BD285" s="28">
        <f t="shared" si="443"/>
        <v>0</v>
      </c>
      <c r="BE285" s="28">
        <f t="shared" si="443"/>
        <v>0</v>
      </c>
      <c r="BF285" s="27">
        <f t="shared" si="444"/>
        <v>1</v>
      </c>
      <c r="BG285" s="520">
        <f t="shared" si="436"/>
        <v>1.0036039975644144</v>
      </c>
      <c r="BH285" s="520">
        <f t="shared" si="422"/>
        <v>1.0068871158843957</v>
      </c>
      <c r="BI285" s="520">
        <f t="shared" si="423"/>
        <v>1.0104403362542433</v>
      </c>
      <c r="BJ285" s="520">
        <f t="shared" si="424"/>
        <v>1.0145447219774753</v>
      </c>
      <c r="BK285" s="520">
        <f t="shared" si="425"/>
        <v>1.020524315957787</v>
      </c>
      <c r="BL285" s="520">
        <f t="shared" si="426"/>
        <v>1.0272502976350653</v>
      </c>
      <c r="BM285" s="520">
        <f t="shared" si="427"/>
        <v>1.0317531597631486</v>
      </c>
      <c r="BN285" s="521" t="str">
        <f t="shared" si="428"/>
        <v>Project</v>
      </c>
      <c r="BP285" s="3"/>
    </row>
    <row r="286" spans="1:69" hidden="1" x14ac:dyDescent="0.15">
      <c r="A286" s="12" t="s">
        <v>585</v>
      </c>
      <c r="B286" s="13" t="s">
        <v>2324</v>
      </c>
      <c r="C286" s="13" t="s">
        <v>27</v>
      </c>
      <c r="D286" s="13" t="s">
        <v>55</v>
      </c>
      <c r="E286" s="13" t="s">
        <v>112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5">
        <v>0</v>
      </c>
      <c r="N286" s="670"/>
      <c r="O286" s="14"/>
      <c r="P286" s="15"/>
      <c r="Q286" s="15" t="str">
        <f>IF(ISTEXT('Incurred 2.5% cpi'!Q286),"",'Incurred 2.5% cpi'!Q286/'Incurred 2.5% cpi'!Q$17*Incurred!Q$17)</f>
        <v/>
      </c>
      <c r="R286" s="110" t="str">
        <f>IF(ISTEXT('Incurred 2.5% cpi'!R286),"",'Incurred 2.5% cpi'!R286/'Incurred 2.5% cpi'!R$17*Incurred!R$17*BG286)</f>
        <v/>
      </c>
      <c r="S286" s="102" t="str">
        <f>IF(ISTEXT('Incurred 2.5% cpi'!S286),"",'Incurred 2.5% cpi'!S286/'Incurred 2.5% cpi'!S$17*Incurred!S$17*BH286)</f>
        <v/>
      </c>
      <c r="T286" s="16" t="str">
        <f>IF(ISTEXT('Incurred 2.5% cpi'!T286),"",'Incurred 2.5% cpi'!T286/'Incurred 2.5% cpi'!T$17*Incurred!T$17*BI286)</f>
        <v/>
      </c>
      <c r="U286" s="16" t="str">
        <f>IF(ISTEXT('Incurred 2.5% cpi'!U286),"",'Incurred 2.5% cpi'!U286/'Incurred 2.5% cpi'!U$17*Incurred!U$17*BJ286)</f>
        <v/>
      </c>
      <c r="V286" s="16" t="str">
        <f>IF(ISTEXT('Incurred 2.5% cpi'!V286),"",'Incurred 2.5% cpi'!V286/'Incurred 2.5% cpi'!V$17*Incurred!V$17*BK286)</f>
        <v/>
      </c>
      <c r="W286" s="110">
        <f>IF(ISTEXT('Incurred 2.5% cpi'!W286),"",'Incurred 2.5% cpi'!W286/'Incurred 2.5% cpi'!W$17*Incurred!W$17*BL286)</f>
        <v>20318.995602706866</v>
      </c>
      <c r="X286" s="102">
        <f>IF(ISTEXT('Incurred 2.5% cpi'!X286),"",'Incurred 2.5% cpi'!X286/'Incurred 2.5% cpi'!X$17*Incurred!X$17*BM286)</f>
        <v>364414.01446090679</v>
      </c>
      <c r="Y286" s="80">
        <f t="shared" si="434"/>
        <v>20318.995602706866</v>
      </c>
      <c r="Z286" s="80">
        <f t="shared" ref="Z286:Z292" si="445">-SUMIFS(F286:W286,F286:W286,"&lt;0")+SUMIFS(F286:W286,F286:W286,"&gt;0")</f>
        <v>20318.995602706866</v>
      </c>
      <c r="AA286" s="566">
        <f t="shared" ref="AA286:AA292" si="446">IF(ROUND(Y286,0)=0,0,SUMPRODUCT($F$20:$W$20,F286:W286))</f>
        <v>20318.995602706866</v>
      </c>
      <c r="AB286" s="566">
        <f t="shared" si="419"/>
        <v>20318.995602706866</v>
      </c>
      <c r="AC286" s="567">
        <f t="shared" si="435"/>
        <v>1</v>
      </c>
      <c r="AD286" s="568" t="str">
        <f>IF(AI286=0,"",INDEX($F$24:$X$24,1,MATCH(AI286,F286:X286,0)))</f>
        <v>2024</v>
      </c>
      <c r="AE286" s="569">
        <v>45334</v>
      </c>
      <c r="AF286" s="568">
        <v>2024</v>
      </c>
      <c r="AG286" s="569"/>
      <c r="AH286" s="566">
        <f t="shared" ref="AH286:AH292" si="447">IF(ROUND(Y286,0)=0,0,SUMPRODUCT($F$19:$W$19,F286:W286))</f>
        <v>17959.031383371388</v>
      </c>
      <c r="AI286" s="80">
        <f t="shared" si="421"/>
        <v>364414.01446090679</v>
      </c>
      <c r="AJ286" s="571" t="s">
        <v>3035</v>
      </c>
      <c r="AK286" s="875">
        <f>IF(ISNA(VLOOKUP(LEFT($A286,8),Estimates,72,FALSE)),0,VLOOKUP(LEFT($A286,8),Estimates,72,FALSE))</f>
        <v>61999.999999999985</v>
      </c>
      <c r="AL286" s="28">
        <f t="shared" ref="AL286:AU292" si="448">IF($AK286=0,VLOOKUP(MID($A286,4,5),ProjectSplits,AL$23,FALSE),IF(ISNA(VLOOKUP($A286,Estimates,AL$22,FALSE)),VLOOKUP(MID($A286,4,5),ProjectSplits,AL$23,FALSE),VLOOKUP($A286,Estimates,AL$22,FALSE)))</f>
        <v>0</v>
      </c>
      <c r="AM286" s="28">
        <f t="shared" si="448"/>
        <v>0</v>
      </c>
      <c r="AN286" s="28">
        <f t="shared" si="448"/>
        <v>0</v>
      </c>
      <c r="AO286" s="28">
        <f t="shared" si="448"/>
        <v>1</v>
      </c>
      <c r="AP286" s="28">
        <f t="shared" si="448"/>
        <v>0</v>
      </c>
      <c r="AQ286" s="28">
        <f t="shared" si="448"/>
        <v>0</v>
      </c>
      <c r="AR286" s="28">
        <f t="shared" si="448"/>
        <v>0</v>
      </c>
      <c r="AS286" s="28">
        <f t="shared" si="448"/>
        <v>0</v>
      </c>
      <c r="AT286" s="28">
        <f t="shared" si="448"/>
        <v>0</v>
      </c>
      <c r="AU286" s="28">
        <f t="shared" si="448"/>
        <v>0</v>
      </c>
      <c r="AV286" s="28">
        <f t="shared" ref="AV286:BE292" si="449">IF($AK286=0,VLOOKUP(MID($A286,4,5),ProjectSplits,AV$23,FALSE),IF(ISNA(VLOOKUP($A286,Estimates,AV$22,FALSE)),VLOOKUP(MID($A286,4,5),ProjectSplits,AV$23,FALSE),VLOOKUP($A286,Estimates,AV$22,FALSE)))</f>
        <v>0</v>
      </c>
      <c r="AW286" s="28">
        <f t="shared" si="449"/>
        <v>0</v>
      </c>
      <c r="AX286" s="28">
        <f t="shared" si="449"/>
        <v>0</v>
      </c>
      <c r="AY286" s="28">
        <f t="shared" si="449"/>
        <v>0</v>
      </c>
      <c r="AZ286" s="28">
        <f t="shared" si="449"/>
        <v>0</v>
      </c>
      <c r="BA286" s="28">
        <f t="shared" si="449"/>
        <v>0</v>
      </c>
      <c r="BB286" s="28">
        <f t="shared" si="449"/>
        <v>0</v>
      </c>
      <c r="BC286" s="28">
        <f t="shared" si="449"/>
        <v>0</v>
      </c>
      <c r="BD286" s="28">
        <f t="shared" si="449"/>
        <v>0</v>
      </c>
      <c r="BE286" s="28">
        <f t="shared" si="449"/>
        <v>0</v>
      </c>
      <c r="BF286" s="27">
        <f t="shared" ref="BF286:BF292" si="450">SUM(AL286:BD286)</f>
        <v>1</v>
      </c>
      <c r="BG286" s="520">
        <f t="shared" si="436"/>
        <v>1.0047443590460903</v>
      </c>
      <c r="BH286" s="520">
        <f t="shared" si="422"/>
        <v>1.0090663076108137</v>
      </c>
      <c r="BI286" s="520">
        <f t="shared" si="423"/>
        <v>1.0137438227597946</v>
      </c>
      <c r="BJ286" s="520">
        <f t="shared" si="424"/>
        <v>1.0191469006439002</v>
      </c>
      <c r="BK286" s="520">
        <f t="shared" si="425"/>
        <v>1.0270185321545748</v>
      </c>
      <c r="BL286" s="520">
        <f t="shared" si="426"/>
        <v>1.0358727201622233</v>
      </c>
      <c r="BM286" s="520">
        <f t="shared" si="427"/>
        <v>1.0418003586494431</v>
      </c>
      <c r="BN286" s="521" t="str">
        <f t="shared" si="428"/>
        <v>Project</v>
      </c>
      <c r="BP286" s="3"/>
    </row>
    <row r="287" spans="1:69" hidden="1" x14ac:dyDescent="0.15">
      <c r="A287" s="12" t="s">
        <v>586</v>
      </c>
      <c r="B287" s="13" t="s">
        <v>587</v>
      </c>
      <c r="C287" s="13" t="s">
        <v>27</v>
      </c>
      <c r="D287" s="13" t="s">
        <v>55</v>
      </c>
      <c r="E287" s="13" t="s">
        <v>29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5">
        <v>0</v>
      </c>
      <c r="N287" s="670"/>
      <c r="O287" s="14"/>
      <c r="P287" s="15"/>
      <c r="Q287" s="15">
        <f>IF(ISTEXT('Incurred 2.5% cpi'!Q287),"",'Incurred 2.5% cpi'!Q287/'Incurred 2.5% cpi'!Q$17*Incurred!Q$17)</f>
        <v>433604.87</v>
      </c>
      <c r="R287" s="110">
        <f>IF(ISTEXT('Incurred 2.5% cpi'!R287),"",'Incurred 2.5% cpi'!R287/'Incurred 2.5% cpi'!R$17*Incurred!R$17*BG287)</f>
        <v>683446.08359025279</v>
      </c>
      <c r="S287" s="102">
        <f>IF(ISTEXT('Incurred 2.5% cpi'!S287),"",'Incurred 2.5% cpi'!S287/'Incurred 2.5% cpi'!S$17*Incurred!S$17*BH287)</f>
        <v>124096.22994468972</v>
      </c>
      <c r="T287" s="16" t="str">
        <f>IF(ISTEXT('Incurred 2.5% cpi'!T287),"",'Incurred 2.5% cpi'!T287/'Incurred 2.5% cpi'!T$17*Incurred!T$17*BI287)</f>
        <v/>
      </c>
      <c r="U287" s="16" t="str">
        <f>IF(ISTEXT('Incurred 2.5% cpi'!U287),"",'Incurred 2.5% cpi'!U287/'Incurred 2.5% cpi'!U$17*Incurred!U$17*BJ287)</f>
        <v/>
      </c>
      <c r="V287" s="16" t="str">
        <f>IF(ISTEXT('Incurred 2.5% cpi'!V287),"",'Incurred 2.5% cpi'!V287/'Incurred 2.5% cpi'!V$17*Incurred!V$17*BK287)</f>
        <v/>
      </c>
      <c r="W287" s="110" t="str">
        <f>IF(ISTEXT('Incurred 2.5% cpi'!W287),"",'Incurred 2.5% cpi'!W287/'Incurred 2.5% cpi'!W$17*Incurred!W$17*BL287)</f>
        <v/>
      </c>
      <c r="X287" s="102" t="str">
        <f>IF(ISTEXT('Incurred 2.5% cpi'!X287),"",'Incurred 2.5% cpi'!X287/'Incurred 2.5% cpi'!X$17*Incurred!X$17*BM287)</f>
        <v/>
      </c>
      <c r="Y287" s="80">
        <f t="shared" si="434"/>
        <v>1241147.1835349426</v>
      </c>
      <c r="Z287" s="80">
        <f t="shared" si="445"/>
        <v>1241147.1835349426</v>
      </c>
      <c r="AA287" s="566">
        <f t="shared" si="446"/>
        <v>1413084.2441769131</v>
      </c>
      <c r="AB287" s="566">
        <f t="shared" si="419"/>
        <v>1280184.5821684489</v>
      </c>
      <c r="AC287" s="567">
        <f t="shared" si="435"/>
        <v>1.1038128906249998</v>
      </c>
      <c r="AD287" s="568" t="str">
        <f t="shared" si="420"/>
        <v>2019</v>
      </c>
      <c r="AE287" s="569">
        <v>42922</v>
      </c>
      <c r="AF287" s="568" t="s">
        <v>3152</v>
      </c>
      <c r="AG287" s="569"/>
      <c r="AH287" s="566">
        <f t="shared" si="447"/>
        <v>1248960.5679692184</v>
      </c>
      <c r="AI287" s="80">
        <f t="shared" si="421"/>
        <v>124096.22994468972</v>
      </c>
      <c r="AJ287" s="571" t="s">
        <v>3035</v>
      </c>
      <c r="AK287" s="875">
        <f t="shared" si="429"/>
        <v>0</v>
      </c>
      <c r="AL287" s="28">
        <f t="shared" si="448"/>
        <v>0</v>
      </c>
      <c r="AM287" s="28">
        <f t="shared" si="448"/>
        <v>0</v>
      </c>
      <c r="AN287" s="28">
        <f t="shared" si="448"/>
        <v>0</v>
      </c>
      <c r="AO287" s="28">
        <f t="shared" si="448"/>
        <v>1</v>
      </c>
      <c r="AP287" s="28">
        <f t="shared" si="448"/>
        <v>0</v>
      </c>
      <c r="AQ287" s="28">
        <f t="shared" si="448"/>
        <v>0</v>
      </c>
      <c r="AR287" s="28">
        <f t="shared" si="448"/>
        <v>0</v>
      </c>
      <c r="AS287" s="28">
        <f t="shared" si="448"/>
        <v>0</v>
      </c>
      <c r="AT287" s="28">
        <f t="shared" si="448"/>
        <v>0</v>
      </c>
      <c r="AU287" s="28">
        <f t="shared" si="448"/>
        <v>0</v>
      </c>
      <c r="AV287" s="28">
        <f t="shared" si="449"/>
        <v>0</v>
      </c>
      <c r="AW287" s="28">
        <f t="shared" si="449"/>
        <v>0</v>
      </c>
      <c r="AX287" s="28">
        <f t="shared" si="449"/>
        <v>0</v>
      </c>
      <c r="AY287" s="28">
        <f t="shared" si="449"/>
        <v>0</v>
      </c>
      <c r="AZ287" s="28">
        <f t="shared" si="449"/>
        <v>0</v>
      </c>
      <c r="BA287" s="28">
        <f t="shared" si="449"/>
        <v>0</v>
      </c>
      <c r="BB287" s="28">
        <f t="shared" si="449"/>
        <v>0</v>
      </c>
      <c r="BC287" s="28">
        <f t="shared" si="449"/>
        <v>0</v>
      </c>
      <c r="BD287" s="28">
        <f t="shared" si="449"/>
        <v>0</v>
      </c>
      <c r="BE287" s="28">
        <f t="shared" si="449"/>
        <v>0</v>
      </c>
      <c r="BF287" s="27">
        <f t="shared" si="450"/>
        <v>1</v>
      </c>
      <c r="BG287" s="520">
        <f t="shared" si="436"/>
        <v>1.0046190746045656</v>
      </c>
      <c r="BH287" s="520">
        <f t="shared" si="422"/>
        <v>1.0088268933348963</v>
      </c>
      <c r="BI287" s="520">
        <f t="shared" si="423"/>
        <v>1.0133808891912874</v>
      </c>
      <c r="BJ287" s="520">
        <f t="shared" si="424"/>
        <v>1.018641287824382</v>
      </c>
      <c r="BK287" s="520">
        <f t="shared" si="425"/>
        <v>1.0263050529092395</v>
      </c>
      <c r="BL287" s="520">
        <f t="shared" si="426"/>
        <v>1.0349254280901359</v>
      </c>
      <c r="BM287" s="520">
        <f t="shared" si="427"/>
        <v>1.0406965352376705</v>
      </c>
      <c r="BN287" s="521" t="str">
        <f t="shared" si="428"/>
        <v>Category</v>
      </c>
      <c r="BP287" s="3"/>
      <c r="BQ287" s="3">
        <f>ROUND(Q287*Q$19,2)</f>
        <v>444444.99</v>
      </c>
    </row>
    <row r="288" spans="1:69" hidden="1" x14ac:dyDescent="0.15">
      <c r="A288" s="12" t="s">
        <v>588</v>
      </c>
      <c r="B288" s="13" t="s">
        <v>2390</v>
      </c>
      <c r="C288" s="13" t="s">
        <v>27</v>
      </c>
      <c r="D288" s="13" t="s">
        <v>36</v>
      </c>
      <c r="E288" s="13" t="s">
        <v>32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5">
        <v>0</v>
      </c>
      <c r="N288" s="670"/>
      <c r="O288" s="14">
        <v>129615.27</v>
      </c>
      <c r="P288" s="15">
        <v>55209.26</v>
      </c>
      <c r="Q288" s="15">
        <f>IF(ISTEXT('Incurred 2.5% cpi'!Q288),"",'Incurred 2.5% cpi'!Q288/'Incurred 2.5% cpi'!Q$17*Incurred!Q$17)</f>
        <v>163.02000000000001</v>
      </c>
      <c r="R288" s="110" t="str">
        <f>IF(ISTEXT('Incurred 2.5% cpi'!R288),"",'Incurred 2.5% cpi'!R288/'Incurred 2.5% cpi'!R$17*Incurred!R$17*BG288)</f>
        <v/>
      </c>
      <c r="S288" s="102" t="str">
        <f>IF(ISTEXT('Incurred 2.5% cpi'!S288),"",'Incurred 2.5% cpi'!S288/'Incurred 2.5% cpi'!S$17*Incurred!S$17*BH288)</f>
        <v/>
      </c>
      <c r="T288" s="16" t="str">
        <f>IF(ISTEXT('Incurred 2.5% cpi'!T288),"",'Incurred 2.5% cpi'!T288/'Incurred 2.5% cpi'!T$17*Incurred!T$17*BI288)</f>
        <v/>
      </c>
      <c r="U288" s="16" t="str">
        <f>IF(ISTEXT('Incurred 2.5% cpi'!U288),"",'Incurred 2.5% cpi'!U288/'Incurred 2.5% cpi'!U$17*Incurred!U$17*BJ288)</f>
        <v/>
      </c>
      <c r="V288" s="16" t="str">
        <f>IF(ISTEXT('Incurred 2.5% cpi'!V288),"",'Incurred 2.5% cpi'!V288/'Incurred 2.5% cpi'!V$17*Incurred!V$17*BK288)</f>
        <v/>
      </c>
      <c r="W288" s="110" t="str">
        <f>IF(ISTEXT('Incurred 2.5% cpi'!W288),"",'Incurred 2.5% cpi'!W288/'Incurred 2.5% cpi'!W$17*Incurred!W$17*BL288)</f>
        <v/>
      </c>
      <c r="X288" s="102" t="str">
        <f>IF(ISTEXT('Incurred 2.5% cpi'!X288),"",'Incurred 2.5% cpi'!X288/'Incurred 2.5% cpi'!X$17*Incurred!X$17*BM288)</f>
        <v/>
      </c>
      <c r="Y288" s="80">
        <f t="shared" si="434"/>
        <v>184987.55</v>
      </c>
      <c r="Z288" s="80">
        <f t="shared" si="445"/>
        <v>184987.55</v>
      </c>
      <c r="AA288" s="566">
        <f t="shared" si="446"/>
        <v>221097.3432089347</v>
      </c>
      <c r="AB288" s="566">
        <f t="shared" si="419"/>
        <v>190651.54612125846</v>
      </c>
      <c r="AC288" s="567">
        <f t="shared" si="435"/>
        <v>1.1596934182128902</v>
      </c>
      <c r="AD288" s="568" t="str">
        <f t="shared" si="420"/>
        <v>2017</v>
      </c>
      <c r="AE288" s="569">
        <v>42268</v>
      </c>
      <c r="AF288" s="568" t="s">
        <v>3152</v>
      </c>
      <c r="AG288" s="569"/>
      <c r="AH288" s="566">
        <f t="shared" si="447"/>
        <v>195417.83477428992</v>
      </c>
      <c r="AI288" s="80">
        <f t="shared" si="421"/>
        <v>163.02000000000001</v>
      </c>
      <c r="AJ288" s="571" t="s">
        <v>0</v>
      </c>
      <c r="AK288" s="875">
        <f t="shared" si="429"/>
        <v>0</v>
      </c>
      <c r="AL288" s="28">
        <f t="shared" si="448"/>
        <v>0.31017773461918163</v>
      </c>
      <c r="AM288" s="28">
        <f t="shared" si="448"/>
        <v>0</v>
      </c>
      <c r="AN288" s="28">
        <f t="shared" si="448"/>
        <v>0</v>
      </c>
      <c r="AO288" s="28">
        <f t="shared" si="448"/>
        <v>0.13864189454261708</v>
      </c>
      <c r="AP288" s="28">
        <f t="shared" si="448"/>
        <v>0</v>
      </c>
      <c r="AQ288" s="28">
        <f t="shared" si="448"/>
        <v>0</v>
      </c>
      <c r="AR288" s="28">
        <f t="shared" si="448"/>
        <v>0</v>
      </c>
      <c r="AS288" s="28">
        <f t="shared" si="448"/>
        <v>0.55118037083820126</v>
      </c>
      <c r="AT288" s="28">
        <f t="shared" si="448"/>
        <v>0</v>
      </c>
      <c r="AU288" s="28">
        <f t="shared" si="448"/>
        <v>0</v>
      </c>
      <c r="AV288" s="28">
        <f t="shared" si="449"/>
        <v>0</v>
      </c>
      <c r="AW288" s="28">
        <f t="shared" si="449"/>
        <v>0</v>
      </c>
      <c r="AX288" s="28">
        <f t="shared" si="449"/>
        <v>0</v>
      </c>
      <c r="AY288" s="28">
        <f t="shared" si="449"/>
        <v>0</v>
      </c>
      <c r="AZ288" s="28">
        <f t="shared" si="449"/>
        <v>0</v>
      </c>
      <c r="BA288" s="28">
        <f t="shared" si="449"/>
        <v>0</v>
      </c>
      <c r="BB288" s="28">
        <f t="shared" si="449"/>
        <v>0</v>
      </c>
      <c r="BC288" s="28">
        <f t="shared" si="449"/>
        <v>0</v>
      </c>
      <c r="BD288" s="28">
        <f t="shared" si="449"/>
        <v>0</v>
      </c>
      <c r="BE288" s="28">
        <f t="shared" si="449"/>
        <v>0</v>
      </c>
      <c r="BF288" s="27">
        <f t="shared" si="450"/>
        <v>1</v>
      </c>
      <c r="BG288" s="520">
        <f t="shared" si="436"/>
        <v>1.0018756098697492</v>
      </c>
      <c r="BH288" s="520">
        <f t="shared" si="422"/>
        <v>1.0035842262088148</v>
      </c>
      <c r="BI288" s="520">
        <f t="shared" si="423"/>
        <v>1.0054334103650095</v>
      </c>
      <c r="BJ288" s="520">
        <f t="shared" si="424"/>
        <v>1.007569434664183</v>
      </c>
      <c r="BK288" s="520">
        <f t="shared" si="425"/>
        <v>1.0106813639277612</v>
      </c>
      <c r="BL288" s="520">
        <f t="shared" si="426"/>
        <v>1.0141817318919957</v>
      </c>
      <c r="BM288" s="520">
        <f t="shared" si="427"/>
        <v>1.0165251332119476</v>
      </c>
      <c r="BN288" s="521" t="str">
        <f t="shared" si="428"/>
        <v>Category</v>
      </c>
      <c r="BP288" s="3"/>
    </row>
    <row r="289" spans="1:68" hidden="1" x14ac:dyDescent="0.15">
      <c r="A289" s="12" t="s">
        <v>590</v>
      </c>
      <c r="B289" s="13" t="s">
        <v>591</v>
      </c>
      <c r="C289" s="13" t="s">
        <v>27</v>
      </c>
      <c r="D289" s="13" t="s">
        <v>40</v>
      </c>
      <c r="E289" s="13" t="s">
        <v>112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5">
        <v>0</v>
      </c>
      <c r="N289" s="670"/>
      <c r="O289" s="14"/>
      <c r="P289" s="15"/>
      <c r="Q289" s="15" t="str">
        <f>IF(ISTEXT('Incurred 2.5% cpi'!Q289),"",'Incurred 2.5% cpi'!Q289/'Incurred 2.5% cpi'!Q$17*Incurred!Q$17)</f>
        <v/>
      </c>
      <c r="R289" s="110" t="str">
        <f>IF(ISTEXT('Incurred 2.5% cpi'!R289),"",'Incurred 2.5% cpi'!R289/'Incurred 2.5% cpi'!R$17*Incurred!R$17*BG289)</f>
        <v/>
      </c>
      <c r="S289" s="102" t="str">
        <f>IF(ISTEXT('Incurred 2.5% cpi'!S289),"",'Incurred 2.5% cpi'!S289/'Incurred 2.5% cpi'!S$17*Incurred!S$17*BH289)</f>
        <v/>
      </c>
      <c r="T289" s="16" t="str">
        <f>IF(ISTEXT('Incurred 2.5% cpi'!T289),"",'Incurred 2.5% cpi'!T289/'Incurred 2.5% cpi'!T$17*Incurred!T$17*BI289)</f>
        <v/>
      </c>
      <c r="U289" s="16">
        <f>IF(ISTEXT('Incurred 2.5% cpi'!U289),"",'Incurred 2.5% cpi'!U289/'Incurred 2.5% cpi'!U$17*Incurred!U$17*BJ289)</f>
        <v>1039833.385788475</v>
      </c>
      <c r="V289" s="16">
        <f>IF(ISTEXT('Incurred 2.5% cpi'!V289),"",'Incurred 2.5% cpi'!V289/'Incurred 2.5% cpi'!V$17*Incurred!V$17*BK289)</f>
        <v>118012.65900409642</v>
      </c>
      <c r="W289" s="110" t="str">
        <f>IF(ISTEXT('Incurred 2.5% cpi'!W289),"",'Incurred 2.5% cpi'!W289/'Incurred 2.5% cpi'!W$17*Incurred!W$17*BL289)</f>
        <v/>
      </c>
      <c r="X289" s="102" t="str">
        <f>IF(ISTEXT('Incurred 2.5% cpi'!X289),"",'Incurred 2.5% cpi'!X289/'Incurred 2.5% cpi'!X$17*Incurred!X$17*BM289)</f>
        <v/>
      </c>
      <c r="Y289" s="80">
        <f t="shared" si="434"/>
        <v>1157846.0447925716</v>
      </c>
      <c r="Z289" s="80">
        <f t="shared" si="445"/>
        <v>1157846.0447925716</v>
      </c>
      <c r="AA289" s="566">
        <f t="shared" si="446"/>
        <v>1213437.9264232153</v>
      </c>
      <c r="AB289" s="566">
        <f t="shared" si="419"/>
        <v>1183841.8794372834</v>
      </c>
      <c r="AC289" s="567">
        <f t="shared" si="435"/>
        <v>1.0249999999999999</v>
      </c>
      <c r="AD289" s="568" t="str">
        <f t="shared" si="420"/>
        <v>2022</v>
      </c>
      <c r="AE289" s="569">
        <v>44337</v>
      </c>
      <c r="AF289" s="568">
        <v>2022</v>
      </c>
      <c r="AG289" s="569"/>
      <c r="AH289" s="566">
        <f t="shared" si="447"/>
        <v>1072502.3140171606</v>
      </c>
      <c r="AI289" s="80">
        <f t="shared" si="421"/>
        <v>118012.65900409642</v>
      </c>
      <c r="AJ289" s="571" t="s">
        <v>3035</v>
      </c>
      <c r="AK289" s="875">
        <f t="shared" ref="AK289:AK295" si="451">IF(ISNA(VLOOKUP(LEFT($A289,8),Estimates,72,FALSE)),0,VLOOKUP(LEFT($A289,8),Estimates,72,FALSE))</f>
        <v>200000.00000000003</v>
      </c>
      <c r="AL289" s="28">
        <f t="shared" si="448"/>
        <v>0</v>
      </c>
      <c r="AM289" s="28">
        <f t="shared" si="448"/>
        <v>0</v>
      </c>
      <c r="AN289" s="28">
        <f t="shared" si="448"/>
        <v>0</v>
      </c>
      <c r="AO289" s="28">
        <f t="shared" si="448"/>
        <v>1</v>
      </c>
      <c r="AP289" s="28">
        <f t="shared" si="448"/>
        <v>0</v>
      </c>
      <c r="AQ289" s="28">
        <f t="shared" si="448"/>
        <v>0</v>
      </c>
      <c r="AR289" s="28">
        <f t="shared" si="448"/>
        <v>0</v>
      </c>
      <c r="AS289" s="28">
        <f t="shared" si="448"/>
        <v>0</v>
      </c>
      <c r="AT289" s="28">
        <f t="shared" si="448"/>
        <v>0</v>
      </c>
      <c r="AU289" s="28">
        <f t="shared" si="448"/>
        <v>0</v>
      </c>
      <c r="AV289" s="28">
        <f t="shared" si="449"/>
        <v>0</v>
      </c>
      <c r="AW289" s="28">
        <f t="shared" si="449"/>
        <v>0</v>
      </c>
      <c r="AX289" s="28">
        <f t="shared" si="449"/>
        <v>0</v>
      </c>
      <c r="AY289" s="28">
        <f t="shared" si="449"/>
        <v>0</v>
      </c>
      <c r="AZ289" s="28">
        <f t="shared" si="449"/>
        <v>0</v>
      </c>
      <c r="BA289" s="28">
        <f t="shared" si="449"/>
        <v>0</v>
      </c>
      <c r="BB289" s="28">
        <f t="shared" si="449"/>
        <v>0</v>
      </c>
      <c r="BC289" s="28">
        <f t="shared" si="449"/>
        <v>0</v>
      </c>
      <c r="BD289" s="28">
        <f t="shared" si="449"/>
        <v>0</v>
      </c>
      <c r="BE289" s="28">
        <f t="shared" si="449"/>
        <v>0</v>
      </c>
      <c r="BF289" s="27">
        <f t="shared" si="450"/>
        <v>1</v>
      </c>
      <c r="BG289" s="520">
        <f t="shared" si="436"/>
        <v>1.0047445680259546</v>
      </c>
      <c r="BH289" s="520">
        <f t="shared" si="422"/>
        <v>1.0090667069641754</v>
      </c>
      <c r="BI289" s="520">
        <f t="shared" si="423"/>
        <v>1.0137444281486758</v>
      </c>
      <c r="BJ289" s="520">
        <f t="shared" si="424"/>
        <v>1.01914774402794</v>
      </c>
      <c r="BK289" s="520">
        <f t="shared" si="425"/>
        <v>1.0270197222687985</v>
      </c>
      <c r="BL289" s="520">
        <f t="shared" si="426"/>
        <v>1.0358743002863493</v>
      </c>
      <c r="BM289" s="520">
        <f t="shared" si="427"/>
        <v>1.0418021998746103</v>
      </c>
      <c r="BN289" s="521" t="str">
        <f t="shared" si="428"/>
        <v>Project</v>
      </c>
      <c r="BP289" s="3"/>
    </row>
    <row r="290" spans="1:68" hidden="1" x14ac:dyDescent="0.15">
      <c r="A290" s="12" t="s">
        <v>592</v>
      </c>
      <c r="B290" s="13" t="s">
        <v>593</v>
      </c>
      <c r="C290" s="13" t="s">
        <v>27</v>
      </c>
      <c r="D290" s="13" t="s">
        <v>40</v>
      </c>
      <c r="E290" s="13" t="s">
        <v>112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5">
        <v>0</v>
      </c>
      <c r="N290" s="670"/>
      <c r="O290" s="14"/>
      <c r="P290" s="15"/>
      <c r="Q290" s="15" t="str">
        <f>IF(ISTEXT('Incurred 2.5% cpi'!Q290),"",'Incurred 2.5% cpi'!Q290/'Incurred 2.5% cpi'!Q$17*Incurred!Q$17)</f>
        <v/>
      </c>
      <c r="R290" s="110" t="str">
        <f>IF(ISTEXT('Incurred 2.5% cpi'!R290),"",'Incurred 2.5% cpi'!R290/'Incurred 2.5% cpi'!R$17*Incurred!R$17*BG290)</f>
        <v/>
      </c>
      <c r="S290" s="102" t="str">
        <f>IF(ISTEXT('Incurred 2.5% cpi'!S290),"",'Incurred 2.5% cpi'!S290/'Incurred 2.5% cpi'!S$17*Incurred!S$17*BH290)</f>
        <v/>
      </c>
      <c r="T290" s="16" t="str">
        <f>IF(ISTEXT('Incurred 2.5% cpi'!T290),"",'Incurred 2.5% cpi'!T290/'Incurred 2.5% cpi'!T$17*Incurred!T$17*BI290)</f>
        <v/>
      </c>
      <c r="U290" s="16" t="str">
        <f>IF(ISTEXT('Incurred 2.5% cpi'!U290),"",'Incurred 2.5% cpi'!U290/'Incurred 2.5% cpi'!U$17*Incurred!U$17*BJ290)</f>
        <v/>
      </c>
      <c r="V290" s="16">
        <f>IF(ISTEXT('Incurred 2.5% cpi'!V290),"",'Incurred 2.5% cpi'!V290/'Incurred 2.5% cpi'!V$17*Incurred!V$17*BK290)</f>
        <v>291357.39103181043</v>
      </c>
      <c r="W290" s="110">
        <f>IF(ISTEXT('Incurred 2.5% cpi'!W290),"",'Incurred 2.5% cpi'!W290/'Incurred 2.5% cpi'!W$17*Incurred!W$17*BL290)</f>
        <v>995126.42610229331</v>
      </c>
      <c r="X290" s="102" t="str">
        <f>IF(ISTEXT('Incurred 2.5% cpi'!X290),"",'Incurred 2.5% cpi'!X290/'Incurred 2.5% cpi'!X$17*Incurred!X$17*BM290)</f>
        <v/>
      </c>
      <c r="Y290" s="80">
        <f t="shared" si="434"/>
        <v>1286483.8171341037</v>
      </c>
      <c r="Z290" s="80">
        <f t="shared" si="445"/>
        <v>1286483.8171341037</v>
      </c>
      <c r="AA290" s="566">
        <f t="shared" si="446"/>
        <v>1293767.7519098991</v>
      </c>
      <c r="AB290" s="566">
        <f t="shared" si="419"/>
        <v>1293767.7519098991</v>
      </c>
      <c r="AC290" s="567">
        <f t="shared" si="435"/>
        <v>1</v>
      </c>
      <c r="AD290" s="568" t="str">
        <f t="shared" si="420"/>
        <v>2023</v>
      </c>
      <c r="AE290" s="569">
        <v>44970</v>
      </c>
      <c r="AF290" s="568">
        <v>2023</v>
      </c>
      <c r="AG290" s="569"/>
      <c r="AH290" s="566">
        <f t="shared" si="447"/>
        <v>1143502.1746964902</v>
      </c>
      <c r="AI290" s="80">
        <f t="shared" si="421"/>
        <v>995126.42610229331</v>
      </c>
      <c r="AJ290" s="571" t="s">
        <v>3035</v>
      </c>
      <c r="AK290" s="875">
        <f t="shared" si="451"/>
        <v>200000</v>
      </c>
      <c r="AL290" s="28">
        <f t="shared" si="448"/>
        <v>0</v>
      </c>
      <c r="AM290" s="28">
        <f t="shared" si="448"/>
        <v>0</v>
      </c>
      <c r="AN290" s="28">
        <f t="shared" si="448"/>
        <v>0</v>
      </c>
      <c r="AO290" s="28">
        <f t="shared" si="448"/>
        <v>1</v>
      </c>
      <c r="AP290" s="28">
        <f t="shared" si="448"/>
        <v>0</v>
      </c>
      <c r="AQ290" s="28">
        <f t="shared" si="448"/>
        <v>0</v>
      </c>
      <c r="AR290" s="28">
        <f t="shared" si="448"/>
        <v>0</v>
      </c>
      <c r="AS290" s="28">
        <f t="shared" si="448"/>
        <v>0</v>
      </c>
      <c r="AT290" s="28">
        <f t="shared" si="448"/>
        <v>0</v>
      </c>
      <c r="AU290" s="28">
        <f t="shared" si="448"/>
        <v>0</v>
      </c>
      <c r="AV290" s="28">
        <f t="shared" si="449"/>
        <v>0</v>
      </c>
      <c r="AW290" s="28">
        <f t="shared" si="449"/>
        <v>0</v>
      </c>
      <c r="AX290" s="28">
        <f t="shared" si="449"/>
        <v>0</v>
      </c>
      <c r="AY290" s="28">
        <f t="shared" si="449"/>
        <v>0</v>
      </c>
      <c r="AZ290" s="28">
        <f t="shared" si="449"/>
        <v>0</v>
      </c>
      <c r="BA290" s="28">
        <f t="shared" si="449"/>
        <v>0</v>
      </c>
      <c r="BB290" s="28">
        <f t="shared" si="449"/>
        <v>0</v>
      </c>
      <c r="BC290" s="28">
        <f t="shared" si="449"/>
        <v>0</v>
      </c>
      <c r="BD290" s="28">
        <f t="shared" si="449"/>
        <v>0</v>
      </c>
      <c r="BE290" s="28">
        <f t="shared" si="449"/>
        <v>0</v>
      </c>
      <c r="BF290" s="27">
        <f t="shared" si="450"/>
        <v>1</v>
      </c>
      <c r="BG290" s="520">
        <f t="shared" si="436"/>
        <v>1.0048004684933676</v>
      </c>
      <c r="BH290" s="520">
        <f t="shared" si="422"/>
        <v>1.0091735308424343</v>
      </c>
      <c r="BI290" s="520">
        <f t="shared" si="423"/>
        <v>1.0139063649053275</v>
      </c>
      <c r="BJ290" s="520">
        <f t="shared" si="424"/>
        <v>1.0193733426146212</v>
      </c>
      <c r="BK290" s="520">
        <f t="shared" si="425"/>
        <v>1.0273380684482474</v>
      </c>
      <c r="BL290" s="520">
        <f t="shared" si="426"/>
        <v>1.0362969710422862</v>
      </c>
      <c r="BM290" s="520">
        <f t="shared" si="427"/>
        <v>1.04229471310218</v>
      </c>
      <c r="BN290" s="521" t="str">
        <f t="shared" si="428"/>
        <v>Project</v>
      </c>
      <c r="BP290" s="3"/>
    </row>
    <row r="291" spans="1:68" hidden="1" x14ac:dyDescent="0.15">
      <c r="A291" s="12" t="s">
        <v>594</v>
      </c>
      <c r="B291" s="13" t="s">
        <v>595</v>
      </c>
      <c r="C291" s="13" t="s">
        <v>27</v>
      </c>
      <c r="D291" s="13" t="s">
        <v>40</v>
      </c>
      <c r="E291" s="13" t="s">
        <v>112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5">
        <v>0</v>
      </c>
      <c r="N291" s="670"/>
      <c r="O291" s="14"/>
      <c r="P291" s="15"/>
      <c r="Q291" s="15" t="str">
        <f>IF(ISTEXT('Incurred 2.5% cpi'!Q291),"",'Incurred 2.5% cpi'!Q291/'Incurred 2.5% cpi'!Q$17*Incurred!Q$17)</f>
        <v/>
      </c>
      <c r="R291" s="110" t="str">
        <f>IF(ISTEXT('Incurred 2.5% cpi'!R291),"",'Incurred 2.5% cpi'!R291/'Incurred 2.5% cpi'!R$17*Incurred!R$17*BG291)</f>
        <v/>
      </c>
      <c r="S291" s="102" t="str">
        <f>IF(ISTEXT('Incurred 2.5% cpi'!S291),"",'Incurred 2.5% cpi'!S291/'Incurred 2.5% cpi'!S$17*Incurred!S$17*BH291)</f>
        <v/>
      </c>
      <c r="T291" s="16" t="str">
        <f>IF(ISTEXT('Incurred 2.5% cpi'!T291),"",'Incurred 2.5% cpi'!T291/'Incurred 2.5% cpi'!T$17*Incurred!T$17*BI291)</f>
        <v/>
      </c>
      <c r="U291" s="16">
        <f>IF(ISTEXT('Incurred 2.5% cpi'!U291),"",'Incurred 2.5% cpi'!U291/'Incurred 2.5% cpi'!U$17*Incurred!U$17*BJ291)</f>
        <v>461207.30583438021</v>
      </c>
      <c r="V291" s="16" t="str">
        <f>IF(ISTEXT('Incurred 2.5% cpi'!V291),"",'Incurred 2.5% cpi'!V291/'Incurred 2.5% cpi'!V$17*Incurred!V$17*BK291)</f>
        <v/>
      </c>
      <c r="W291" s="110" t="str">
        <f>IF(ISTEXT('Incurred 2.5% cpi'!W291),"",'Incurred 2.5% cpi'!W291/'Incurred 2.5% cpi'!W$17*Incurred!W$17*BL291)</f>
        <v/>
      </c>
      <c r="X291" s="102" t="str">
        <f>IF(ISTEXT('Incurred 2.5% cpi'!X291),"",'Incurred 2.5% cpi'!X291/'Incurred 2.5% cpi'!X$17*Incurred!X$17*BM291)</f>
        <v/>
      </c>
      <c r="Y291" s="80">
        <f t="shared" si="434"/>
        <v>461207.30583438021</v>
      </c>
      <c r="Z291" s="80">
        <f t="shared" si="445"/>
        <v>461207.30583438021</v>
      </c>
      <c r="AA291" s="566">
        <f t="shared" si="446"/>
        <v>484555.92569224566</v>
      </c>
      <c r="AB291" s="566">
        <f t="shared" si="419"/>
        <v>461207.30583438021</v>
      </c>
      <c r="AC291" s="567">
        <f t="shared" si="435"/>
        <v>1.0506249999999999</v>
      </c>
      <c r="AD291" s="568" t="str">
        <f t="shared" si="420"/>
        <v>2021</v>
      </c>
      <c r="AE291" s="569">
        <v>44266</v>
      </c>
      <c r="AF291" s="568">
        <v>2021</v>
      </c>
      <c r="AG291" s="569"/>
      <c r="AH291" s="566">
        <f t="shared" si="447"/>
        <v>428276.83250968991</v>
      </c>
      <c r="AI291" s="80">
        <f t="shared" si="421"/>
        <v>461207.30583438021</v>
      </c>
      <c r="AJ291" s="571" t="s">
        <v>3035</v>
      </c>
      <c r="AK291" s="875">
        <f t="shared" si="451"/>
        <v>80000.000000000029</v>
      </c>
      <c r="AL291" s="28">
        <f t="shared" si="448"/>
        <v>0</v>
      </c>
      <c r="AM291" s="28">
        <f t="shared" si="448"/>
        <v>0</v>
      </c>
      <c r="AN291" s="28">
        <f t="shared" si="448"/>
        <v>0</v>
      </c>
      <c r="AO291" s="28">
        <f t="shared" si="448"/>
        <v>1</v>
      </c>
      <c r="AP291" s="28">
        <f t="shared" si="448"/>
        <v>0</v>
      </c>
      <c r="AQ291" s="28">
        <f t="shared" si="448"/>
        <v>0</v>
      </c>
      <c r="AR291" s="28">
        <f t="shared" si="448"/>
        <v>0</v>
      </c>
      <c r="AS291" s="28">
        <f t="shared" si="448"/>
        <v>0</v>
      </c>
      <c r="AT291" s="28">
        <f t="shared" si="448"/>
        <v>0</v>
      </c>
      <c r="AU291" s="28">
        <f t="shared" si="448"/>
        <v>0</v>
      </c>
      <c r="AV291" s="28">
        <f t="shared" si="449"/>
        <v>0</v>
      </c>
      <c r="AW291" s="28">
        <f t="shared" si="449"/>
        <v>0</v>
      </c>
      <c r="AX291" s="28">
        <f t="shared" si="449"/>
        <v>0</v>
      </c>
      <c r="AY291" s="28">
        <f t="shared" si="449"/>
        <v>0</v>
      </c>
      <c r="AZ291" s="28">
        <f t="shared" si="449"/>
        <v>0</v>
      </c>
      <c r="BA291" s="28">
        <f t="shared" si="449"/>
        <v>0</v>
      </c>
      <c r="BB291" s="28">
        <f t="shared" si="449"/>
        <v>0</v>
      </c>
      <c r="BC291" s="28">
        <f t="shared" si="449"/>
        <v>0</v>
      </c>
      <c r="BD291" s="28">
        <f t="shared" si="449"/>
        <v>0</v>
      </c>
      <c r="BE291" s="28">
        <f t="shared" si="449"/>
        <v>0</v>
      </c>
      <c r="BF291" s="27">
        <f t="shared" si="450"/>
        <v>1</v>
      </c>
      <c r="BG291" s="520">
        <f t="shared" si="436"/>
        <v>1.0047436108337606</v>
      </c>
      <c r="BH291" s="520">
        <f t="shared" si="422"/>
        <v>1.0090648778026832</v>
      </c>
      <c r="BI291" s="520">
        <f t="shared" si="423"/>
        <v>1.0137416552809959</v>
      </c>
      <c r="BJ291" s="520">
        <f t="shared" si="424"/>
        <v>1.0191438810690752</v>
      </c>
      <c r="BK291" s="520">
        <f t="shared" si="425"/>
        <v>1.0270142711788159</v>
      </c>
      <c r="BL291" s="520">
        <f t="shared" si="426"/>
        <v>1.035867062830798</v>
      </c>
      <c r="BM291" s="520">
        <f t="shared" si="427"/>
        <v>1.0417937664958092</v>
      </c>
      <c r="BN291" s="521" t="str">
        <f t="shared" si="428"/>
        <v>Project</v>
      </c>
      <c r="BP291" s="3"/>
    </row>
    <row r="292" spans="1:68" hidden="1" x14ac:dyDescent="0.15">
      <c r="A292" s="12" t="s">
        <v>596</v>
      </c>
      <c r="B292" s="13" t="s">
        <v>597</v>
      </c>
      <c r="C292" s="13" t="s">
        <v>27</v>
      </c>
      <c r="D292" s="13" t="s">
        <v>40</v>
      </c>
      <c r="E292" s="13" t="s">
        <v>112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5">
        <v>0</v>
      </c>
      <c r="N292" s="670"/>
      <c r="O292" s="14"/>
      <c r="P292" s="15"/>
      <c r="Q292" s="15" t="str">
        <f>IF(ISTEXT('Incurred 2.5% cpi'!Q292),"",'Incurred 2.5% cpi'!Q292/'Incurred 2.5% cpi'!Q$17*Incurred!Q$17)</f>
        <v/>
      </c>
      <c r="R292" s="110" t="str">
        <f>IF(ISTEXT('Incurred 2.5% cpi'!R292),"",'Incurred 2.5% cpi'!R292/'Incurred 2.5% cpi'!R$17*Incurred!R$17*BG292)</f>
        <v/>
      </c>
      <c r="S292" s="102" t="str">
        <f>IF(ISTEXT('Incurred 2.5% cpi'!S292),"",'Incurred 2.5% cpi'!S292/'Incurred 2.5% cpi'!S$17*Incurred!S$17*BH292)</f>
        <v/>
      </c>
      <c r="T292" s="16">
        <f>IF(ISTEXT('Incurred 2.5% cpi'!T292),"",'Incurred 2.5% cpi'!T292/'Incurred 2.5% cpi'!T$17*Incurred!T$17*BI292)</f>
        <v>558675.62394219812</v>
      </c>
      <c r="U292" s="16">
        <f>IF(ISTEXT('Incurred 2.5% cpi'!U292),"",'Incurred 2.5% cpi'!U292/'Incurred 2.5% cpi'!U$17*Incurred!U$17*BJ292)</f>
        <v>528399.87496695784</v>
      </c>
      <c r="V292" s="16">
        <f>IF(ISTEXT('Incurred 2.5% cpi'!V292),"",'Incurred 2.5% cpi'!V292/'Incurred 2.5% cpi'!V$17*Incurred!V$17*BK292)</f>
        <v>11185556.17220577</v>
      </c>
      <c r="W292" s="110" t="str">
        <f>IF(ISTEXT('Incurred 2.5% cpi'!W292),"",'Incurred 2.5% cpi'!W292/'Incurred 2.5% cpi'!W$17*Incurred!W$17*BL292)</f>
        <v/>
      </c>
      <c r="X292" s="102" t="str">
        <f>IF(ISTEXT('Incurred 2.5% cpi'!X292),"",'Incurred 2.5% cpi'!X292/'Incurred 2.5% cpi'!X$17*Incurred!X$17*BM292)</f>
        <v/>
      </c>
      <c r="Y292" s="80">
        <f t="shared" si="434"/>
        <v>12272631.671114925</v>
      </c>
      <c r="Z292" s="80">
        <f t="shared" si="445"/>
        <v>12272631.671114925</v>
      </c>
      <c r="AA292" s="566">
        <f t="shared" si="446"/>
        <v>12621977.736987453</v>
      </c>
      <c r="AB292" s="566">
        <f t="shared" si="419"/>
        <v>12314124.621451175</v>
      </c>
      <c r="AC292" s="567">
        <f t="shared" si="435"/>
        <v>1.0249999999999999</v>
      </c>
      <c r="AD292" s="568" t="str">
        <f t="shared" si="420"/>
        <v>2022</v>
      </c>
      <c r="AE292" s="569">
        <v>44602</v>
      </c>
      <c r="AF292" s="568">
        <v>2022</v>
      </c>
      <c r="AG292" s="569"/>
      <c r="AH292" s="566">
        <f t="shared" si="447"/>
        <v>11155989.140948232</v>
      </c>
      <c r="AI292" s="80">
        <f t="shared" si="421"/>
        <v>11185556.17220577</v>
      </c>
      <c r="AJ292" s="571" t="s">
        <v>3035</v>
      </c>
      <c r="AK292" s="875">
        <f t="shared" si="451"/>
        <v>8255447.2790730707</v>
      </c>
      <c r="AL292" s="28">
        <f t="shared" si="448"/>
        <v>0</v>
      </c>
      <c r="AM292" s="28">
        <f t="shared" si="448"/>
        <v>6.6625178794886261E-2</v>
      </c>
      <c r="AN292" s="28">
        <f t="shared" si="448"/>
        <v>2.4623727077186863E-2</v>
      </c>
      <c r="AO292" s="28">
        <f t="shared" si="448"/>
        <v>0</v>
      </c>
      <c r="AP292" s="28">
        <f t="shared" si="448"/>
        <v>0</v>
      </c>
      <c r="AQ292" s="28">
        <f t="shared" si="448"/>
        <v>0</v>
      </c>
      <c r="AR292" s="28">
        <f t="shared" si="448"/>
        <v>0</v>
      </c>
      <c r="AS292" s="28">
        <f t="shared" si="448"/>
        <v>0</v>
      </c>
      <c r="AT292" s="28">
        <f t="shared" si="448"/>
        <v>0</v>
      </c>
      <c r="AU292" s="28">
        <f t="shared" si="448"/>
        <v>1.5448232599254092E-2</v>
      </c>
      <c r="AV292" s="28">
        <f t="shared" si="449"/>
        <v>0</v>
      </c>
      <c r="AW292" s="28">
        <f t="shared" si="449"/>
        <v>1.4233026512561428E-3</v>
      </c>
      <c r="AX292" s="28">
        <f t="shared" si="449"/>
        <v>0</v>
      </c>
      <c r="AY292" s="28">
        <f t="shared" si="449"/>
        <v>0</v>
      </c>
      <c r="AZ292" s="28">
        <f t="shared" si="449"/>
        <v>0</v>
      </c>
      <c r="BA292" s="28">
        <f t="shared" si="449"/>
        <v>0.89187955887741666</v>
      </c>
      <c r="BB292" s="28">
        <f t="shared" si="449"/>
        <v>0</v>
      </c>
      <c r="BC292" s="28">
        <f t="shared" si="449"/>
        <v>0</v>
      </c>
      <c r="BD292" s="28">
        <f t="shared" si="449"/>
        <v>0</v>
      </c>
      <c r="BE292" s="28">
        <f t="shared" si="449"/>
        <v>0</v>
      </c>
      <c r="BF292" s="27">
        <f t="shared" si="450"/>
        <v>1</v>
      </c>
      <c r="BG292" s="520">
        <f t="shared" si="436"/>
        <v>1.0038091276544363</v>
      </c>
      <c r="BH292" s="520">
        <f t="shared" si="422"/>
        <v>1.0072791124593401</v>
      </c>
      <c r="BI292" s="520">
        <f t="shared" si="423"/>
        <v>1.0110345728144559</v>
      </c>
      <c r="BJ292" s="520">
        <f t="shared" si="424"/>
        <v>1.0153725694094611</v>
      </c>
      <c r="BK292" s="520">
        <f t="shared" si="425"/>
        <v>1.0216925061978779</v>
      </c>
      <c r="BL292" s="520">
        <f t="shared" si="426"/>
        <v>1.0288013131135993</v>
      </c>
      <c r="BM292" s="520">
        <f t="shared" si="427"/>
        <v>1.0335604663454312</v>
      </c>
      <c r="BN292" s="521" t="str">
        <f t="shared" si="428"/>
        <v>Project</v>
      </c>
      <c r="BP292" s="3"/>
    </row>
    <row r="293" spans="1:68" hidden="1" x14ac:dyDescent="0.15">
      <c r="A293" s="12" t="s">
        <v>601</v>
      </c>
      <c r="B293" s="13" t="s">
        <v>2326</v>
      </c>
      <c r="C293" s="13" t="s">
        <v>27</v>
      </c>
      <c r="D293" s="13" t="s">
        <v>55</v>
      </c>
      <c r="E293" s="13" t="s">
        <v>112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5">
        <v>0</v>
      </c>
      <c r="N293" s="670"/>
      <c r="O293" s="14"/>
      <c r="P293" s="15"/>
      <c r="Q293" s="15" t="str">
        <f>IF(ISTEXT('Incurred 2.5% cpi'!Q293),"",'Incurred 2.5% cpi'!Q293/'Incurred 2.5% cpi'!Q$17*Incurred!Q$17)</f>
        <v/>
      </c>
      <c r="R293" s="110" t="str">
        <f>IF(ISTEXT('Incurred 2.5% cpi'!R293),"",'Incurred 2.5% cpi'!R293/'Incurred 2.5% cpi'!R$17*Incurred!R$17*BG293)</f>
        <v/>
      </c>
      <c r="S293" s="102" t="str">
        <f>IF(ISTEXT('Incurred 2.5% cpi'!S293),"",'Incurred 2.5% cpi'!S293/'Incurred 2.5% cpi'!S$17*Incurred!S$17*BH293)</f>
        <v/>
      </c>
      <c r="T293" s="16">
        <f>IF(ISTEXT('Incurred 2.5% cpi'!T293),"",'Incurred 2.5% cpi'!T293/'Incurred 2.5% cpi'!T$17*Incurred!T$17*BI293)</f>
        <v>78125.37783023977</v>
      </c>
      <c r="U293" s="16">
        <f>IF(ISTEXT('Incurred 2.5% cpi'!U293),"",'Incurred 2.5% cpi'!U293/'Incurred 2.5% cpi'!U$17*Incurred!U$17*BJ293)</f>
        <v>565076.1817270125</v>
      </c>
      <c r="V293" s="16">
        <f>IF(ISTEXT('Incurred 2.5% cpi'!V293),"",'Incurred 2.5% cpi'!V293/'Incurred 2.5% cpi'!V$17*Incurred!V$17*BK293)</f>
        <v>141689.26015333211</v>
      </c>
      <c r="W293" s="110" t="str">
        <f>IF(ISTEXT('Incurred 2.5% cpi'!W293),"",'Incurred 2.5% cpi'!W293/'Incurred 2.5% cpi'!W$17*Incurred!W$17*BL293)</f>
        <v/>
      </c>
      <c r="X293" s="102" t="str">
        <f>IF(ISTEXT('Incurred 2.5% cpi'!X293),"",'Incurred 2.5% cpi'!X293/'Incurred 2.5% cpi'!X$17*Incurred!X$17*BM293)</f>
        <v/>
      </c>
      <c r="Y293" s="80">
        <f t="shared" si="434"/>
        <v>784890.81971058447</v>
      </c>
      <c r="Z293" s="80">
        <f t="shared" ref="Z293" si="452">-SUMIFS(F293:W293,F293:W293,"&lt;0")+SUMIFS(F293:W293,F293:W293,"&gt;0")</f>
        <v>784890.81971058447</v>
      </c>
      <c r="AA293" s="566">
        <f>IF(ROUND(Y293,0)=0,0,SUMPRODUCT($F$20:$W$20,F293:W293))</f>
        <v>823047.14204407576</v>
      </c>
      <c r="AB293" s="566">
        <f t="shared" si="419"/>
        <v>802972.82150641549</v>
      </c>
      <c r="AC293" s="567">
        <f t="shared" si="435"/>
        <v>1.0249999999999999</v>
      </c>
      <c r="AD293" s="568" t="str">
        <f t="shared" si="420"/>
        <v>2022</v>
      </c>
      <c r="AE293" s="569">
        <v>44385</v>
      </c>
      <c r="AF293" s="568">
        <v>2022</v>
      </c>
      <c r="AG293" s="569"/>
      <c r="AH293" s="566">
        <f>IF(ROUND(Y293,0)=0,0,SUMPRODUCT($F$19:$W$19,F293:W293))</f>
        <v>727453.74540041573</v>
      </c>
      <c r="AI293" s="80">
        <f t="shared" si="421"/>
        <v>141689.26015333211</v>
      </c>
      <c r="AJ293" s="571" t="s">
        <v>3035</v>
      </c>
      <c r="AK293" s="875">
        <f t="shared" si="451"/>
        <v>0</v>
      </c>
      <c r="AL293" s="28">
        <f t="shared" ref="AL293:AU293" si="453">IF($AK293=0,VLOOKUP(MID($A293,4,5),ProjectSplits,AL$23,FALSE),IF(ISNA(VLOOKUP($A293,Estimates,AL$22,FALSE)),VLOOKUP(MID($A293,4,5),ProjectSplits,AL$23,FALSE),VLOOKUP($A293,Estimates,AL$22,FALSE)))</f>
        <v>0</v>
      </c>
      <c r="AM293" s="28">
        <f t="shared" si="453"/>
        <v>0</v>
      </c>
      <c r="AN293" s="28">
        <f t="shared" si="453"/>
        <v>0</v>
      </c>
      <c r="AO293" s="28">
        <f t="shared" si="453"/>
        <v>1</v>
      </c>
      <c r="AP293" s="28">
        <f t="shared" si="453"/>
        <v>0</v>
      </c>
      <c r="AQ293" s="28">
        <f t="shared" si="453"/>
        <v>0</v>
      </c>
      <c r="AR293" s="28">
        <f t="shared" si="453"/>
        <v>0</v>
      </c>
      <c r="AS293" s="28">
        <f t="shared" si="453"/>
        <v>0</v>
      </c>
      <c r="AT293" s="28">
        <f t="shared" si="453"/>
        <v>0</v>
      </c>
      <c r="AU293" s="28">
        <f t="shared" si="453"/>
        <v>0</v>
      </c>
      <c r="AV293" s="28">
        <f t="shared" ref="AV293:BE293" si="454">IF($AK293=0,VLOOKUP(MID($A293,4,5),ProjectSplits,AV$23,FALSE),IF(ISNA(VLOOKUP($A293,Estimates,AV$22,FALSE)),VLOOKUP(MID($A293,4,5),ProjectSplits,AV$23,FALSE),VLOOKUP($A293,Estimates,AV$22,FALSE)))</f>
        <v>0</v>
      </c>
      <c r="AW293" s="28">
        <f t="shared" si="454"/>
        <v>0</v>
      </c>
      <c r="AX293" s="28">
        <f t="shared" si="454"/>
        <v>0</v>
      </c>
      <c r="AY293" s="28">
        <f t="shared" si="454"/>
        <v>0</v>
      </c>
      <c r="AZ293" s="28">
        <f t="shared" si="454"/>
        <v>0</v>
      </c>
      <c r="BA293" s="28">
        <f t="shared" si="454"/>
        <v>0</v>
      </c>
      <c r="BB293" s="28">
        <f t="shared" si="454"/>
        <v>0</v>
      </c>
      <c r="BC293" s="28">
        <f t="shared" si="454"/>
        <v>0</v>
      </c>
      <c r="BD293" s="28">
        <f t="shared" si="454"/>
        <v>0</v>
      </c>
      <c r="BE293" s="28">
        <f t="shared" si="454"/>
        <v>0</v>
      </c>
      <c r="BF293" s="27">
        <f t="shared" ref="BF293" si="455">SUM(AL293:BD293)</f>
        <v>1</v>
      </c>
      <c r="BG293" s="520">
        <f t="shared" si="436"/>
        <v>1.0059304488076128</v>
      </c>
      <c r="BH293" s="520">
        <f t="shared" si="422"/>
        <v>1.0113328845135172</v>
      </c>
      <c r="BI293" s="520">
        <f t="shared" si="423"/>
        <v>1.0171797784497432</v>
      </c>
      <c r="BJ293" s="520">
        <f t="shared" si="424"/>
        <v>1.0239336258048755</v>
      </c>
      <c r="BK293" s="520">
        <f t="shared" si="425"/>
        <v>1.0337731651932187</v>
      </c>
      <c r="BL293" s="520">
        <f t="shared" si="426"/>
        <v>1.0448409002027792</v>
      </c>
      <c r="BM293" s="520">
        <f t="shared" si="427"/>
        <v>1.052250448311804</v>
      </c>
      <c r="BN293" s="521" t="str">
        <f t="shared" si="428"/>
        <v>Project</v>
      </c>
      <c r="BP293" s="3"/>
    </row>
    <row r="294" spans="1:68" hidden="1" x14ac:dyDescent="0.15">
      <c r="A294" s="12" t="s">
        <v>605</v>
      </c>
      <c r="B294" s="13" t="s">
        <v>2328</v>
      </c>
      <c r="C294" s="13" t="s">
        <v>27</v>
      </c>
      <c r="D294" s="13" t="s">
        <v>55</v>
      </c>
      <c r="E294" s="13" t="s">
        <v>112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5">
        <v>0</v>
      </c>
      <c r="N294" s="670"/>
      <c r="O294" s="14"/>
      <c r="P294" s="15"/>
      <c r="Q294" s="15" t="str">
        <f>IF(ISTEXT('Incurred 2.5% cpi'!Q294),"",'Incurred 2.5% cpi'!Q294/'Incurred 2.5% cpi'!Q$17*Incurred!Q$17)</f>
        <v/>
      </c>
      <c r="R294" s="110" t="str">
        <f>IF(ISTEXT('Incurred 2.5% cpi'!R294),"",'Incurred 2.5% cpi'!R294/'Incurred 2.5% cpi'!R$17*Incurred!R$17*BG294)</f>
        <v/>
      </c>
      <c r="S294" s="102" t="str">
        <f>IF(ISTEXT('Incurred 2.5% cpi'!S294),"",'Incurred 2.5% cpi'!S294/'Incurred 2.5% cpi'!S$17*Incurred!S$17*BH294)</f>
        <v/>
      </c>
      <c r="T294" s="16" t="str">
        <f>IF(ISTEXT('Incurred 2.5% cpi'!T294),"",'Incurred 2.5% cpi'!T294/'Incurred 2.5% cpi'!T$17*Incurred!T$17*BI294)</f>
        <v/>
      </c>
      <c r="U294" s="16" t="str">
        <f>IF(ISTEXT('Incurred 2.5% cpi'!U294),"",'Incurred 2.5% cpi'!U294/'Incurred 2.5% cpi'!U$17*Incurred!U$17*BJ294)</f>
        <v/>
      </c>
      <c r="V294" s="16" t="str">
        <f>IF(ISTEXT('Incurred 2.5% cpi'!V294),"",'Incurred 2.5% cpi'!V294/'Incurred 2.5% cpi'!V$17*Incurred!V$17*BK294)</f>
        <v/>
      </c>
      <c r="W294" s="110">
        <f>IF(ISTEXT('Incurred 2.5% cpi'!W294),"",'Incurred 2.5% cpi'!W294/'Incurred 2.5% cpi'!W$17*Incurred!W$17*BL294)</f>
        <v>550185.02145369875</v>
      </c>
      <c r="X294" s="102">
        <f>IF(ISTEXT('Incurred 2.5% cpi'!X294),"",'Incurred 2.5% cpi'!X294/'Incurred 2.5% cpi'!X$17*Incurred!X$17*BM294)</f>
        <v>8141.6802046776547</v>
      </c>
      <c r="Y294" s="80">
        <f t="shared" si="434"/>
        <v>550185.02145369875</v>
      </c>
      <c r="Z294" s="80">
        <f t="shared" ref="Z294" si="456">-SUMIFS(F294:W294,F294:W294,"&lt;0")+SUMIFS(F294:W294,F294:W294,"&gt;0")</f>
        <v>550185.02145369875</v>
      </c>
      <c r="AA294" s="566">
        <f t="shared" ref="AA294:AA298" si="457">IF(ROUND(Y294,0)=0,0,SUMPRODUCT($F$20:$W$20,F294:W294))</f>
        <v>550185.02145369875</v>
      </c>
      <c r="AB294" s="566">
        <f t="shared" si="419"/>
        <v>550185.02145369875</v>
      </c>
      <c r="AC294" s="567">
        <f t="shared" si="435"/>
        <v>1</v>
      </c>
      <c r="AD294" s="568" t="str">
        <f>IF(AI294=0,"",INDEX($F$24:$X$24,1,MATCH(AI294,F294:X294,0)))</f>
        <v>2024</v>
      </c>
      <c r="AE294" s="569">
        <v>45044</v>
      </c>
      <c r="AF294" s="568">
        <v>2023</v>
      </c>
      <c r="AG294" s="569"/>
      <c r="AH294" s="566">
        <f t="shared" ref="AH294:AH298" si="458">IF(ROUND(Y294,0)=0,0,SUMPRODUCT($F$19:$W$19,F294:W294))</f>
        <v>486283.39019038581</v>
      </c>
      <c r="AI294" s="80">
        <f t="shared" si="421"/>
        <v>8141.6802046776547</v>
      </c>
      <c r="AJ294" s="571" t="s">
        <v>3035</v>
      </c>
      <c r="AK294" s="875">
        <f t="shared" si="451"/>
        <v>89999.999999999985</v>
      </c>
      <c r="AL294" s="28">
        <f t="shared" ref="AL294:AU298" si="459">IF($AK294=0,VLOOKUP(MID($A294,4,5),ProjectSplits,AL$23,FALSE),IF(ISNA(VLOOKUP($A294,Estimates,AL$22,FALSE)),VLOOKUP(MID($A294,4,5),ProjectSplits,AL$23,FALSE),VLOOKUP($A294,Estimates,AL$22,FALSE)))</f>
        <v>0</v>
      </c>
      <c r="AM294" s="28">
        <f t="shared" si="459"/>
        <v>0</v>
      </c>
      <c r="AN294" s="28">
        <f t="shared" si="459"/>
        <v>0</v>
      </c>
      <c r="AO294" s="28">
        <f t="shared" si="459"/>
        <v>1</v>
      </c>
      <c r="AP294" s="28">
        <f t="shared" si="459"/>
        <v>0</v>
      </c>
      <c r="AQ294" s="28">
        <f t="shared" si="459"/>
        <v>0</v>
      </c>
      <c r="AR294" s="28">
        <f t="shared" si="459"/>
        <v>0</v>
      </c>
      <c r="AS294" s="28">
        <f t="shared" si="459"/>
        <v>0</v>
      </c>
      <c r="AT294" s="28">
        <f t="shared" si="459"/>
        <v>0</v>
      </c>
      <c r="AU294" s="28">
        <f t="shared" si="459"/>
        <v>0</v>
      </c>
      <c r="AV294" s="28">
        <f t="shared" ref="AV294:BE298" si="460">IF($AK294=0,VLOOKUP(MID($A294,4,5),ProjectSplits,AV$23,FALSE),IF(ISNA(VLOOKUP($A294,Estimates,AV$22,FALSE)),VLOOKUP(MID($A294,4,5),ProjectSplits,AV$23,FALSE),VLOOKUP($A294,Estimates,AV$22,FALSE)))</f>
        <v>0</v>
      </c>
      <c r="AW294" s="28">
        <f t="shared" si="460"/>
        <v>0</v>
      </c>
      <c r="AX294" s="28">
        <f t="shared" si="460"/>
        <v>0</v>
      </c>
      <c r="AY294" s="28">
        <f t="shared" si="460"/>
        <v>0</v>
      </c>
      <c r="AZ294" s="28">
        <f t="shared" si="460"/>
        <v>0</v>
      </c>
      <c r="BA294" s="28">
        <f t="shared" si="460"/>
        <v>0</v>
      </c>
      <c r="BB294" s="28">
        <f t="shared" si="460"/>
        <v>0</v>
      </c>
      <c r="BC294" s="28">
        <f t="shared" si="460"/>
        <v>0</v>
      </c>
      <c r="BD294" s="28">
        <f t="shared" si="460"/>
        <v>0</v>
      </c>
      <c r="BE294" s="28">
        <f t="shared" si="460"/>
        <v>0</v>
      </c>
      <c r="BF294" s="27">
        <f t="shared" ref="BF294:BF298" si="461">SUM(AL294:BD294)</f>
        <v>1</v>
      </c>
      <c r="BG294" s="520">
        <f t="shared" si="436"/>
        <v>1.0047502599901774</v>
      </c>
      <c r="BH294" s="520">
        <f t="shared" si="422"/>
        <v>1.0090775841128172</v>
      </c>
      <c r="BI294" s="520">
        <f t="shared" si="423"/>
        <v>1.0137609170667097</v>
      </c>
      <c r="BJ294" s="520">
        <f t="shared" si="424"/>
        <v>1.01917071519694</v>
      </c>
      <c r="BK294" s="520">
        <f t="shared" si="425"/>
        <v>1.0270521372940706</v>
      </c>
      <c r="BL294" s="520">
        <f t="shared" si="426"/>
        <v>1.0359173379733704</v>
      </c>
      <c r="BM294" s="520">
        <f t="shared" si="427"/>
        <v>1.0418523491452758</v>
      </c>
      <c r="BN294" s="521" t="str">
        <f t="shared" si="428"/>
        <v>Project</v>
      </c>
      <c r="BP294" s="3"/>
    </row>
    <row r="295" spans="1:68" hidden="1" x14ac:dyDescent="0.15">
      <c r="A295" s="12" t="s">
        <v>607</v>
      </c>
      <c r="B295" s="13" t="s">
        <v>2330</v>
      </c>
      <c r="C295" s="13" t="s">
        <v>27</v>
      </c>
      <c r="D295" s="13" t="s">
        <v>55</v>
      </c>
      <c r="E295" s="13" t="s">
        <v>112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5">
        <v>0</v>
      </c>
      <c r="N295" s="670"/>
      <c r="O295" s="14"/>
      <c r="P295" s="15"/>
      <c r="Q295" s="15" t="str">
        <f>IF(ISTEXT('Incurred 2.5% cpi'!Q295),"",'Incurred 2.5% cpi'!Q295/'Incurred 2.5% cpi'!Q$17*Incurred!Q$17)</f>
        <v/>
      </c>
      <c r="R295" s="110" t="str">
        <f>IF(ISTEXT('Incurred 2.5% cpi'!R295),"",'Incurred 2.5% cpi'!R295/'Incurred 2.5% cpi'!R$17*Incurred!R$17*BG295)</f>
        <v/>
      </c>
      <c r="S295" s="102">
        <f>IF(ISTEXT('Incurred 2.5% cpi'!S295),"",'Incurred 2.5% cpi'!S295/'Incurred 2.5% cpi'!S$17*Incurred!S$17*BH295)</f>
        <v>109843.83014095959</v>
      </c>
      <c r="T295" s="16">
        <f>IF(ISTEXT('Incurred 2.5% cpi'!T295),"",'Incurred 2.5% cpi'!T295/'Incurred 2.5% cpi'!T$17*Incurred!T$17*BI295)</f>
        <v>159105.89676443892</v>
      </c>
      <c r="U295" s="16">
        <f>IF(ISTEXT('Incurred 2.5% cpi'!U295),"",'Incurred 2.5% cpi'!U295/'Incurred 2.5% cpi'!U$17*Incurred!U$17*BJ295)</f>
        <v>20340.786097067372</v>
      </c>
      <c r="V295" s="16" t="str">
        <f>IF(ISTEXT('Incurred 2.5% cpi'!V295),"",'Incurred 2.5% cpi'!V295/'Incurred 2.5% cpi'!V$17*Incurred!V$17*BK295)</f>
        <v/>
      </c>
      <c r="W295" s="110" t="str">
        <f>IF(ISTEXT('Incurred 2.5% cpi'!W295),"",'Incurred 2.5% cpi'!W295/'Incurred 2.5% cpi'!W$17*Incurred!W$17*BL295)</f>
        <v/>
      </c>
      <c r="X295" s="102" t="str">
        <f>IF(ISTEXT('Incurred 2.5% cpi'!X295),"",'Incurred 2.5% cpi'!X295/'Incurred 2.5% cpi'!X$17*Incurred!X$17*BM295)</f>
        <v/>
      </c>
      <c r="Y295" s="80">
        <f t="shared" si="434"/>
        <v>289290.51300246589</v>
      </c>
      <c r="Z295" s="80">
        <f t="shared" ref="Z295:Z325" si="462">-SUMIFS(F295:W295,F295:W295,"&lt;0")+SUMIFS(F295:W295,F295:W295,"&gt;0")</f>
        <v>289290.51300246589</v>
      </c>
      <c r="AA295" s="566">
        <f t="shared" si="457"/>
        <v>313957.22266628756</v>
      </c>
      <c r="AB295" s="566">
        <f t="shared" si="419"/>
        <v>291540.49202191504</v>
      </c>
      <c r="AC295" s="567">
        <f t="shared" si="435"/>
        <v>1.0768906249999999</v>
      </c>
      <c r="AD295" s="568" t="str">
        <f t="shared" si="420"/>
        <v>2021</v>
      </c>
      <c r="AE295" s="569">
        <v>43990</v>
      </c>
      <c r="AF295" s="568">
        <v>2020</v>
      </c>
      <c r="AG295" s="569"/>
      <c r="AH295" s="566">
        <f t="shared" si="458"/>
        <v>277492.43737957417</v>
      </c>
      <c r="AI295" s="80">
        <f t="shared" si="421"/>
        <v>20340.786097067372</v>
      </c>
      <c r="AJ295" s="571" t="s">
        <v>3035</v>
      </c>
      <c r="AK295" s="875">
        <f t="shared" si="451"/>
        <v>52000</v>
      </c>
      <c r="AL295" s="28">
        <f t="shared" si="459"/>
        <v>0</v>
      </c>
      <c r="AM295" s="28">
        <f t="shared" si="459"/>
        <v>0</v>
      </c>
      <c r="AN295" s="28">
        <f t="shared" si="459"/>
        <v>0</v>
      </c>
      <c r="AO295" s="28">
        <f t="shared" si="459"/>
        <v>1</v>
      </c>
      <c r="AP295" s="28">
        <f t="shared" si="459"/>
        <v>0</v>
      </c>
      <c r="AQ295" s="28">
        <f t="shared" si="459"/>
        <v>0</v>
      </c>
      <c r="AR295" s="28">
        <f t="shared" si="459"/>
        <v>0</v>
      </c>
      <c r="AS295" s="28">
        <f t="shared" si="459"/>
        <v>0</v>
      </c>
      <c r="AT295" s="28">
        <f t="shared" si="459"/>
        <v>0</v>
      </c>
      <c r="AU295" s="28">
        <f t="shared" si="459"/>
        <v>0</v>
      </c>
      <c r="AV295" s="28">
        <f t="shared" si="460"/>
        <v>0</v>
      </c>
      <c r="AW295" s="28">
        <f t="shared" si="460"/>
        <v>0</v>
      </c>
      <c r="AX295" s="28">
        <f t="shared" si="460"/>
        <v>0</v>
      </c>
      <c r="AY295" s="28">
        <f t="shared" si="460"/>
        <v>0</v>
      </c>
      <c r="AZ295" s="28">
        <f t="shared" si="460"/>
        <v>0</v>
      </c>
      <c r="BA295" s="28">
        <f t="shared" si="460"/>
        <v>0</v>
      </c>
      <c r="BB295" s="28">
        <f t="shared" si="460"/>
        <v>0</v>
      </c>
      <c r="BC295" s="28">
        <f t="shared" si="460"/>
        <v>0</v>
      </c>
      <c r="BD295" s="28">
        <f t="shared" si="460"/>
        <v>0</v>
      </c>
      <c r="BE295" s="28">
        <f t="shared" si="460"/>
        <v>0</v>
      </c>
      <c r="BF295" s="27">
        <f t="shared" si="461"/>
        <v>1</v>
      </c>
      <c r="BG295" s="520">
        <f t="shared" si="436"/>
        <v>1.0047443590460903</v>
      </c>
      <c r="BH295" s="520">
        <f t="shared" si="422"/>
        <v>1.0090663076108137</v>
      </c>
      <c r="BI295" s="520">
        <f t="shared" si="423"/>
        <v>1.0137438227597946</v>
      </c>
      <c r="BJ295" s="520">
        <f t="shared" si="424"/>
        <v>1.0191469006439002</v>
      </c>
      <c r="BK295" s="520">
        <f t="shared" si="425"/>
        <v>1.0270185321545748</v>
      </c>
      <c r="BL295" s="520">
        <f t="shared" si="426"/>
        <v>1.0358727201622233</v>
      </c>
      <c r="BM295" s="520">
        <f t="shared" si="427"/>
        <v>1.0418003586494431</v>
      </c>
      <c r="BN295" s="521" t="str">
        <f t="shared" si="428"/>
        <v>Project</v>
      </c>
      <c r="BP295" s="3"/>
    </row>
    <row r="296" spans="1:68" hidden="1" x14ac:dyDescent="0.15">
      <c r="A296" s="12" t="s">
        <v>608</v>
      </c>
      <c r="B296" s="13" t="s">
        <v>609</v>
      </c>
      <c r="C296" s="13" t="s">
        <v>27</v>
      </c>
      <c r="D296" s="13" t="s">
        <v>44</v>
      </c>
      <c r="E296" s="13" t="s">
        <v>45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5">
        <v>0</v>
      </c>
      <c r="N296" s="670"/>
      <c r="O296" s="14"/>
      <c r="P296" s="15">
        <v>8906.7900000000009</v>
      </c>
      <c r="Q296" s="15">
        <f>IF(ISTEXT('Incurred 2.5% cpi'!Q296),"",'Incurred 2.5% cpi'!Q296/'Incurred 2.5% cpi'!Q$17*Incurred!Q$17)</f>
        <v>-8906.7900000000009</v>
      </c>
      <c r="R296" s="110" t="str">
        <f>IF(ISTEXT('Incurred 2.5% cpi'!R296),"",'Incurred 2.5% cpi'!R296/'Incurred 2.5% cpi'!R$17*Incurred!R$17*BG296)</f>
        <v/>
      </c>
      <c r="S296" s="102" t="str">
        <f>IF(ISTEXT('Incurred 2.5% cpi'!S296),"",'Incurred 2.5% cpi'!S296/'Incurred 2.5% cpi'!S$17*Incurred!S$17*BH296)</f>
        <v/>
      </c>
      <c r="T296" s="16" t="str">
        <f>IF(ISTEXT('Incurred 2.5% cpi'!T296),"",'Incurred 2.5% cpi'!T296/'Incurred 2.5% cpi'!T$17*Incurred!T$17*BI296)</f>
        <v/>
      </c>
      <c r="U296" s="16" t="str">
        <f>IF(ISTEXT('Incurred 2.5% cpi'!U296),"",'Incurred 2.5% cpi'!U296/'Incurred 2.5% cpi'!U$17*Incurred!U$17*BJ296)</f>
        <v/>
      </c>
      <c r="V296" s="16" t="str">
        <f>IF(ISTEXT('Incurred 2.5% cpi'!V296),"",'Incurred 2.5% cpi'!V296/'Incurred 2.5% cpi'!V$17*Incurred!V$17*BK296)</f>
        <v/>
      </c>
      <c r="W296" s="110" t="str">
        <f>IF(ISTEXT('Incurred 2.5% cpi'!W296),"",'Incurred 2.5% cpi'!W296/'Incurred 2.5% cpi'!W$17*Incurred!W$17*BL296)</f>
        <v/>
      </c>
      <c r="X296" s="102" t="str">
        <f>IF(ISTEXT('Incurred 2.5% cpi'!X296),"",'Incurred 2.5% cpi'!X296/'Incurred 2.5% cpi'!X$17*Incurred!X$17*BM296)</f>
        <v/>
      </c>
      <c r="Y296" s="80">
        <f t="shared" si="434"/>
        <v>0</v>
      </c>
      <c r="Z296" s="80">
        <f t="shared" si="462"/>
        <v>17813.580000000002</v>
      </c>
      <c r="AA296" s="566">
        <f t="shared" si="457"/>
        <v>0</v>
      </c>
      <c r="AB296" s="566" t="str">
        <f t="shared" si="419"/>
        <v/>
      </c>
      <c r="AC296" s="567" t="str">
        <f t="shared" si="435"/>
        <v/>
      </c>
      <c r="AD296" s="568" t="str">
        <f t="shared" si="420"/>
        <v>2017</v>
      </c>
      <c r="AE296" s="569" t="s">
        <v>0</v>
      </c>
      <c r="AF296" s="568" t="s">
        <v>0</v>
      </c>
      <c r="AG296" s="569"/>
      <c r="AH296" s="566">
        <f t="shared" si="458"/>
        <v>0</v>
      </c>
      <c r="AI296" s="80">
        <f t="shared" si="421"/>
        <v>-8906.7900000000009</v>
      </c>
      <c r="AJ296" s="571" t="s">
        <v>0</v>
      </c>
      <c r="AK296" s="875">
        <f t="shared" si="429"/>
        <v>0</v>
      </c>
      <c r="AL296" s="28">
        <f t="shared" si="459"/>
        <v>0</v>
      </c>
      <c r="AM296" s="28">
        <f t="shared" si="459"/>
        <v>0</v>
      </c>
      <c r="AN296" s="28">
        <f t="shared" si="459"/>
        <v>0</v>
      </c>
      <c r="AO296" s="28">
        <f t="shared" si="459"/>
        <v>0</v>
      </c>
      <c r="AP296" s="28">
        <f t="shared" si="459"/>
        <v>0</v>
      </c>
      <c r="AQ296" s="28">
        <f t="shared" si="459"/>
        <v>1</v>
      </c>
      <c r="AR296" s="28">
        <f t="shared" si="459"/>
        <v>0</v>
      </c>
      <c r="AS296" s="28">
        <f t="shared" si="459"/>
        <v>0</v>
      </c>
      <c r="AT296" s="28">
        <f t="shared" si="459"/>
        <v>0</v>
      </c>
      <c r="AU296" s="28">
        <f t="shared" si="459"/>
        <v>0</v>
      </c>
      <c r="AV296" s="28">
        <f t="shared" si="460"/>
        <v>0</v>
      </c>
      <c r="AW296" s="28">
        <f t="shared" si="460"/>
        <v>0</v>
      </c>
      <c r="AX296" s="28">
        <f t="shared" si="460"/>
        <v>0</v>
      </c>
      <c r="AY296" s="28">
        <f t="shared" si="460"/>
        <v>0</v>
      </c>
      <c r="AZ296" s="28">
        <f t="shared" si="460"/>
        <v>0</v>
      </c>
      <c r="BA296" s="28">
        <f t="shared" si="460"/>
        <v>0</v>
      </c>
      <c r="BB296" s="28">
        <f t="shared" si="460"/>
        <v>0</v>
      </c>
      <c r="BC296" s="28">
        <f t="shared" si="460"/>
        <v>0</v>
      </c>
      <c r="BD296" s="28">
        <f t="shared" si="460"/>
        <v>0</v>
      </c>
      <c r="BE296" s="28">
        <f t="shared" si="460"/>
        <v>0</v>
      </c>
      <c r="BF296" s="27">
        <f t="shared" si="461"/>
        <v>1</v>
      </c>
      <c r="BG296" s="520">
        <f t="shared" si="436"/>
        <v>1.0013788876313259</v>
      </c>
      <c r="BH296" s="520">
        <f t="shared" si="422"/>
        <v>1.0026350070272714</v>
      </c>
      <c r="BI296" s="520">
        <f t="shared" si="423"/>
        <v>1.0039944673298349</v>
      </c>
      <c r="BJ296" s="520">
        <f t="shared" si="424"/>
        <v>1.0055648032156956</v>
      </c>
      <c r="BK296" s="520">
        <f t="shared" si="425"/>
        <v>1.0078525928249935</v>
      </c>
      <c r="BL296" s="520">
        <f t="shared" si="426"/>
        <v>1.0104259499867456</v>
      </c>
      <c r="BM296" s="520">
        <f t="shared" si="427"/>
        <v>1.0121487427420144</v>
      </c>
      <c r="BN296" s="521" t="str">
        <f t="shared" si="428"/>
        <v>Category</v>
      </c>
      <c r="BP296" s="3"/>
    </row>
    <row r="297" spans="1:68" hidden="1" x14ac:dyDescent="0.15">
      <c r="A297" s="12" t="s">
        <v>610</v>
      </c>
      <c r="B297" s="13" t="s">
        <v>2331</v>
      </c>
      <c r="C297" s="13" t="s">
        <v>27</v>
      </c>
      <c r="D297" s="13" t="s">
        <v>55</v>
      </c>
      <c r="E297" s="13" t="s">
        <v>112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5">
        <v>0</v>
      </c>
      <c r="N297" s="670"/>
      <c r="O297" s="14"/>
      <c r="P297" s="15"/>
      <c r="Q297" s="15" t="str">
        <f>IF(ISTEXT('Incurred 2.5% cpi'!Q297),"",'Incurred 2.5% cpi'!Q297/'Incurred 2.5% cpi'!Q$17*Incurred!Q$17)</f>
        <v/>
      </c>
      <c r="R297" s="110" t="str">
        <f>IF(ISTEXT('Incurred 2.5% cpi'!R297),"",'Incurred 2.5% cpi'!R297/'Incurred 2.5% cpi'!R$17*Incurred!R$17*BG297)</f>
        <v/>
      </c>
      <c r="S297" s="102" t="str">
        <f>IF(ISTEXT('Incurred 2.5% cpi'!S297),"",'Incurred 2.5% cpi'!S297/'Incurred 2.5% cpi'!S$17*Incurred!S$17*BH297)</f>
        <v/>
      </c>
      <c r="T297" s="16">
        <f>IF(ISTEXT('Incurred 2.5% cpi'!T297),"",'Incurred 2.5% cpi'!T297/'Incurred 2.5% cpi'!T$17*Incurred!T$17*BI297)</f>
        <v>467418.36665281031</v>
      </c>
      <c r="U297" s="16">
        <f>IF(ISTEXT('Incurred 2.5% cpi'!U297),"",'Incurred 2.5% cpi'!U297/'Incurred 2.5% cpi'!U$17*Incurred!U$17*BJ297)</f>
        <v>235070.88406867269</v>
      </c>
      <c r="V297" s="16" t="str">
        <f>IF(ISTEXT('Incurred 2.5% cpi'!V297),"",'Incurred 2.5% cpi'!V297/'Incurred 2.5% cpi'!V$17*Incurred!V$17*BK297)</f>
        <v/>
      </c>
      <c r="W297" s="110" t="str">
        <f>IF(ISTEXT('Incurred 2.5% cpi'!W297),"",'Incurred 2.5% cpi'!W297/'Incurred 2.5% cpi'!W$17*Incurred!W$17*BL297)</f>
        <v/>
      </c>
      <c r="X297" s="102" t="str">
        <f>IF(ISTEXT('Incurred 2.5% cpi'!X297),"",'Incurred 2.5% cpi'!X297/'Incurred 2.5% cpi'!X$17*Incurred!X$17*BM297)</f>
        <v/>
      </c>
      <c r="Y297" s="80">
        <f t="shared" si="434"/>
        <v>702489.25072148303</v>
      </c>
      <c r="Z297" s="80">
        <f t="shared" si="462"/>
        <v>702489.25072148303</v>
      </c>
      <c r="AA297" s="566">
        <f t="shared" si="457"/>
        <v>750329.80457587319</v>
      </c>
      <c r="AB297" s="566">
        <f t="shared" si="419"/>
        <v>714174.70988780318</v>
      </c>
      <c r="AC297" s="567">
        <f t="shared" si="435"/>
        <v>1.0506249999999999</v>
      </c>
      <c r="AD297" s="568" t="str">
        <f t="shared" si="420"/>
        <v>2021</v>
      </c>
      <c r="AE297" s="569">
        <v>44096</v>
      </c>
      <c r="AF297" s="568">
        <v>2021</v>
      </c>
      <c r="AG297" s="569"/>
      <c r="AH297" s="566">
        <f t="shared" si="458"/>
        <v>663182.21489559661</v>
      </c>
      <c r="AI297" s="80">
        <f t="shared" si="421"/>
        <v>235070.88406867269</v>
      </c>
      <c r="AJ297" s="571" t="s">
        <v>3035</v>
      </c>
      <c r="AK297" s="875">
        <f>IF(ISNA(VLOOKUP(LEFT($A297,8),Estimates,72,FALSE)),0,VLOOKUP(LEFT($A297,8),Estimates,72,FALSE))</f>
        <v>117800.00000000007</v>
      </c>
      <c r="AL297" s="28">
        <f t="shared" si="459"/>
        <v>0</v>
      </c>
      <c r="AM297" s="28">
        <f t="shared" si="459"/>
        <v>0</v>
      </c>
      <c r="AN297" s="28">
        <f t="shared" si="459"/>
        <v>0</v>
      </c>
      <c r="AO297" s="28">
        <f t="shared" si="459"/>
        <v>1</v>
      </c>
      <c r="AP297" s="28">
        <f t="shared" si="459"/>
        <v>0</v>
      </c>
      <c r="AQ297" s="28">
        <f t="shared" si="459"/>
        <v>0</v>
      </c>
      <c r="AR297" s="28">
        <f t="shared" si="459"/>
        <v>0</v>
      </c>
      <c r="AS297" s="28">
        <f t="shared" si="459"/>
        <v>0</v>
      </c>
      <c r="AT297" s="28">
        <f t="shared" si="459"/>
        <v>0</v>
      </c>
      <c r="AU297" s="28">
        <f t="shared" si="459"/>
        <v>0</v>
      </c>
      <c r="AV297" s="28">
        <f t="shared" si="460"/>
        <v>0</v>
      </c>
      <c r="AW297" s="28">
        <f t="shared" si="460"/>
        <v>0</v>
      </c>
      <c r="AX297" s="28">
        <f t="shared" si="460"/>
        <v>0</v>
      </c>
      <c r="AY297" s="28">
        <f t="shared" si="460"/>
        <v>0</v>
      </c>
      <c r="AZ297" s="28">
        <f t="shared" si="460"/>
        <v>0</v>
      </c>
      <c r="BA297" s="28">
        <f t="shared" si="460"/>
        <v>0</v>
      </c>
      <c r="BB297" s="28">
        <f t="shared" si="460"/>
        <v>0</v>
      </c>
      <c r="BC297" s="28">
        <f t="shared" si="460"/>
        <v>0</v>
      </c>
      <c r="BD297" s="28">
        <f t="shared" si="460"/>
        <v>0</v>
      </c>
      <c r="BE297" s="28">
        <f t="shared" si="460"/>
        <v>0</v>
      </c>
      <c r="BF297" s="27">
        <f t="shared" si="461"/>
        <v>1</v>
      </c>
      <c r="BG297" s="520">
        <f t="shared" si="436"/>
        <v>1.004803071922538</v>
      </c>
      <c r="BH297" s="520">
        <f t="shared" si="422"/>
        <v>1.0091785059063938</v>
      </c>
      <c r="BI297" s="520">
        <f t="shared" si="423"/>
        <v>1.0139139067184022</v>
      </c>
      <c r="BJ297" s="520">
        <f t="shared" si="424"/>
        <v>1.0193838493235725</v>
      </c>
      <c r="BK297" s="520">
        <f t="shared" si="425"/>
        <v>1.0273528946521808</v>
      </c>
      <c r="BL297" s="520">
        <f t="shared" si="426"/>
        <v>1.0363166559112396</v>
      </c>
      <c r="BM297" s="520">
        <f t="shared" si="427"/>
        <v>1.0423176507154552</v>
      </c>
      <c r="BN297" s="521" t="str">
        <f t="shared" si="428"/>
        <v>Project</v>
      </c>
      <c r="BP297" s="3"/>
    </row>
    <row r="298" spans="1:68" hidden="1" x14ac:dyDescent="0.15">
      <c r="A298" s="12" t="s">
        <v>611</v>
      </c>
      <c r="B298" s="13" t="s">
        <v>2332</v>
      </c>
      <c r="C298" s="13" t="s">
        <v>27</v>
      </c>
      <c r="D298" s="13" t="s">
        <v>55</v>
      </c>
      <c r="E298" s="13" t="s">
        <v>112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5">
        <v>0</v>
      </c>
      <c r="N298" s="670"/>
      <c r="O298" s="14"/>
      <c r="P298" s="15"/>
      <c r="Q298" s="15" t="str">
        <f>IF(ISTEXT('Incurred 2.5% cpi'!Q298),"",'Incurred 2.5% cpi'!Q298/'Incurred 2.5% cpi'!Q$17*Incurred!Q$17)</f>
        <v/>
      </c>
      <c r="R298" s="110" t="str">
        <f>IF(ISTEXT('Incurred 2.5% cpi'!R298),"",'Incurred 2.5% cpi'!R298/'Incurred 2.5% cpi'!R$17*Incurred!R$17*BG298)</f>
        <v/>
      </c>
      <c r="S298" s="102">
        <f>IF(ISTEXT('Incurred 2.5% cpi'!S298),"",'Incurred 2.5% cpi'!S298/'Incurred 2.5% cpi'!S$17*Incurred!S$17*BH298)</f>
        <v>38578.714824827206</v>
      </c>
      <c r="T298" s="16">
        <f>IF(ISTEXT('Incurred 2.5% cpi'!T298),"",'Incurred 2.5% cpi'!T298/'Incurred 2.5% cpi'!T$17*Incurred!T$17*BI298)</f>
        <v>251030.45794933234</v>
      </c>
      <c r="U298" s="16">
        <f>IF(ISTEXT('Incurred 2.5% cpi'!U298),"",'Incurred 2.5% cpi'!U298/'Incurred 2.5% cpi'!U$17*Incurred!U$17*BJ298)</f>
        <v>432219.4285981268</v>
      </c>
      <c r="V298" s="16">
        <f>IF(ISTEXT('Incurred 2.5% cpi'!V298),"",'Incurred 2.5% cpi'!V298/'Incurred 2.5% cpi'!V$17*Incurred!V$17*BK298)</f>
        <v>199132.95488665134</v>
      </c>
      <c r="W298" s="110" t="str">
        <f>IF(ISTEXT('Incurred 2.5% cpi'!W298),"",'Incurred 2.5% cpi'!W298/'Incurred 2.5% cpi'!W$17*Incurred!W$17*BL298)</f>
        <v/>
      </c>
      <c r="X298" s="102" t="str">
        <f>IF(ISTEXT('Incurred 2.5% cpi'!X298),"",'Incurred 2.5% cpi'!X298/'Incurred 2.5% cpi'!X$17*Incurred!X$17*BM298)</f>
        <v/>
      </c>
      <c r="Y298" s="80">
        <f t="shared" si="434"/>
        <v>920961.55625893769</v>
      </c>
      <c r="Z298" s="80">
        <f t="shared" si="462"/>
        <v>920961.55625893769</v>
      </c>
      <c r="AA298" s="566">
        <f t="shared" si="457"/>
        <v>971127.8454122073</v>
      </c>
      <c r="AB298" s="566">
        <f t="shared" si="419"/>
        <v>947441.80040215352</v>
      </c>
      <c r="AC298" s="567">
        <f t="shared" si="435"/>
        <v>1.0249999999999999</v>
      </c>
      <c r="AD298" s="568" t="str">
        <f t="shared" si="420"/>
        <v>2022</v>
      </c>
      <c r="AE298" s="569">
        <v>44469</v>
      </c>
      <c r="AF298" s="568">
        <v>2022</v>
      </c>
      <c r="AG298" s="569"/>
      <c r="AH298" s="566">
        <f t="shared" si="458"/>
        <v>858335.50998457172</v>
      </c>
      <c r="AI298" s="80">
        <f t="shared" si="421"/>
        <v>199132.95488665134</v>
      </c>
      <c r="AJ298" s="571" t="s">
        <v>3035</v>
      </c>
      <c r="AK298" s="875">
        <f>IF(ISNA(VLOOKUP(LEFT($A298,8),Estimates,72,FALSE)),0,VLOOKUP(LEFT($A298,8),Estimates,72,FALSE))</f>
        <v>151999.9999999998</v>
      </c>
      <c r="AL298" s="28">
        <f t="shared" si="459"/>
        <v>0</v>
      </c>
      <c r="AM298" s="28">
        <f t="shared" si="459"/>
        <v>0</v>
      </c>
      <c r="AN298" s="28">
        <f t="shared" si="459"/>
        <v>0</v>
      </c>
      <c r="AO298" s="28">
        <f t="shared" si="459"/>
        <v>1</v>
      </c>
      <c r="AP298" s="28">
        <f t="shared" si="459"/>
        <v>0</v>
      </c>
      <c r="AQ298" s="28">
        <f t="shared" si="459"/>
        <v>0</v>
      </c>
      <c r="AR298" s="28">
        <f t="shared" si="459"/>
        <v>0</v>
      </c>
      <c r="AS298" s="28">
        <f t="shared" si="459"/>
        <v>0</v>
      </c>
      <c r="AT298" s="28">
        <f t="shared" si="459"/>
        <v>0</v>
      </c>
      <c r="AU298" s="28">
        <f t="shared" si="459"/>
        <v>0</v>
      </c>
      <c r="AV298" s="28">
        <f t="shared" si="460"/>
        <v>0</v>
      </c>
      <c r="AW298" s="28">
        <f t="shared" si="460"/>
        <v>0</v>
      </c>
      <c r="AX298" s="28">
        <f t="shared" si="460"/>
        <v>0</v>
      </c>
      <c r="AY298" s="28">
        <f t="shared" si="460"/>
        <v>0</v>
      </c>
      <c r="AZ298" s="28">
        <f t="shared" si="460"/>
        <v>0</v>
      </c>
      <c r="BA298" s="28">
        <f t="shared" si="460"/>
        <v>0</v>
      </c>
      <c r="BB298" s="28">
        <f t="shared" si="460"/>
        <v>0</v>
      </c>
      <c r="BC298" s="28">
        <f t="shared" si="460"/>
        <v>0</v>
      </c>
      <c r="BD298" s="28">
        <f t="shared" si="460"/>
        <v>0</v>
      </c>
      <c r="BE298" s="28">
        <f t="shared" si="460"/>
        <v>0</v>
      </c>
      <c r="BF298" s="27">
        <f t="shared" si="461"/>
        <v>1</v>
      </c>
      <c r="BG298" s="520">
        <f t="shared" si="436"/>
        <v>1.0048041821446516</v>
      </c>
      <c r="BH298" s="520">
        <f t="shared" si="422"/>
        <v>1.0091806275028201</v>
      </c>
      <c r="BI298" s="520">
        <f t="shared" si="423"/>
        <v>1.0139171228948771</v>
      </c>
      <c r="BJ298" s="520">
        <f t="shared" si="424"/>
        <v>1.0193883298682138</v>
      </c>
      <c r="BK298" s="520">
        <f t="shared" si="425"/>
        <v>1.0273592172284409</v>
      </c>
      <c r="BL298" s="520">
        <f t="shared" si="426"/>
        <v>1.0363250504460566</v>
      </c>
      <c r="BM298" s="520">
        <f t="shared" si="427"/>
        <v>1.0423274323702745</v>
      </c>
      <c r="BN298" s="521" t="str">
        <f t="shared" si="428"/>
        <v>Project</v>
      </c>
      <c r="BP298" s="3"/>
    </row>
    <row r="299" spans="1:68" hidden="1" x14ac:dyDescent="0.15">
      <c r="A299" s="12" t="s">
        <v>614</v>
      </c>
      <c r="B299" s="13" t="s">
        <v>2333</v>
      </c>
      <c r="C299" s="13" t="s">
        <v>27</v>
      </c>
      <c r="D299" s="13" t="s">
        <v>55</v>
      </c>
      <c r="E299" s="13" t="s">
        <v>112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5">
        <v>0</v>
      </c>
      <c r="N299" s="670"/>
      <c r="O299" s="14"/>
      <c r="P299" s="15"/>
      <c r="Q299" s="15" t="str">
        <f>IF(ISTEXT('Incurred 2.5% cpi'!Q299),"",'Incurred 2.5% cpi'!Q299/'Incurred 2.5% cpi'!Q$17*Incurred!Q$17)</f>
        <v/>
      </c>
      <c r="R299" s="110" t="str">
        <f>IF(ISTEXT('Incurred 2.5% cpi'!R299),"",'Incurred 2.5% cpi'!R299/'Incurred 2.5% cpi'!R$17*Incurred!R$17*BG299)</f>
        <v/>
      </c>
      <c r="S299" s="102">
        <f>IF(ISTEXT('Incurred 2.5% cpi'!S299),"",'Incurred 2.5% cpi'!S299/'Incurred 2.5% cpi'!S$17*Incurred!S$17*BH299)</f>
        <v>423310.54324111959</v>
      </c>
      <c r="T299" s="16">
        <f>IF(ISTEXT('Incurred 2.5% cpi'!T299),"",'Incurred 2.5% cpi'!T299/'Incurred 2.5% cpi'!T$17*Incurred!T$17*BI299)</f>
        <v>528354.32952766039</v>
      </c>
      <c r="U299" s="16">
        <f>IF(ISTEXT('Incurred 2.5% cpi'!U299),"",'Incurred 2.5% cpi'!U299/'Incurred 2.5% cpi'!U$17*Incurred!U$17*BJ299)</f>
        <v>2153990.4481626186</v>
      </c>
      <c r="V299" s="16" t="str">
        <f>IF(ISTEXT('Incurred 2.5% cpi'!V299),"",'Incurred 2.5% cpi'!V299/'Incurred 2.5% cpi'!V$17*Incurred!V$17*BK299)</f>
        <v/>
      </c>
      <c r="W299" s="110" t="str">
        <f>IF(ISTEXT('Incurred 2.5% cpi'!W299),"",'Incurred 2.5% cpi'!W299/'Incurred 2.5% cpi'!W$17*Incurred!W$17*BL299)</f>
        <v/>
      </c>
      <c r="X299" s="102" t="str">
        <f>IF(ISTEXT('Incurred 2.5% cpi'!X299),"",'Incurred 2.5% cpi'!X299/'Incurred 2.5% cpi'!X$17*Incurred!X$17*BM299)</f>
        <v/>
      </c>
      <c r="Y299" s="80">
        <f t="shared" si="434"/>
        <v>3105655.3209313983</v>
      </c>
      <c r="Z299" s="80">
        <f t="shared" si="462"/>
        <v>3105655.3209313983</v>
      </c>
      <c r="AA299" s="566">
        <f t="shared" ref="AA299:AA316" si="463">IF(ROUND(Y299,0)=0,0,SUMPRODUCT($F$20:$W$20,F299:W299))</f>
        <v>3299271.6731143682</v>
      </c>
      <c r="AB299" s="566">
        <f t="shared" si="419"/>
        <v>3140294.2754211714</v>
      </c>
      <c r="AC299" s="567">
        <f t="shared" si="435"/>
        <v>1.0506249999999999</v>
      </c>
      <c r="AD299" s="568" t="str">
        <f t="shared" si="420"/>
        <v>2021</v>
      </c>
      <c r="AE299" s="569">
        <v>44209</v>
      </c>
      <c r="AF299" s="568">
        <v>2021</v>
      </c>
      <c r="AG299" s="569"/>
      <c r="AH299" s="566">
        <f t="shared" ref="AH299:AH316" si="464">IF(ROUND(Y299,0)=0,0,SUMPRODUCT($F$19:$W$19,F299:W299))</f>
        <v>2916075.4142707596</v>
      </c>
      <c r="AI299" s="80">
        <f t="shared" si="421"/>
        <v>2153990.4481626186</v>
      </c>
      <c r="AJ299" s="571" t="s">
        <v>3035</v>
      </c>
      <c r="AK299" s="875">
        <f>IF(ISNA(VLOOKUP(LEFT($A299,8),Estimates,72,FALSE)),0,VLOOKUP(LEFT($A299,8),Estimates,72,FALSE))</f>
        <v>545264.99999999977</v>
      </c>
      <c r="AL299" s="28">
        <f t="shared" ref="AL299:AU308" si="465">IF($AK299=0,VLOOKUP(MID($A299,4,5),ProjectSplits,AL$23,FALSE),IF(ISNA(VLOOKUP($A299,Estimates,AL$22,FALSE)),VLOOKUP(MID($A299,4,5),ProjectSplits,AL$23,FALSE),VLOOKUP($A299,Estimates,AL$22,FALSE)))</f>
        <v>0</v>
      </c>
      <c r="AM299" s="28">
        <f t="shared" si="465"/>
        <v>0</v>
      </c>
      <c r="AN299" s="28">
        <f t="shared" si="465"/>
        <v>0</v>
      </c>
      <c r="AO299" s="28">
        <f t="shared" si="465"/>
        <v>1</v>
      </c>
      <c r="AP299" s="28">
        <f t="shared" si="465"/>
        <v>0</v>
      </c>
      <c r="AQ299" s="28">
        <f t="shared" si="465"/>
        <v>0</v>
      </c>
      <c r="AR299" s="28">
        <f t="shared" si="465"/>
        <v>0</v>
      </c>
      <c r="AS299" s="28">
        <f t="shared" si="465"/>
        <v>0</v>
      </c>
      <c r="AT299" s="28">
        <f t="shared" si="465"/>
        <v>0</v>
      </c>
      <c r="AU299" s="28">
        <f t="shared" si="465"/>
        <v>0</v>
      </c>
      <c r="AV299" s="28">
        <f t="shared" ref="AV299:BE308" si="466">IF($AK299=0,VLOOKUP(MID($A299,4,5),ProjectSplits,AV$23,FALSE),IF(ISNA(VLOOKUP($A299,Estimates,AV$22,FALSE)),VLOOKUP(MID($A299,4,5),ProjectSplits,AV$23,FALSE),VLOOKUP($A299,Estimates,AV$22,FALSE)))</f>
        <v>0</v>
      </c>
      <c r="AW299" s="28">
        <f t="shared" si="466"/>
        <v>0</v>
      </c>
      <c r="AX299" s="28">
        <f t="shared" si="466"/>
        <v>0</v>
      </c>
      <c r="AY299" s="28">
        <f t="shared" si="466"/>
        <v>0</v>
      </c>
      <c r="AZ299" s="28">
        <f t="shared" si="466"/>
        <v>0</v>
      </c>
      <c r="BA299" s="28">
        <f t="shared" si="466"/>
        <v>0</v>
      </c>
      <c r="BB299" s="28">
        <f t="shared" si="466"/>
        <v>0</v>
      </c>
      <c r="BC299" s="28">
        <f t="shared" si="466"/>
        <v>0</v>
      </c>
      <c r="BD299" s="28">
        <f t="shared" si="466"/>
        <v>0</v>
      </c>
      <c r="BE299" s="28">
        <f t="shared" si="466"/>
        <v>0</v>
      </c>
      <c r="BF299" s="27">
        <f t="shared" ref="BF299:BF314" si="467">SUM(AL299:BD299)</f>
        <v>1</v>
      </c>
      <c r="BG299" s="520">
        <f t="shared" si="436"/>
        <v>1.0047445003533846</v>
      </c>
      <c r="BH299" s="520">
        <f t="shared" si="422"/>
        <v>1.0090665776442127</v>
      </c>
      <c r="BI299" s="520">
        <f t="shared" si="423"/>
        <v>1.0137442321095906</v>
      </c>
      <c r="BJ299" s="520">
        <f t="shared" si="424"/>
        <v>1.0191474709204538</v>
      </c>
      <c r="BK299" s="520">
        <f t="shared" si="425"/>
        <v>1.0270193368819658</v>
      </c>
      <c r="BL299" s="520">
        <f t="shared" si="426"/>
        <v>1.0358737886051843</v>
      </c>
      <c r="BM299" s="520">
        <f t="shared" si="427"/>
        <v>1.0418016036428188</v>
      </c>
      <c r="BN299" s="521" t="str">
        <f t="shared" si="428"/>
        <v>Project</v>
      </c>
      <c r="BP299" s="3"/>
    </row>
    <row r="300" spans="1:68" hidden="1" x14ac:dyDescent="0.15">
      <c r="A300" s="12" t="s">
        <v>615</v>
      </c>
      <c r="B300" s="13" t="s">
        <v>616</v>
      </c>
      <c r="C300" s="13" t="s">
        <v>27</v>
      </c>
      <c r="D300" s="13" t="s">
        <v>28</v>
      </c>
      <c r="E300" s="13" t="s">
        <v>32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5">
        <v>0</v>
      </c>
      <c r="N300" s="670"/>
      <c r="O300" s="14"/>
      <c r="P300" s="15">
        <v>40481.32</v>
      </c>
      <c r="Q300" s="15" t="str">
        <f>IF(ISTEXT('Incurred 2.5% cpi'!Q300),"",'Incurred 2.5% cpi'!Q300/'Incurred 2.5% cpi'!Q$17*Incurred!Q$17)</f>
        <v/>
      </c>
      <c r="R300" s="110" t="str">
        <f>IF(ISTEXT('Incurred 2.5% cpi'!R300),"",'Incurred 2.5% cpi'!R300/'Incurred 2.5% cpi'!R$17*Incurred!R$17*BG300)</f>
        <v/>
      </c>
      <c r="S300" s="102" t="str">
        <f>IF(ISTEXT('Incurred 2.5% cpi'!S300),"",'Incurred 2.5% cpi'!S300/'Incurred 2.5% cpi'!S$17*Incurred!S$17*BH300)</f>
        <v/>
      </c>
      <c r="T300" s="16" t="str">
        <f>IF(ISTEXT('Incurred 2.5% cpi'!T300),"",'Incurred 2.5% cpi'!T300/'Incurred 2.5% cpi'!T$17*Incurred!T$17*BI300)</f>
        <v/>
      </c>
      <c r="U300" s="16" t="str">
        <f>IF(ISTEXT('Incurred 2.5% cpi'!U300),"",'Incurred 2.5% cpi'!U300/'Incurred 2.5% cpi'!U$17*Incurred!U$17*BJ300)</f>
        <v/>
      </c>
      <c r="V300" s="16" t="str">
        <f>IF(ISTEXT('Incurred 2.5% cpi'!V300),"",'Incurred 2.5% cpi'!V300/'Incurred 2.5% cpi'!V$17*Incurred!V$17*BK300)</f>
        <v/>
      </c>
      <c r="W300" s="110" t="str">
        <f>IF(ISTEXT('Incurred 2.5% cpi'!W300),"",'Incurred 2.5% cpi'!W300/'Incurred 2.5% cpi'!W$17*Incurred!W$17*BL300)</f>
        <v/>
      </c>
      <c r="X300" s="102" t="str">
        <f>IF(ISTEXT('Incurred 2.5% cpi'!X300),"",'Incurred 2.5% cpi'!X300/'Incurred 2.5% cpi'!X$17*Incurred!X$17*BM300)</f>
        <v/>
      </c>
      <c r="Y300" s="80">
        <f t="shared" si="434"/>
        <v>40481.32</v>
      </c>
      <c r="Z300" s="80">
        <f t="shared" si="462"/>
        <v>40481.32</v>
      </c>
      <c r="AA300" s="566">
        <f t="shared" si="463"/>
        <v>47943.846583040213</v>
      </c>
      <c r="AB300" s="566">
        <f t="shared" si="419"/>
        <v>40481.32</v>
      </c>
      <c r="AC300" s="567">
        <f t="shared" si="435"/>
        <v>1.1843449418902401</v>
      </c>
      <c r="AD300" s="568" t="str">
        <f t="shared" si="420"/>
        <v>2016</v>
      </c>
      <c r="AE300" s="569">
        <v>42325</v>
      </c>
      <c r="AF300" s="568">
        <v>2016</v>
      </c>
      <c r="AG300" s="569"/>
      <c r="AH300" s="566">
        <f t="shared" si="464"/>
        <v>42375.374366912991</v>
      </c>
      <c r="AI300" s="80">
        <f t="shared" si="421"/>
        <v>40481.32</v>
      </c>
      <c r="AJ300" s="571" t="s">
        <v>0</v>
      </c>
      <c r="AK300" s="875">
        <f t="shared" si="429"/>
        <v>0</v>
      </c>
      <c r="AL300" s="28">
        <f t="shared" si="465"/>
        <v>0</v>
      </c>
      <c r="AM300" s="28">
        <f t="shared" si="465"/>
        <v>0</v>
      </c>
      <c r="AN300" s="28">
        <f t="shared" si="465"/>
        <v>0</v>
      </c>
      <c r="AO300" s="28">
        <f t="shared" si="465"/>
        <v>0</v>
      </c>
      <c r="AP300" s="28">
        <f t="shared" si="465"/>
        <v>0</v>
      </c>
      <c r="AQ300" s="28">
        <f t="shared" si="465"/>
        <v>0</v>
      </c>
      <c r="AR300" s="28">
        <f t="shared" si="465"/>
        <v>0</v>
      </c>
      <c r="AS300" s="28">
        <f t="shared" si="465"/>
        <v>1</v>
      </c>
      <c r="AT300" s="28">
        <f t="shared" si="465"/>
        <v>0</v>
      </c>
      <c r="AU300" s="28">
        <f t="shared" si="465"/>
        <v>0</v>
      </c>
      <c r="AV300" s="28">
        <f t="shared" si="466"/>
        <v>0</v>
      </c>
      <c r="AW300" s="28">
        <f t="shared" si="466"/>
        <v>0</v>
      </c>
      <c r="AX300" s="28">
        <f t="shared" si="466"/>
        <v>0</v>
      </c>
      <c r="AY300" s="28">
        <f t="shared" si="466"/>
        <v>0</v>
      </c>
      <c r="AZ300" s="28">
        <f t="shared" si="466"/>
        <v>0</v>
      </c>
      <c r="BA300" s="28">
        <f t="shared" si="466"/>
        <v>0</v>
      </c>
      <c r="BB300" s="28">
        <f t="shared" si="466"/>
        <v>0</v>
      </c>
      <c r="BC300" s="28">
        <f t="shared" si="466"/>
        <v>0</v>
      </c>
      <c r="BD300" s="28">
        <f t="shared" si="466"/>
        <v>0</v>
      </c>
      <c r="BE300" s="28">
        <f t="shared" si="466"/>
        <v>0</v>
      </c>
      <c r="BF300" s="27">
        <f t="shared" si="467"/>
        <v>1</v>
      </c>
      <c r="BG300" s="520">
        <f t="shared" si="436"/>
        <v>1.0030444840366091</v>
      </c>
      <c r="BH300" s="520">
        <f t="shared" si="422"/>
        <v>1.0058179046998681</v>
      </c>
      <c r="BI300" s="520">
        <f t="shared" si="423"/>
        <v>1.0088194946014175</v>
      </c>
      <c r="BJ300" s="520">
        <f t="shared" si="424"/>
        <v>1.0122866825201464</v>
      </c>
      <c r="BK300" s="520">
        <f t="shared" si="425"/>
        <v>1.0173379563051834</v>
      </c>
      <c r="BL300" s="520">
        <f t="shared" si="426"/>
        <v>1.023019742566414</v>
      </c>
      <c r="BM300" s="520">
        <f t="shared" si="427"/>
        <v>1.026823544212498</v>
      </c>
      <c r="BN300" s="521" t="str">
        <f t="shared" si="428"/>
        <v>Category</v>
      </c>
      <c r="BP300" s="3"/>
    </row>
    <row r="301" spans="1:68" hidden="1" x14ac:dyDescent="0.15">
      <c r="A301" s="12" t="s">
        <v>617</v>
      </c>
      <c r="B301" s="13" t="s">
        <v>618</v>
      </c>
      <c r="C301" s="13" t="s">
        <v>27</v>
      </c>
      <c r="D301" s="13" t="s">
        <v>54</v>
      </c>
      <c r="E301" s="13" t="s">
        <v>29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5">
        <v>0</v>
      </c>
      <c r="N301" s="670"/>
      <c r="O301" s="14"/>
      <c r="P301" s="15">
        <v>48019.06</v>
      </c>
      <c r="Q301" s="15">
        <f>IF(ISTEXT('Incurred 2.5% cpi'!Q301),"",'Incurred 2.5% cpi'!Q301/'Incurred 2.5% cpi'!Q$17*Incurred!Q$17)</f>
        <v>195473.35</v>
      </c>
      <c r="R301" s="110">
        <f>IF(ISTEXT('Incurred 2.5% cpi'!R301),"",'Incurred 2.5% cpi'!R301/'Incurred 2.5% cpi'!R$17*Incurred!R$17*BG301)</f>
        <v>4540478.6186283464</v>
      </c>
      <c r="S301" s="102">
        <f>IF(ISTEXT('Incurred 2.5% cpi'!S301),"",'Incurred 2.5% cpi'!S301/'Incurred 2.5% cpi'!S$17*Incurred!S$17*BH301)</f>
        <v>1103159.3433146733</v>
      </c>
      <c r="T301" s="16" t="str">
        <f>IF(ISTEXT('Incurred 2.5% cpi'!T301),"",'Incurred 2.5% cpi'!T301/'Incurred 2.5% cpi'!T$17*Incurred!T$17*BI301)</f>
        <v/>
      </c>
      <c r="U301" s="16" t="str">
        <f>IF(ISTEXT('Incurred 2.5% cpi'!U301),"",'Incurred 2.5% cpi'!U301/'Incurred 2.5% cpi'!U$17*Incurred!U$17*BJ301)</f>
        <v/>
      </c>
      <c r="V301" s="16" t="str">
        <f>IF(ISTEXT('Incurred 2.5% cpi'!V301),"",'Incurred 2.5% cpi'!V301/'Incurred 2.5% cpi'!V$17*Incurred!V$17*BK301)</f>
        <v/>
      </c>
      <c r="W301" s="110" t="str">
        <f>IF(ISTEXT('Incurred 2.5% cpi'!W301),"",'Incurred 2.5% cpi'!W301/'Incurred 2.5% cpi'!W$17*Incurred!W$17*BL301)</f>
        <v/>
      </c>
      <c r="X301" s="102" t="str">
        <f>IF(ISTEXT('Incurred 2.5% cpi'!X301),"",'Incurred 2.5% cpi'!X301/'Incurred 2.5% cpi'!X$17*Incurred!X$17*BM301)</f>
        <v/>
      </c>
      <c r="Y301" s="80">
        <f t="shared" si="434"/>
        <v>5887130.3719430193</v>
      </c>
      <c r="Z301" s="80">
        <f t="shared" si="462"/>
        <v>5887130.3719430193</v>
      </c>
      <c r="AA301" s="566">
        <f t="shared" si="463"/>
        <v>6638376.5913908845</v>
      </c>
      <c r="AB301" s="566">
        <f t="shared" si="419"/>
        <v>6014041.5533941714</v>
      </c>
      <c r="AC301" s="567">
        <f t="shared" si="435"/>
        <v>1.1038128906249998</v>
      </c>
      <c r="AD301" s="568" t="str">
        <f t="shared" si="420"/>
        <v>2019</v>
      </c>
      <c r="AE301" s="569">
        <v>43360</v>
      </c>
      <c r="AF301" s="568">
        <v>2019</v>
      </c>
      <c r="AG301" s="569"/>
      <c r="AH301" s="566">
        <f t="shared" si="464"/>
        <v>5867357.6130674845</v>
      </c>
      <c r="AI301" s="80">
        <f t="shared" si="421"/>
        <v>1103159.3433146733</v>
      </c>
      <c r="AJ301" s="571" t="s">
        <v>3035</v>
      </c>
      <c r="AK301" s="875">
        <f t="shared" si="429"/>
        <v>0</v>
      </c>
      <c r="AL301" s="28">
        <f t="shared" si="465"/>
        <v>0.4</v>
      </c>
      <c r="AM301" s="28">
        <f t="shared" si="465"/>
        <v>0</v>
      </c>
      <c r="AN301" s="28">
        <f t="shared" si="465"/>
        <v>0</v>
      </c>
      <c r="AO301" s="28">
        <f t="shared" si="465"/>
        <v>0.2</v>
      </c>
      <c r="AP301" s="28">
        <f t="shared" si="465"/>
        <v>0</v>
      </c>
      <c r="AQ301" s="28">
        <f t="shared" si="465"/>
        <v>0</v>
      </c>
      <c r="AR301" s="28">
        <f t="shared" si="465"/>
        <v>0.4</v>
      </c>
      <c r="AS301" s="28">
        <f t="shared" si="465"/>
        <v>0</v>
      </c>
      <c r="AT301" s="28">
        <f t="shared" si="465"/>
        <v>0</v>
      </c>
      <c r="AU301" s="28">
        <f t="shared" si="465"/>
        <v>0</v>
      </c>
      <c r="AV301" s="28">
        <f t="shared" si="466"/>
        <v>0</v>
      </c>
      <c r="AW301" s="28">
        <f t="shared" si="466"/>
        <v>0</v>
      </c>
      <c r="AX301" s="28">
        <f t="shared" si="466"/>
        <v>0</v>
      </c>
      <c r="AY301" s="28">
        <f t="shared" si="466"/>
        <v>0</v>
      </c>
      <c r="AZ301" s="28">
        <f t="shared" si="466"/>
        <v>0</v>
      </c>
      <c r="BA301" s="28">
        <f t="shared" si="466"/>
        <v>0</v>
      </c>
      <c r="BB301" s="28">
        <f t="shared" si="466"/>
        <v>0</v>
      </c>
      <c r="BC301" s="28">
        <f t="shared" si="466"/>
        <v>0</v>
      </c>
      <c r="BD301" s="28">
        <f t="shared" si="466"/>
        <v>0</v>
      </c>
      <c r="BE301" s="28">
        <f t="shared" si="466"/>
        <v>0</v>
      </c>
      <c r="BF301" s="27">
        <f t="shared" si="467"/>
        <v>1</v>
      </c>
      <c r="BG301" s="809">
        <f t="shared" ref="BG301:BI301" si="468">IF(LabIn=0,1,BN389)</f>
        <v>1.0030818160192299</v>
      </c>
      <c r="BH301" s="809">
        <f t="shared" si="468"/>
        <v>1.0066669994800794</v>
      </c>
      <c r="BI301" s="809">
        <f t="shared" si="468"/>
        <v>1.0107473695964249</v>
      </c>
      <c r="BJ301" s="809">
        <f t="shared" ref="BJ301" si="469">IF(LabIn=0,1,BQ389)</f>
        <v>1.0155476114154875</v>
      </c>
      <c r="BK301" s="809">
        <f t="shared" ref="BK301" si="470">IF(LabIn=0,1,BR389)</f>
        <v>1.0214726565647969</v>
      </c>
      <c r="BL301" s="809">
        <f t="shared" ref="BL301" si="471">IF(LabIn=0,1,BS389)</f>
        <v>1.0278658733188006</v>
      </c>
      <c r="BM301" s="520">
        <f t="shared" si="427"/>
        <v>1.0271524590875074</v>
      </c>
      <c r="BN301" s="521" t="s">
        <v>3148</v>
      </c>
      <c r="BP301" s="3"/>
    </row>
    <row r="302" spans="1:68" hidden="1" x14ac:dyDescent="0.15">
      <c r="A302" s="12" t="s">
        <v>619</v>
      </c>
      <c r="B302" s="13" t="s">
        <v>620</v>
      </c>
      <c r="C302" s="13" t="s">
        <v>27</v>
      </c>
      <c r="D302" s="13" t="s">
        <v>28</v>
      </c>
      <c r="E302" s="13" t="s">
        <v>112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5">
        <v>0</v>
      </c>
      <c r="N302" s="670"/>
      <c r="O302" s="14"/>
      <c r="P302" s="15"/>
      <c r="Q302" s="15" t="str">
        <f>IF(ISTEXT('Incurred 2.5% cpi'!Q302),"",'Incurred 2.5% cpi'!Q302/'Incurred 2.5% cpi'!Q$17*Incurred!Q$17)</f>
        <v/>
      </c>
      <c r="R302" s="110" t="str">
        <f>IF(ISTEXT('Incurred 2.5% cpi'!R302),"",'Incurred 2.5% cpi'!R302/'Incurred 2.5% cpi'!R$17*Incurred!R$17*BG302)</f>
        <v/>
      </c>
      <c r="S302" s="102">
        <f>IF(ISTEXT('Incurred 2.5% cpi'!S302),"",'Incurred 2.5% cpi'!S302/'Incurred 2.5% cpi'!S$17*Incurred!S$17*BH302)</f>
        <v>50978.246596344012</v>
      </c>
      <c r="T302" s="16">
        <f>IF(ISTEXT('Incurred 2.5% cpi'!T302),"",'Incurred 2.5% cpi'!T302/'Incurred 2.5% cpi'!T$17*Incurred!T$17*BI302)</f>
        <v>1512242.6006729228</v>
      </c>
      <c r="U302" s="16">
        <f>IF(ISTEXT('Incurred 2.5% cpi'!U302),"",'Incurred 2.5% cpi'!U302/'Incurred 2.5% cpi'!U$17*Incurred!U$17*BJ302)</f>
        <v>142426.72014809249</v>
      </c>
      <c r="V302" s="16" t="str">
        <f>IF(ISTEXT('Incurred 2.5% cpi'!V302),"",'Incurred 2.5% cpi'!V302/'Incurred 2.5% cpi'!V$17*Incurred!V$17*BK302)</f>
        <v/>
      </c>
      <c r="W302" s="110" t="str">
        <f>IF(ISTEXT('Incurred 2.5% cpi'!W302),"",'Incurred 2.5% cpi'!W302/'Incurred 2.5% cpi'!W$17*Incurred!W$17*BL302)</f>
        <v/>
      </c>
      <c r="X302" s="102" t="str">
        <f>IF(ISTEXT('Incurred 2.5% cpi'!X302),"",'Incurred 2.5% cpi'!X302/'Incurred 2.5% cpi'!X$17*Incurred!X$17*BM302)</f>
        <v/>
      </c>
      <c r="Y302" s="80">
        <f t="shared" si="434"/>
        <v>1705647.5674173594</v>
      </c>
      <c r="Z302" s="80">
        <f t="shared" si="462"/>
        <v>1705647.5674173594</v>
      </c>
      <c r="AA302" s="566">
        <f t="shared" si="463"/>
        <v>1834427.3979803834</v>
      </c>
      <c r="AB302" s="566">
        <f t="shared" si="419"/>
        <v>1703448.2011396317</v>
      </c>
      <c r="AC302" s="567">
        <f t="shared" si="435"/>
        <v>1.0768906249999999</v>
      </c>
      <c r="AD302" s="568" t="str">
        <f t="shared" si="420"/>
        <v>2021</v>
      </c>
      <c r="AE302" s="569">
        <v>43992</v>
      </c>
      <c r="AF302" s="568">
        <v>2020</v>
      </c>
      <c r="AG302" s="569"/>
      <c r="AH302" s="566">
        <f t="shared" si="464"/>
        <v>1621366.5210133316</v>
      </c>
      <c r="AI302" s="80">
        <f t="shared" si="421"/>
        <v>142426.72014809249</v>
      </c>
      <c r="AJ302" s="571" t="s">
        <v>3035</v>
      </c>
      <c r="AK302" s="875">
        <f>IF(ISNA(VLOOKUP(LEFT($A302,8),Estimates,72,FALSE)),0,VLOOKUP(LEFT($A302,8),Estimates,72,FALSE))</f>
        <v>0</v>
      </c>
      <c r="AL302" s="28">
        <f t="shared" si="465"/>
        <v>0</v>
      </c>
      <c r="AM302" s="28">
        <f t="shared" si="465"/>
        <v>0</v>
      </c>
      <c r="AN302" s="28">
        <f t="shared" si="465"/>
        <v>0</v>
      </c>
      <c r="AO302" s="28">
        <f t="shared" si="465"/>
        <v>1</v>
      </c>
      <c r="AP302" s="28">
        <f t="shared" si="465"/>
        <v>0</v>
      </c>
      <c r="AQ302" s="28">
        <f t="shared" si="465"/>
        <v>0</v>
      </c>
      <c r="AR302" s="28">
        <f t="shared" si="465"/>
        <v>0</v>
      </c>
      <c r="AS302" s="28">
        <f t="shared" si="465"/>
        <v>0</v>
      </c>
      <c r="AT302" s="28">
        <f t="shared" si="465"/>
        <v>0</v>
      </c>
      <c r="AU302" s="28">
        <f t="shared" si="465"/>
        <v>0</v>
      </c>
      <c r="AV302" s="28">
        <f t="shared" si="466"/>
        <v>0</v>
      </c>
      <c r="AW302" s="28">
        <f t="shared" si="466"/>
        <v>0</v>
      </c>
      <c r="AX302" s="28">
        <f t="shared" si="466"/>
        <v>0</v>
      </c>
      <c r="AY302" s="28">
        <f t="shared" si="466"/>
        <v>0</v>
      </c>
      <c r="AZ302" s="28">
        <f t="shared" si="466"/>
        <v>0</v>
      </c>
      <c r="BA302" s="28">
        <f t="shared" si="466"/>
        <v>0</v>
      </c>
      <c r="BB302" s="28">
        <f t="shared" si="466"/>
        <v>0</v>
      </c>
      <c r="BC302" s="28">
        <f t="shared" si="466"/>
        <v>0</v>
      </c>
      <c r="BD302" s="28">
        <f t="shared" si="466"/>
        <v>0</v>
      </c>
      <c r="BE302" s="28">
        <f t="shared" si="466"/>
        <v>0</v>
      </c>
      <c r="BF302" s="27">
        <f t="shared" si="467"/>
        <v>1</v>
      </c>
      <c r="BG302" s="520">
        <f t="shared" si="436"/>
        <v>1.0059304488076128</v>
      </c>
      <c r="BH302" s="520">
        <f t="shared" si="422"/>
        <v>1.0113328845135172</v>
      </c>
      <c r="BI302" s="520">
        <f t="shared" si="423"/>
        <v>1.0171797784497432</v>
      </c>
      <c r="BJ302" s="520">
        <f t="shared" si="424"/>
        <v>1.0239336258048755</v>
      </c>
      <c r="BK302" s="520">
        <f t="shared" si="425"/>
        <v>1.0337731651932187</v>
      </c>
      <c r="BL302" s="520">
        <f t="shared" si="426"/>
        <v>1.0448409002027792</v>
      </c>
      <c r="BM302" s="520">
        <f t="shared" si="427"/>
        <v>1.052250448311804</v>
      </c>
      <c r="BN302" s="521" t="str">
        <f t="shared" si="428"/>
        <v>Project</v>
      </c>
      <c r="BP302" s="3"/>
    </row>
    <row r="303" spans="1:68" hidden="1" x14ac:dyDescent="0.15">
      <c r="A303" s="12" t="s">
        <v>621</v>
      </c>
      <c r="B303" s="13" t="s">
        <v>622</v>
      </c>
      <c r="C303" s="13" t="s">
        <v>27</v>
      </c>
      <c r="D303" s="13" t="s">
        <v>54</v>
      </c>
      <c r="E303" s="13" t="s">
        <v>32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5">
        <v>0</v>
      </c>
      <c r="N303" s="670"/>
      <c r="O303" s="14"/>
      <c r="P303" s="15">
        <v>187262.35</v>
      </c>
      <c r="Q303" s="15">
        <f>IF(ISTEXT('Incurred 2.5% cpi'!Q303),"",'Incurred 2.5% cpi'!Q303/'Incurred 2.5% cpi'!Q$17*Incurred!Q$17)</f>
        <v>29471.98</v>
      </c>
      <c r="R303" s="110" t="str">
        <f>IF(ISTEXT('Incurred 2.5% cpi'!R303),"",'Incurred 2.5% cpi'!R303/'Incurred 2.5% cpi'!R$17*Incurred!R$17*BG303)</f>
        <v/>
      </c>
      <c r="S303" s="102" t="str">
        <f>IF(ISTEXT('Incurred 2.5% cpi'!S303),"",'Incurred 2.5% cpi'!S303/'Incurred 2.5% cpi'!S$17*Incurred!S$17*BH303)</f>
        <v/>
      </c>
      <c r="T303" s="16" t="str">
        <f>IF(ISTEXT('Incurred 2.5% cpi'!T303),"",'Incurred 2.5% cpi'!T303/'Incurred 2.5% cpi'!T$17*Incurred!T$17*BI303)</f>
        <v/>
      </c>
      <c r="U303" s="16" t="str">
        <f>IF(ISTEXT('Incurred 2.5% cpi'!U303),"",'Incurred 2.5% cpi'!U303/'Incurred 2.5% cpi'!U$17*Incurred!U$17*BJ303)</f>
        <v/>
      </c>
      <c r="V303" s="16" t="str">
        <f>IF(ISTEXT('Incurred 2.5% cpi'!V303),"",'Incurred 2.5% cpi'!V303/'Incurred 2.5% cpi'!V$17*Incurred!V$17*BK303)</f>
        <v/>
      </c>
      <c r="W303" s="110" t="str">
        <f>IF(ISTEXT('Incurred 2.5% cpi'!W303),"",'Incurred 2.5% cpi'!W303/'Incurred 2.5% cpi'!W$17*Incurred!W$17*BL303)</f>
        <v/>
      </c>
      <c r="X303" s="102" t="str">
        <f>IF(ISTEXT('Incurred 2.5% cpi'!X303),"",'Incurred 2.5% cpi'!X303/'Incurred 2.5% cpi'!X$17*Incurred!X$17*BM303)</f>
        <v/>
      </c>
      <c r="Y303" s="80">
        <f t="shared" si="434"/>
        <v>216734.33000000002</v>
      </c>
      <c r="Z303" s="80">
        <f t="shared" si="462"/>
        <v>216734.33000000002</v>
      </c>
      <c r="AA303" s="566">
        <f t="shared" si="463"/>
        <v>255961.67825668171</v>
      </c>
      <c r="AB303" s="566">
        <f t="shared" si="419"/>
        <v>220714.95296672769</v>
      </c>
      <c r="AC303" s="567">
        <f t="shared" si="435"/>
        <v>1.1596934182128902</v>
      </c>
      <c r="AD303" s="568" t="str">
        <f t="shared" si="420"/>
        <v>2017</v>
      </c>
      <c r="AE303" s="569">
        <v>42558</v>
      </c>
      <c r="AF303" s="568">
        <v>2017</v>
      </c>
      <c r="AG303" s="569"/>
      <c r="AH303" s="566">
        <f t="shared" si="464"/>
        <v>226232.8267908959</v>
      </c>
      <c r="AI303" s="80">
        <f t="shared" si="421"/>
        <v>29471.98</v>
      </c>
      <c r="AJ303" s="571" t="s">
        <v>0</v>
      </c>
      <c r="AK303" s="875">
        <f>IF(ISNA(VLOOKUP(LEFT($A303,8),Estimates,72,FALSE)),0,VLOOKUP(LEFT($A303,8),Estimates,72,FALSE))</f>
        <v>161800.00500264816</v>
      </c>
      <c r="AL303" s="28">
        <f t="shared" si="465"/>
        <v>0</v>
      </c>
      <c r="AM303" s="28">
        <f t="shared" si="465"/>
        <v>0</v>
      </c>
      <c r="AN303" s="28">
        <f t="shared" si="465"/>
        <v>0</v>
      </c>
      <c r="AO303" s="28">
        <f t="shared" si="465"/>
        <v>0</v>
      </c>
      <c r="AP303" s="28">
        <f t="shared" si="465"/>
        <v>0</v>
      </c>
      <c r="AQ303" s="28">
        <f t="shared" si="465"/>
        <v>0</v>
      </c>
      <c r="AR303" s="28">
        <f t="shared" si="465"/>
        <v>0</v>
      </c>
      <c r="AS303" s="28">
        <f t="shared" si="465"/>
        <v>0</v>
      </c>
      <c r="AT303" s="28">
        <f t="shared" si="465"/>
        <v>0</v>
      </c>
      <c r="AU303" s="28">
        <f t="shared" si="465"/>
        <v>0</v>
      </c>
      <c r="AV303" s="28">
        <f t="shared" si="466"/>
        <v>0</v>
      </c>
      <c r="AW303" s="28">
        <f t="shared" si="466"/>
        <v>0</v>
      </c>
      <c r="AX303" s="28">
        <f t="shared" si="466"/>
        <v>0</v>
      </c>
      <c r="AY303" s="28">
        <f t="shared" si="466"/>
        <v>0</v>
      </c>
      <c r="AZ303" s="28">
        <f t="shared" si="466"/>
        <v>0.93819530475393786</v>
      </c>
      <c r="BA303" s="28">
        <f t="shared" si="466"/>
        <v>6.1804695246062157E-2</v>
      </c>
      <c r="BB303" s="28">
        <f t="shared" si="466"/>
        <v>0</v>
      </c>
      <c r="BC303" s="28">
        <f t="shared" si="466"/>
        <v>0</v>
      </c>
      <c r="BD303" s="28">
        <f t="shared" si="466"/>
        <v>0</v>
      </c>
      <c r="BE303" s="28">
        <f t="shared" si="466"/>
        <v>0</v>
      </c>
      <c r="BF303" s="27">
        <f t="shared" si="467"/>
        <v>1</v>
      </c>
      <c r="BG303" s="520">
        <f t="shared" si="436"/>
        <v>1.0030818160192299</v>
      </c>
      <c r="BH303" s="520">
        <f t="shared" si="422"/>
        <v>1.0058892448397847</v>
      </c>
      <c r="BI303" s="520">
        <f t="shared" si="423"/>
        <v>1.0089276407487533</v>
      </c>
      <c r="BJ303" s="520">
        <f t="shared" si="424"/>
        <v>1.0124373439172154</v>
      </c>
      <c r="BK303" s="520">
        <f t="shared" si="425"/>
        <v>1.0175505572831101</v>
      </c>
      <c r="BL303" s="520">
        <f t="shared" si="426"/>
        <v>1.023302014576742</v>
      </c>
      <c r="BM303" s="520">
        <f t="shared" si="427"/>
        <v>1.0271524590875074</v>
      </c>
      <c r="BN303" s="521" t="str">
        <f t="shared" si="428"/>
        <v>Category</v>
      </c>
      <c r="BP303" s="3"/>
    </row>
    <row r="304" spans="1:68" hidden="1" x14ac:dyDescent="0.15">
      <c r="A304" s="12" t="s">
        <v>623</v>
      </c>
      <c r="B304" s="13" t="s">
        <v>624</v>
      </c>
      <c r="C304" s="13" t="s">
        <v>27</v>
      </c>
      <c r="D304" s="13" t="s">
        <v>40</v>
      </c>
      <c r="E304" s="13" t="s">
        <v>29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5">
        <v>0</v>
      </c>
      <c r="N304" s="670"/>
      <c r="O304" s="14"/>
      <c r="P304" s="15"/>
      <c r="Q304" s="15">
        <f>IF(ISTEXT('Incurred 2.5% cpi'!Q304),"",'Incurred 2.5% cpi'!Q304/'Incurred 2.5% cpi'!Q$17*Incurred!Q$17)</f>
        <v>198898.81</v>
      </c>
      <c r="R304" s="110">
        <f>IF(ISTEXT('Incurred 2.5% cpi'!R304),"",'Incurred 2.5% cpi'!R304/'Incurred 2.5% cpi'!R$17*Incurred!R$17*BG304)</f>
        <v>1132529.2946075629</v>
      </c>
      <c r="S304" s="102">
        <f>IF(ISTEXT('Incurred 2.5% cpi'!S304),"",'Incurred 2.5% cpi'!S304/'Incurred 2.5% cpi'!S$17*Incurred!S$17*BH304)</f>
        <v>49107.215419542554</v>
      </c>
      <c r="T304" s="16" t="str">
        <f>IF(ISTEXT('Incurred 2.5% cpi'!T304),"",'Incurred 2.5% cpi'!T304/'Incurred 2.5% cpi'!T$17*Incurred!T$17*BI304)</f>
        <v/>
      </c>
      <c r="U304" s="16" t="str">
        <f>IF(ISTEXT('Incurred 2.5% cpi'!U304),"",'Incurred 2.5% cpi'!U304/'Incurred 2.5% cpi'!U$17*Incurred!U$17*BJ304)</f>
        <v/>
      </c>
      <c r="V304" s="16" t="str">
        <f>IF(ISTEXT('Incurred 2.5% cpi'!V304),"",'Incurred 2.5% cpi'!V304/'Incurred 2.5% cpi'!V$17*Incurred!V$17*BK304)</f>
        <v/>
      </c>
      <c r="W304" s="110" t="str">
        <f>IF(ISTEXT('Incurred 2.5% cpi'!W304),"",'Incurred 2.5% cpi'!W304/'Incurred 2.5% cpi'!W$17*Incurred!W$17*BL304)</f>
        <v/>
      </c>
      <c r="X304" s="102" t="str">
        <f>IF(ISTEXT('Incurred 2.5% cpi'!X304),"",'Incurred 2.5% cpi'!X304/'Incurred 2.5% cpi'!X$17*Incurred!X$17*BM304)</f>
        <v/>
      </c>
      <c r="Y304" s="80">
        <f t="shared" si="434"/>
        <v>1380535.3200271055</v>
      </c>
      <c r="Z304" s="80">
        <f t="shared" si="462"/>
        <v>1380535.3200271055</v>
      </c>
      <c r="AA304" s="566">
        <f t="shared" si="463"/>
        <v>1566219.7635083885</v>
      </c>
      <c r="AB304" s="566">
        <f t="shared" si="419"/>
        <v>1384310.0533156532</v>
      </c>
      <c r="AC304" s="567">
        <f t="shared" si="435"/>
        <v>1.1314082128906247</v>
      </c>
      <c r="AD304" s="568" t="str">
        <f t="shared" si="420"/>
        <v>2019</v>
      </c>
      <c r="AE304" s="569">
        <v>43160</v>
      </c>
      <c r="AF304" s="568">
        <v>2018</v>
      </c>
      <c r="AG304" s="569"/>
      <c r="AH304" s="566">
        <f t="shared" si="464"/>
        <v>1384310.0533156532</v>
      </c>
      <c r="AI304" s="80">
        <f t="shared" si="421"/>
        <v>49107.215419542554</v>
      </c>
      <c r="AJ304" s="571" t="s">
        <v>0</v>
      </c>
      <c r="AK304" s="875">
        <f>IF(ISNA(VLOOKUP(LEFT($A304,8),Estimates,72,FALSE)),0,VLOOKUP(LEFT($A304,8),Estimates,72,FALSE))</f>
        <v>1114310.0010009985</v>
      </c>
      <c r="AL304" s="28">
        <f t="shared" si="465"/>
        <v>0</v>
      </c>
      <c r="AM304" s="28">
        <f t="shared" si="465"/>
        <v>0</v>
      </c>
      <c r="AN304" s="28">
        <f t="shared" si="465"/>
        <v>0</v>
      </c>
      <c r="AO304" s="28">
        <f t="shared" si="465"/>
        <v>0</v>
      </c>
      <c r="AP304" s="28">
        <f t="shared" si="465"/>
        <v>0</v>
      </c>
      <c r="AQ304" s="28">
        <f t="shared" si="465"/>
        <v>0</v>
      </c>
      <c r="AR304" s="28">
        <f t="shared" si="465"/>
        <v>0</v>
      </c>
      <c r="AS304" s="28">
        <f t="shared" si="465"/>
        <v>0</v>
      </c>
      <c r="AT304" s="28">
        <f t="shared" si="465"/>
        <v>0</v>
      </c>
      <c r="AU304" s="28">
        <f t="shared" si="465"/>
        <v>0</v>
      </c>
      <c r="AV304" s="28">
        <f t="shared" si="466"/>
        <v>0</v>
      </c>
      <c r="AW304" s="28">
        <f t="shared" si="466"/>
        <v>0</v>
      </c>
      <c r="AX304" s="28">
        <f t="shared" si="466"/>
        <v>0</v>
      </c>
      <c r="AY304" s="28">
        <f t="shared" si="466"/>
        <v>0</v>
      </c>
      <c r="AZ304" s="28">
        <f t="shared" si="466"/>
        <v>1</v>
      </c>
      <c r="BA304" s="28">
        <f t="shared" si="466"/>
        <v>0</v>
      </c>
      <c r="BB304" s="28">
        <f t="shared" si="466"/>
        <v>0</v>
      </c>
      <c r="BC304" s="28">
        <f t="shared" si="466"/>
        <v>0</v>
      </c>
      <c r="BD304" s="28">
        <f t="shared" si="466"/>
        <v>0</v>
      </c>
      <c r="BE304" s="28">
        <f t="shared" si="466"/>
        <v>0</v>
      </c>
      <c r="BF304" s="27">
        <f t="shared" si="467"/>
        <v>1</v>
      </c>
      <c r="BG304" s="520">
        <f t="shared" si="436"/>
        <v>1.0034498951996242</v>
      </c>
      <c r="BH304" s="520">
        <f t="shared" si="422"/>
        <v>1.0065926315443261</v>
      </c>
      <c r="BI304" s="520">
        <f t="shared" si="423"/>
        <v>1.0099939207178206</v>
      </c>
      <c r="BJ304" s="520">
        <f t="shared" si="424"/>
        <v>1.0139228081132494</v>
      </c>
      <c r="BK304" s="520">
        <f t="shared" si="425"/>
        <v>1.0196467222390713</v>
      </c>
      <c r="BL304" s="520">
        <f t="shared" si="426"/>
        <v>1.0260851094706045</v>
      </c>
      <c r="BM304" s="520">
        <f t="shared" si="427"/>
        <v>1.0303954349252136</v>
      </c>
      <c r="BN304" s="521" t="str">
        <f t="shared" si="428"/>
        <v>Category</v>
      </c>
      <c r="BP304" s="3"/>
    </row>
    <row r="305" spans="1:68" hidden="1" x14ac:dyDescent="0.15">
      <c r="A305" s="12" t="s">
        <v>625</v>
      </c>
      <c r="B305" s="13" t="s">
        <v>626</v>
      </c>
      <c r="C305" s="13" t="s">
        <v>27</v>
      </c>
      <c r="D305" s="13" t="s">
        <v>40</v>
      </c>
      <c r="E305" s="13" t="s">
        <v>29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5">
        <v>0</v>
      </c>
      <c r="N305" s="670"/>
      <c r="O305" s="14"/>
      <c r="P305" s="15"/>
      <c r="Q305" s="15">
        <f>IF(ISTEXT('Incurred 2.5% cpi'!Q305),"",'Incurred 2.5% cpi'!Q305/'Incurred 2.5% cpi'!Q$17*Incurred!Q$17)</f>
        <v>288956.69</v>
      </c>
      <c r="R305" s="110">
        <f>IF(ISTEXT('Incurred 2.5% cpi'!R305),"",'Incurred 2.5% cpi'!R305/'Incurred 2.5% cpi'!R$17*Incurred!R$17*BG305)</f>
        <v>2288213.8979617842</v>
      </c>
      <c r="S305" s="102">
        <f>IF(ISTEXT('Incurred 2.5% cpi'!S305),"",'Incurred 2.5% cpi'!S305/'Incurred 2.5% cpi'!S$17*Incurred!S$17*BH305)</f>
        <v>477747.29364202078</v>
      </c>
      <c r="T305" s="16" t="str">
        <f>IF(ISTEXT('Incurred 2.5% cpi'!T305),"",'Incurred 2.5% cpi'!T305/'Incurred 2.5% cpi'!T$17*Incurred!T$17*BI305)</f>
        <v/>
      </c>
      <c r="U305" s="16" t="str">
        <f>IF(ISTEXT('Incurred 2.5% cpi'!U305),"",'Incurred 2.5% cpi'!U305/'Incurred 2.5% cpi'!U$17*Incurred!U$17*BJ305)</f>
        <v/>
      </c>
      <c r="V305" s="16" t="str">
        <f>IF(ISTEXT('Incurred 2.5% cpi'!V305),"",'Incurred 2.5% cpi'!V305/'Incurred 2.5% cpi'!V$17*Incurred!V$17*BK305)</f>
        <v/>
      </c>
      <c r="W305" s="110" t="str">
        <f>IF(ISTEXT('Incurred 2.5% cpi'!W305),"",'Incurred 2.5% cpi'!W305/'Incurred 2.5% cpi'!W$17*Incurred!W$17*BL305)</f>
        <v/>
      </c>
      <c r="X305" s="102" t="str">
        <f>IF(ISTEXT('Incurred 2.5% cpi'!X305),"",'Incurred 2.5% cpi'!X305/'Incurred 2.5% cpi'!X$17*Incurred!X$17*BM305)</f>
        <v/>
      </c>
      <c r="Y305" s="80">
        <f t="shared" si="434"/>
        <v>3054917.8816038049</v>
      </c>
      <c r="Z305" s="80">
        <f t="shared" si="462"/>
        <v>3054917.8816038049</v>
      </c>
      <c r="AA305" s="566">
        <f t="shared" si="463"/>
        <v>3451348.7897292841</v>
      </c>
      <c r="AB305" s="566">
        <f t="shared" si="419"/>
        <v>3050489.4258381459</v>
      </c>
      <c r="AC305" s="567">
        <f t="shared" si="435"/>
        <v>1.1314082128906247</v>
      </c>
      <c r="AD305" s="568" t="str">
        <f t="shared" si="420"/>
        <v>2019</v>
      </c>
      <c r="AE305" s="569">
        <v>43269</v>
      </c>
      <c r="AF305" s="568">
        <v>2018</v>
      </c>
      <c r="AG305" s="569"/>
      <c r="AH305" s="566">
        <f t="shared" si="464"/>
        <v>3050489.4258381459</v>
      </c>
      <c r="AI305" s="80">
        <f t="shared" si="421"/>
        <v>477747.29364202078</v>
      </c>
      <c r="AJ305" s="571" t="s">
        <v>3035</v>
      </c>
      <c r="AK305" s="875">
        <f>IF(ISNA(VLOOKUP(LEFT($A305,8),Estimates,72,FALSE)),0,VLOOKUP(LEFT($A305,8),Estimates,72,FALSE))</f>
        <v>1489691.0000000012</v>
      </c>
      <c r="AL305" s="28">
        <f t="shared" si="465"/>
        <v>0</v>
      </c>
      <c r="AM305" s="28">
        <f t="shared" si="465"/>
        <v>0</v>
      </c>
      <c r="AN305" s="28">
        <f t="shared" si="465"/>
        <v>0</v>
      </c>
      <c r="AO305" s="28">
        <f t="shared" si="465"/>
        <v>0</v>
      </c>
      <c r="AP305" s="28">
        <f t="shared" si="465"/>
        <v>0</v>
      </c>
      <c r="AQ305" s="28">
        <f t="shared" si="465"/>
        <v>0</v>
      </c>
      <c r="AR305" s="28">
        <f t="shared" si="465"/>
        <v>0</v>
      </c>
      <c r="AS305" s="28">
        <f t="shared" si="465"/>
        <v>0</v>
      </c>
      <c r="AT305" s="28">
        <f t="shared" si="465"/>
        <v>0</v>
      </c>
      <c r="AU305" s="28">
        <f t="shared" si="465"/>
        <v>0</v>
      </c>
      <c r="AV305" s="28">
        <f t="shared" si="466"/>
        <v>0</v>
      </c>
      <c r="AW305" s="28">
        <f t="shared" si="466"/>
        <v>0</v>
      </c>
      <c r="AX305" s="28">
        <f t="shared" si="466"/>
        <v>0</v>
      </c>
      <c r="AY305" s="28">
        <f t="shared" si="466"/>
        <v>0</v>
      </c>
      <c r="AZ305" s="28">
        <f t="shared" si="466"/>
        <v>1</v>
      </c>
      <c r="BA305" s="28">
        <f t="shared" si="466"/>
        <v>0</v>
      </c>
      <c r="BB305" s="28">
        <f t="shared" si="466"/>
        <v>0</v>
      </c>
      <c r="BC305" s="28">
        <f t="shared" si="466"/>
        <v>0</v>
      </c>
      <c r="BD305" s="28">
        <f t="shared" si="466"/>
        <v>0</v>
      </c>
      <c r="BE305" s="28">
        <f t="shared" si="466"/>
        <v>0</v>
      </c>
      <c r="BF305" s="27">
        <f t="shared" si="467"/>
        <v>1</v>
      </c>
      <c r="BG305" s="520">
        <f t="shared" si="436"/>
        <v>1.0034498951996242</v>
      </c>
      <c r="BH305" s="520">
        <f t="shared" si="422"/>
        <v>1.0065926315443261</v>
      </c>
      <c r="BI305" s="520">
        <f t="shared" si="423"/>
        <v>1.0099939207178206</v>
      </c>
      <c r="BJ305" s="520">
        <f t="shared" si="424"/>
        <v>1.0139228081132494</v>
      </c>
      <c r="BK305" s="520">
        <f t="shared" si="425"/>
        <v>1.0196467222390713</v>
      </c>
      <c r="BL305" s="520">
        <f t="shared" si="426"/>
        <v>1.0260851094706045</v>
      </c>
      <c r="BM305" s="520">
        <f t="shared" si="427"/>
        <v>1.0303954349252136</v>
      </c>
      <c r="BN305" s="521" t="str">
        <f t="shared" si="428"/>
        <v>Category</v>
      </c>
      <c r="BP305" s="3"/>
    </row>
    <row r="306" spans="1:68" hidden="1" x14ac:dyDescent="0.15">
      <c r="A306" s="12" t="s">
        <v>627</v>
      </c>
      <c r="B306" s="13" t="s">
        <v>628</v>
      </c>
      <c r="C306" s="13" t="s">
        <v>27</v>
      </c>
      <c r="D306" s="13" t="s">
        <v>54</v>
      </c>
      <c r="E306" s="13" t="s">
        <v>112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5">
        <v>0</v>
      </c>
      <c r="N306" s="670"/>
      <c r="O306" s="14"/>
      <c r="P306" s="15"/>
      <c r="Q306" s="15" t="str">
        <f>IF(ISTEXT('Incurred 2.5% cpi'!Q306),"",'Incurred 2.5% cpi'!Q306/'Incurred 2.5% cpi'!Q$17*Incurred!Q$17)</f>
        <v/>
      </c>
      <c r="R306" s="110" t="str">
        <f>IF(ISTEXT('Incurred 2.5% cpi'!R306),"",'Incurred 2.5% cpi'!R306/'Incurred 2.5% cpi'!R$17*Incurred!R$17*BG306)</f>
        <v/>
      </c>
      <c r="S306" s="102" t="str">
        <f>IF(ISTEXT('Incurred 2.5% cpi'!S306),"",'Incurred 2.5% cpi'!S306/'Incurred 2.5% cpi'!S$17*Incurred!S$17*BH306)</f>
        <v/>
      </c>
      <c r="T306" s="16" t="str">
        <f>IF(ISTEXT('Incurred 2.5% cpi'!T306),"",'Incurred 2.5% cpi'!T306/'Incurred 2.5% cpi'!T$17*Incurred!T$17*BI306)</f>
        <v/>
      </c>
      <c r="U306" s="16" t="str">
        <f>IF(ISTEXT('Incurred 2.5% cpi'!U306),"",'Incurred 2.5% cpi'!U306/'Incurred 2.5% cpi'!U$17*Incurred!U$17*BJ306)</f>
        <v/>
      </c>
      <c r="V306" s="16" t="str">
        <f>IF(ISTEXT('Incurred 2.5% cpi'!V306),"",'Incurred 2.5% cpi'!V306/'Incurred 2.5% cpi'!V$17*Incurred!V$17*BK306)</f>
        <v/>
      </c>
      <c r="W306" s="110" t="str">
        <f>IF(ISTEXT('Incurred 2.5% cpi'!W306),"",'Incurred 2.5% cpi'!W306/'Incurred 2.5% cpi'!W$17*Incurred!W$17*BL306)</f>
        <v/>
      </c>
      <c r="X306" s="102" t="str">
        <f>IF(ISTEXT('Incurred 2.5% cpi'!X306),"",'Incurred 2.5% cpi'!X306/'Incurred 2.5% cpi'!X$17*Incurred!X$17*BM306)</f>
        <v/>
      </c>
      <c r="Y306" s="80">
        <f t="shared" si="434"/>
        <v>0</v>
      </c>
      <c r="Z306" s="80">
        <f t="shared" si="462"/>
        <v>0</v>
      </c>
      <c r="AA306" s="566">
        <f t="shared" si="463"/>
        <v>0</v>
      </c>
      <c r="AB306" s="566" t="str">
        <f t="shared" si="419"/>
        <v/>
      </c>
      <c r="AC306" s="567" t="str">
        <f t="shared" si="435"/>
        <v/>
      </c>
      <c r="AD306" s="568" t="str">
        <f t="shared" si="420"/>
        <v/>
      </c>
      <c r="AE306" s="569" t="s">
        <v>0</v>
      </c>
      <c r="AF306" s="568" t="s">
        <v>0</v>
      </c>
      <c r="AG306" s="569"/>
      <c r="AH306" s="566">
        <f t="shared" si="464"/>
        <v>0</v>
      </c>
      <c r="AI306" s="80">
        <f t="shared" si="421"/>
        <v>0</v>
      </c>
      <c r="AJ306" s="571" t="s">
        <v>0</v>
      </c>
      <c r="AK306" s="875">
        <f>IF(ISNA(VLOOKUP(LEFT($A306,8),Estimates,72,FALSE)),0,VLOOKUP(LEFT($A306,8),Estimates,72,FALSE))</f>
        <v>0</v>
      </c>
      <c r="AL306" s="28">
        <f t="shared" si="465"/>
        <v>0</v>
      </c>
      <c r="AM306" s="28">
        <f t="shared" si="465"/>
        <v>0</v>
      </c>
      <c r="AN306" s="28">
        <f t="shared" si="465"/>
        <v>0</v>
      </c>
      <c r="AO306" s="28">
        <f t="shared" si="465"/>
        <v>0</v>
      </c>
      <c r="AP306" s="28">
        <f t="shared" si="465"/>
        <v>0</v>
      </c>
      <c r="AQ306" s="28">
        <f t="shared" si="465"/>
        <v>0</v>
      </c>
      <c r="AR306" s="28">
        <f t="shared" si="465"/>
        <v>0</v>
      </c>
      <c r="AS306" s="28">
        <f t="shared" si="465"/>
        <v>0</v>
      </c>
      <c r="AT306" s="28">
        <f t="shared" si="465"/>
        <v>0</v>
      </c>
      <c r="AU306" s="28">
        <f t="shared" si="465"/>
        <v>0</v>
      </c>
      <c r="AV306" s="28">
        <f t="shared" si="466"/>
        <v>0</v>
      </c>
      <c r="AW306" s="28">
        <f t="shared" si="466"/>
        <v>0</v>
      </c>
      <c r="AX306" s="28">
        <f t="shared" si="466"/>
        <v>0</v>
      </c>
      <c r="AY306" s="28">
        <f t="shared" si="466"/>
        <v>0</v>
      </c>
      <c r="AZ306" s="28">
        <f t="shared" si="466"/>
        <v>1</v>
      </c>
      <c r="BA306" s="28">
        <f t="shared" si="466"/>
        <v>0</v>
      </c>
      <c r="BB306" s="28">
        <f t="shared" si="466"/>
        <v>0</v>
      </c>
      <c r="BC306" s="28">
        <f t="shared" si="466"/>
        <v>0</v>
      </c>
      <c r="BD306" s="28">
        <f t="shared" si="466"/>
        <v>0</v>
      </c>
      <c r="BE306" s="28">
        <f t="shared" si="466"/>
        <v>0</v>
      </c>
      <c r="BF306" s="27">
        <f t="shared" si="467"/>
        <v>1</v>
      </c>
      <c r="BG306" s="520">
        <f t="shared" si="436"/>
        <v>1.0030818160192299</v>
      </c>
      <c r="BH306" s="520">
        <f t="shared" si="422"/>
        <v>1.0058892448397847</v>
      </c>
      <c r="BI306" s="520">
        <f t="shared" si="423"/>
        <v>1.0089276407487533</v>
      </c>
      <c r="BJ306" s="520">
        <f t="shared" si="424"/>
        <v>1.0124373439172154</v>
      </c>
      <c r="BK306" s="520">
        <f t="shared" si="425"/>
        <v>1.0175505572831101</v>
      </c>
      <c r="BL306" s="520">
        <f t="shared" si="426"/>
        <v>1.023302014576742</v>
      </c>
      <c r="BM306" s="520">
        <f t="shared" si="427"/>
        <v>1.0271524590875074</v>
      </c>
      <c r="BN306" s="521" t="str">
        <f t="shared" si="428"/>
        <v>Category</v>
      </c>
      <c r="BP306" s="3"/>
    </row>
    <row r="307" spans="1:68" hidden="1" x14ac:dyDescent="0.15">
      <c r="A307" s="12" t="s">
        <v>629</v>
      </c>
      <c r="B307" s="13" t="s">
        <v>630</v>
      </c>
      <c r="C307" s="13" t="s">
        <v>27</v>
      </c>
      <c r="D307" s="13" t="s">
        <v>40</v>
      </c>
      <c r="E307" s="13" t="s">
        <v>32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5">
        <v>0</v>
      </c>
      <c r="N307" s="670"/>
      <c r="O307" s="14"/>
      <c r="P307" s="15">
        <v>420650.41</v>
      </c>
      <c r="Q307" s="15">
        <f>IF(ISTEXT('Incurred 2.5% cpi'!Q307),"",'Incurred 2.5% cpi'!Q307/'Incurred 2.5% cpi'!Q$17*Incurred!Q$17)</f>
        <v>62007.65</v>
      </c>
      <c r="R307" s="110" t="str">
        <f>IF(ISTEXT('Incurred 2.5% cpi'!R307),"",'Incurred 2.5% cpi'!R307/'Incurred 2.5% cpi'!R$17*Incurred!R$17*BG307)</f>
        <v/>
      </c>
      <c r="S307" s="102" t="str">
        <f>IF(ISTEXT('Incurred 2.5% cpi'!S307),"",'Incurred 2.5% cpi'!S307/'Incurred 2.5% cpi'!S$17*Incurred!S$17*BH307)</f>
        <v/>
      </c>
      <c r="T307" s="16" t="str">
        <f>IF(ISTEXT('Incurred 2.5% cpi'!T307),"",'Incurred 2.5% cpi'!T307/'Incurred 2.5% cpi'!T$17*Incurred!T$17*BI307)</f>
        <v/>
      </c>
      <c r="U307" s="16" t="str">
        <f>IF(ISTEXT('Incurred 2.5% cpi'!U307),"",'Incurred 2.5% cpi'!U307/'Incurred 2.5% cpi'!U$17*Incurred!U$17*BJ307)</f>
        <v/>
      </c>
      <c r="V307" s="16" t="str">
        <f>IF(ISTEXT('Incurred 2.5% cpi'!V307),"",'Incurred 2.5% cpi'!V307/'Incurred 2.5% cpi'!V$17*Incurred!V$17*BK307)</f>
        <v/>
      </c>
      <c r="W307" s="110" t="str">
        <f>IF(ISTEXT('Incurred 2.5% cpi'!W307),"",'Incurred 2.5% cpi'!W307/'Incurred 2.5% cpi'!W$17*Incurred!W$17*BL307)</f>
        <v/>
      </c>
      <c r="X307" s="102" t="str">
        <f>IF(ISTEXT('Incurred 2.5% cpi'!X307),"",'Incurred 2.5% cpi'!X307/'Incurred 2.5% cpi'!X$17*Incurred!X$17*BM307)</f>
        <v/>
      </c>
      <c r="Y307" s="80">
        <f t="shared" si="434"/>
        <v>482658.06</v>
      </c>
      <c r="Z307" s="80">
        <f t="shared" si="462"/>
        <v>482658.06</v>
      </c>
      <c r="AA307" s="566">
        <f t="shared" si="463"/>
        <v>570105.04897140409</v>
      </c>
      <c r="AB307" s="566">
        <f t="shared" si="419"/>
        <v>491599.79699630174</v>
      </c>
      <c r="AC307" s="567">
        <f t="shared" si="435"/>
        <v>1.1596934182128902</v>
      </c>
      <c r="AD307" s="568" t="str">
        <f t="shared" si="420"/>
        <v>2017</v>
      </c>
      <c r="AE307" s="569">
        <v>42727</v>
      </c>
      <c r="AF307" s="568">
        <v>2017</v>
      </c>
      <c r="AG307" s="569"/>
      <c r="AH307" s="566">
        <f>IF(ROUND(Y307,0)=0,0,SUMPRODUCT($F$19:$W$19,F307:W307))</f>
        <v>503889.79192120937</v>
      </c>
      <c r="AI307" s="80">
        <f t="shared" si="421"/>
        <v>62007.65</v>
      </c>
      <c r="AJ307" s="571" t="s">
        <v>0</v>
      </c>
      <c r="AK307" s="875">
        <f t="shared" si="429"/>
        <v>0</v>
      </c>
      <c r="AL307" s="28">
        <f t="shared" si="465"/>
        <v>0</v>
      </c>
      <c r="AM307" s="28">
        <f t="shared" si="465"/>
        <v>0</v>
      </c>
      <c r="AN307" s="28">
        <f t="shared" si="465"/>
        <v>0</v>
      </c>
      <c r="AO307" s="28">
        <f t="shared" si="465"/>
        <v>0</v>
      </c>
      <c r="AP307" s="28">
        <f t="shared" si="465"/>
        <v>0</v>
      </c>
      <c r="AQ307" s="28">
        <f t="shared" si="465"/>
        <v>0</v>
      </c>
      <c r="AR307" s="28">
        <f t="shared" si="465"/>
        <v>0</v>
      </c>
      <c r="AS307" s="28">
        <f t="shared" si="465"/>
        <v>1</v>
      </c>
      <c r="AT307" s="28">
        <f t="shared" si="465"/>
        <v>0</v>
      </c>
      <c r="AU307" s="28">
        <f t="shared" si="465"/>
        <v>0</v>
      </c>
      <c r="AV307" s="28">
        <f t="shared" si="466"/>
        <v>0</v>
      </c>
      <c r="AW307" s="28">
        <f t="shared" si="466"/>
        <v>0</v>
      </c>
      <c r="AX307" s="28">
        <f t="shared" si="466"/>
        <v>0</v>
      </c>
      <c r="AY307" s="28">
        <f t="shared" si="466"/>
        <v>0</v>
      </c>
      <c r="AZ307" s="28">
        <f t="shared" si="466"/>
        <v>0</v>
      </c>
      <c r="BA307" s="28">
        <f t="shared" si="466"/>
        <v>0</v>
      </c>
      <c r="BB307" s="28">
        <f t="shared" si="466"/>
        <v>0</v>
      </c>
      <c r="BC307" s="28">
        <f t="shared" si="466"/>
        <v>0</v>
      </c>
      <c r="BD307" s="28">
        <f t="shared" si="466"/>
        <v>0</v>
      </c>
      <c r="BE307" s="28">
        <f t="shared" si="466"/>
        <v>0</v>
      </c>
      <c r="BF307" s="27">
        <f t="shared" si="467"/>
        <v>1</v>
      </c>
      <c r="BG307" s="520">
        <f t="shared" si="436"/>
        <v>1.0034498951996242</v>
      </c>
      <c r="BH307" s="520">
        <f t="shared" si="422"/>
        <v>1.0065926315443261</v>
      </c>
      <c r="BI307" s="520">
        <f t="shared" si="423"/>
        <v>1.0099939207178206</v>
      </c>
      <c r="BJ307" s="520">
        <f t="shared" si="424"/>
        <v>1.0139228081132494</v>
      </c>
      <c r="BK307" s="520">
        <f t="shared" si="425"/>
        <v>1.0196467222390713</v>
      </c>
      <c r="BL307" s="520">
        <f t="shared" si="426"/>
        <v>1.0260851094706045</v>
      </c>
      <c r="BM307" s="520">
        <f t="shared" si="427"/>
        <v>1.0303954349252136</v>
      </c>
      <c r="BN307" s="521" t="str">
        <f t="shared" si="428"/>
        <v>Category</v>
      </c>
      <c r="BP307" s="3"/>
    </row>
    <row r="308" spans="1:68" hidden="1" x14ac:dyDescent="0.15">
      <c r="A308" s="78" t="s">
        <v>631</v>
      </c>
      <c r="B308" s="13" t="s">
        <v>632</v>
      </c>
      <c r="C308" s="13" t="s">
        <v>27</v>
      </c>
      <c r="D308" s="13" t="s">
        <v>40</v>
      </c>
      <c r="E308" s="13" t="s">
        <v>29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5">
        <v>0</v>
      </c>
      <c r="N308" s="670"/>
      <c r="O308" s="14"/>
      <c r="P308" s="15">
        <v>1350.18</v>
      </c>
      <c r="Q308" s="15">
        <f>IF(ISTEXT('Incurred 2.5% cpi'!Q308),"",'Incurred 2.5% cpi'!Q308/'Incurred 2.5% cpi'!Q$17*Incurred!Q$17)</f>
        <v>62981.9</v>
      </c>
      <c r="R308" s="110">
        <f>IF(ISTEXT('Incurred 2.5% cpi'!R308),"",'Incurred 2.5% cpi'!R308/'Incurred 2.5% cpi'!R$17*Incurred!R$17*BG308)</f>
        <v>311222.06213744648</v>
      </c>
      <c r="S308" s="102">
        <f>IF(ISTEXT('Incurred 2.5% cpi'!S308),"",'Incurred 2.5% cpi'!S308/'Incurred 2.5% cpi'!S$17*Incurred!S$17*BH308)</f>
        <v>1326893.799118899</v>
      </c>
      <c r="T308" s="16" t="str">
        <f>IF(ISTEXT('Incurred 2.5% cpi'!T308),"",'Incurred 2.5% cpi'!T308/'Incurred 2.5% cpi'!T$17*Incurred!T$17*BI308)</f>
        <v/>
      </c>
      <c r="U308" s="16" t="str">
        <f>IF(ISTEXT('Incurred 2.5% cpi'!U308),"",'Incurred 2.5% cpi'!U308/'Incurred 2.5% cpi'!U$17*Incurred!U$17*BJ308)</f>
        <v/>
      </c>
      <c r="V308" s="16" t="str">
        <f>IF(ISTEXT('Incurred 2.5% cpi'!V308),"",'Incurred 2.5% cpi'!V308/'Incurred 2.5% cpi'!V$17*Incurred!V$17*BK308)</f>
        <v/>
      </c>
      <c r="W308" s="110" t="str">
        <f>IF(ISTEXT('Incurred 2.5% cpi'!W308),"",'Incurred 2.5% cpi'!W308/'Incurred 2.5% cpi'!W$17*Incurred!W$17*BL308)</f>
        <v/>
      </c>
      <c r="X308" s="102" t="str">
        <f>IF(ISTEXT('Incurred 2.5% cpi'!X308),"",'Incurred 2.5% cpi'!X308/'Incurred 2.5% cpi'!X$17*Incurred!X$17*BM308)</f>
        <v/>
      </c>
      <c r="Y308" s="80">
        <f t="shared" si="434"/>
        <v>1702447.9412563455</v>
      </c>
      <c r="Z308" s="80">
        <f t="shared" si="462"/>
        <v>1702447.9412563455</v>
      </c>
      <c r="AA308" s="566">
        <f t="shared" si="463"/>
        <v>1891400.4508430667</v>
      </c>
      <c r="AB308" s="566">
        <f t="shared" si="419"/>
        <v>1713515.4580158235</v>
      </c>
      <c r="AC308" s="567">
        <f t="shared" si="435"/>
        <v>1.1038128906249998</v>
      </c>
      <c r="AD308" s="568" t="str">
        <f t="shared" si="420"/>
        <v>2019</v>
      </c>
      <c r="AE308" s="569">
        <v>43493</v>
      </c>
      <c r="AF308" s="568">
        <v>2019</v>
      </c>
      <c r="AG308" s="569"/>
      <c r="AH308" s="566">
        <f t="shared" si="464"/>
        <v>1671722.3980642185</v>
      </c>
      <c r="AI308" s="80">
        <f t="shared" si="421"/>
        <v>1326893.799118899</v>
      </c>
      <c r="AJ308" s="571" t="s">
        <v>3035</v>
      </c>
      <c r="AK308" s="875">
        <f>IF(ISNA(VLOOKUP(LEFT($A308,8),Estimates,72,FALSE)),0,VLOOKUP(LEFT($A308,8),Estimates,72,FALSE))</f>
        <v>1320000.0000000005</v>
      </c>
      <c r="AL308" s="28">
        <f t="shared" si="465"/>
        <v>0</v>
      </c>
      <c r="AM308" s="28">
        <f t="shared" si="465"/>
        <v>0</v>
      </c>
      <c r="AN308" s="28">
        <f t="shared" si="465"/>
        <v>0</v>
      </c>
      <c r="AO308" s="28">
        <f t="shared" si="465"/>
        <v>0</v>
      </c>
      <c r="AP308" s="28">
        <f t="shared" si="465"/>
        <v>0</v>
      </c>
      <c r="AQ308" s="28">
        <f t="shared" si="465"/>
        <v>0</v>
      </c>
      <c r="AR308" s="28">
        <f t="shared" si="465"/>
        <v>0</v>
      </c>
      <c r="AS308" s="28">
        <f t="shared" si="465"/>
        <v>0</v>
      </c>
      <c r="AT308" s="28">
        <f t="shared" si="465"/>
        <v>0</v>
      </c>
      <c r="AU308" s="28">
        <f t="shared" si="465"/>
        <v>1</v>
      </c>
      <c r="AV308" s="28">
        <f t="shared" si="466"/>
        <v>0</v>
      </c>
      <c r="AW308" s="28">
        <f t="shared" si="466"/>
        <v>0</v>
      </c>
      <c r="AX308" s="28">
        <f t="shared" si="466"/>
        <v>0</v>
      </c>
      <c r="AY308" s="28">
        <f t="shared" si="466"/>
        <v>0</v>
      </c>
      <c r="AZ308" s="28">
        <f t="shared" si="466"/>
        <v>0</v>
      </c>
      <c r="BA308" s="28">
        <f t="shared" si="466"/>
        <v>0</v>
      </c>
      <c r="BB308" s="28">
        <f t="shared" si="466"/>
        <v>0</v>
      </c>
      <c r="BC308" s="28">
        <f t="shared" si="466"/>
        <v>0</v>
      </c>
      <c r="BD308" s="28">
        <f t="shared" si="466"/>
        <v>0</v>
      </c>
      <c r="BE308" s="28">
        <f t="shared" si="466"/>
        <v>0</v>
      </c>
      <c r="BF308" s="27">
        <f t="shared" si="467"/>
        <v>1</v>
      </c>
      <c r="BG308" s="520">
        <f t="shared" si="436"/>
        <v>1.0034498951996242</v>
      </c>
      <c r="BH308" s="520">
        <f t="shared" si="422"/>
        <v>1.0065926315443261</v>
      </c>
      <c r="BI308" s="520">
        <f t="shared" si="423"/>
        <v>1.0099939207178206</v>
      </c>
      <c r="BJ308" s="520">
        <f t="shared" si="424"/>
        <v>1.0139228081132494</v>
      </c>
      <c r="BK308" s="520">
        <f t="shared" si="425"/>
        <v>1.0196467222390713</v>
      </c>
      <c r="BL308" s="520">
        <f t="shared" si="426"/>
        <v>1.0260851094706045</v>
      </c>
      <c r="BM308" s="520">
        <f t="shared" si="427"/>
        <v>1.0303954349252136</v>
      </c>
      <c r="BN308" s="521" t="str">
        <f t="shared" si="428"/>
        <v>Category</v>
      </c>
      <c r="BP308" s="3"/>
    </row>
    <row r="309" spans="1:68" hidden="1" x14ac:dyDescent="0.15">
      <c r="A309" s="12" t="s">
        <v>633</v>
      </c>
      <c r="B309" s="13" t="s">
        <v>634</v>
      </c>
      <c r="C309" s="13" t="s">
        <v>27</v>
      </c>
      <c r="D309" s="13" t="s">
        <v>54</v>
      </c>
      <c r="E309" s="13" t="s">
        <v>29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5">
        <v>0</v>
      </c>
      <c r="N309" s="670"/>
      <c r="O309" s="14"/>
      <c r="P309" s="15"/>
      <c r="Q309" s="15">
        <f>IF(ISTEXT('Incurred 2.5% cpi'!Q309),"",'Incurred 2.5% cpi'!Q309/'Incurred 2.5% cpi'!Q$17*Incurred!Q$17)</f>
        <v>1158691.8600000001</v>
      </c>
      <c r="R309" s="110">
        <f>IF(ISTEXT('Incurred 2.5% cpi'!R309),"",'Incurred 2.5% cpi'!R309/'Incurred 2.5% cpi'!R$17*Incurred!R$17*BG309)</f>
        <v>7797297.2977104625</v>
      </c>
      <c r="S309" s="102">
        <f>IF(ISTEXT('Incurred 2.5% cpi'!S309),"",'Incurred 2.5% cpi'!S309/'Incurred 2.5% cpi'!S$17*Incurred!S$17*BH309)</f>
        <v>3866307.0550413793</v>
      </c>
      <c r="T309" s="16">
        <f>IF(ISTEXT('Incurred 2.5% cpi'!T309),"",'Incurred 2.5% cpi'!T309/'Incurred 2.5% cpi'!T$17*Incurred!T$17*BI309)</f>
        <v>4102.6235731918887</v>
      </c>
      <c r="U309" s="16" t="str">
        <f>IF(ISTEXT('Incurred 2.5% cpi'!U309),"",'Incurred 2.5% cpi'!U309/'Incurred 2.5% cpi'!U$17*Incurred!U$17*BJ309)</f>
        <v/>
      </c>
      <c r="V309" s="16" t="str">
        <f>IF(ISTEXT('Incurred 2.5% cpi'!V309),"",'Incurred 2.5% cpi'!V309/'Incurred 2.5% cpi'!V$17*Incurred!V$17*BK309)</f>
        <v/>
      </c>
      <c r="W309" s="110" t="str">
        <f>IF(ISTEXT('Incurred 2.5% cpi'!W309),"",'Incurred 2.5% cpi'!W309/'Incurred 2.5% cpi'!W$17*Incurred!W$17*BL309)</f>
        <v/>
      </c>
      <c r="X309" s="102" t="str">
        <f>IF(ISTEXT('Incurred 2.5% cpi'!X309),"",'Incurred 2.5% cpi'!X309/'Incurred 2.5% cpi'!X$17*Incurred!X$17*BM309)</f>
        <v/>
      </c>
      <c r="Y309" s="80">
        <f t="shared" si="434"/>
        <v>12826398.836325034</v>
      </c>
      <c r="Z309" s="80">
        <f t="shared" si="462"/>
        <v>12826398.836325034</v>
      </c>
      <c r="AA309" s="566">
        <f t="shared" si="463"/>
        <v>14437751.168091271</v>
      </c>
      <c r="AB309" s="566">
        <f t="shared" si="419"/>
        <v>13079889.980190704</v>
      </c>
      <c r="AC309" s="567">
        <f t="shared" si="435"/>
        <v>1.1038128906249998</v>
      </c>
      <c r="AD309" s="568" t="str">
        <f t="shared" si="420"/>
        <v>2020</v>
      </c>
      <c r="AE309" s="569">
        <v>43292</v>
      </c>
      <c r="AF309" s="568">
        <v>2019</v>
      </c>
      <c r="AG309" s="569"/>
      <c r="AH309" s="566">
        <f t="shared" si="464"/>
        <v>12760868.273356786</v>
      </c>
      <c r="AI309" s="80">
        <f t="shared" si="421"/>
        <v>4102.6235731918887</v>
      </c>
      <c r="AJ309" s="571" t="s">
        <v>3035</v>
      </c>
      <c r="AK309" s="875">
        <f>IF(ISNA(VLOOKUP(LEFT($A309,8),Estimates,72,FALSE)),0,VLOOKUP(LEFT($A309,8),Estimates,72,FALSE))</f>
        <v>5261396.8340399992</v>
      </c>
      <c r="AL309" s="28">
        <f t="shared" ref="AL309:AU316" si="472">IF($AK309=0,VLOOKUP(MID($A309,4,5),ProjectSplits,AL$23,FALSE),IF(ISNA(VLOOKUP($A309,Estimates,AL$22,FALSE)),VLOOKUP(MID($A309,4,5),ProjectSplits,AL$23,FALSE),VLOOKUP($A309,Estimates,AL$22,FALSE)))</f>
        <v>0</v>
      </c>
      <c r="AM309" s="28">
        <f t="shared" si="472"/>
        <v>0</v>
      </c>
      <c r="AN309" s="28">
        <f t="shared" si="472"/>
        <v>0</v>
      </c>
      <c r="AO309" s="28">
        <f t="shared" si="472"/>
        <v>0</v>
      </c>
      <c r="AP309" s="28">
        <f t="shared" si="472"/>
        <v>0</v>
      </c>
      <c r="AQ309" s="28">
        <f t="shared" si="472"/>
        <v>0</v>
      </c>
      <c r="AR309" s="28">
        <f t="shared" si="472"/>
        <v>0</v>
      </c>
      <c r="AS309" s="28">
        <f t="shared" si="472"/>
        <v>0</v>
      </c>
      <c r="AT309" s="28">
        <f t="shared" si="472"/>
        <v>0</v>
      </c>
      <c r="AU309" s="28">
        <f t="shared" si="472"/>
        <v>0.53950080701675884</v>
      </c>
      <c r="AV309" s="28">
        <f t="shared" ref="AV309:BE316" si="473">IF($AK309=0,VLOOKUP(MID($A309,4,5),ProjectSplits,AV$23,FALSE),IF(ISNA(VLOOKUP($A309,Estimates,AV$22,FALSE)),VLOOKUP(MID($A309,4,5),ProjectSplits,AV$23,FALSE),VLOOKUP($A309,Estimates,AV$22,FALSE)))</f>
        <v>0</v>
      </c>
      <c r="AW309" s="28">
        <f t="shared" si="473"/>
        <v>4.3465636144460681E-3</v>
      </c>
      <c r="AX309" s="28">
        <f t="shared" si="473"/>
        <v>0</v>
      </c>
      <c r="AY309" s="28">
        <f t="shared" si="473"/>
        <v>0</v>
      </c>
      <c r="AZ309" s="28">
        <f t="shared" si="473"/>
        <v>0.45615262936879514</v>
      </c>
      <c r="BA309" s="28">
        <f t="shared" si="473"/>
        <v>0</v>
      </c>
      <c r="BB309" s="28">
        <f t="shared" si="473"/>
        <v>0</v>
      </c>
      <c r="BC309" s="28">
        <f t="shared" si="473"/>
        <v>0</v>
      </c>
      <c r="BD309" s="28">
        <f t="shared" si="473"/>
        <v>0</v>
      </c>
      <c r="BE309" s="28">
        <f t="shared" si="473"/>
        <v>0</v>
      </c>
      <c r="BF309" s="27">
        <f t="shared" si="467"/>
        <v>1</v>
      </c>
      <c r="BG309" s="809">
        <f t="shared" ref="BG309:BI309" si="474">IF(LabIn=0,1,BN390)</f>
        <v>1.0030818160192299</v>
      </c>
      <c r="BH309" s="809">
        <f t="shared" si="474"/>
        <v>1.0065177089927924</v>
      </c>
      <c r="BI309" s="809">
        <f t="shared" si="474"/>
        <v>1.0107473695964249</v>
      </c>
      <c r="BJ309" s="809">
        <f t="shared" ref="BJ309" si="475">IF(LabIn=0,1,BQ390)</f>
        <v>1.0155476114154875</v>
      </c>
      <c r="BK309" s="809">
        <f t="shared" ref="BK309" si="476">IF(LabIn=0,1,BR390)</f>
        <v>1.0214726565647969</v>
      </c>
      <c r="BL309" s="809">
        <f t="shared" ref="BL309" si="477">IF(LabIn=0,1,BS390)</f>
        <v>1.0278658733188006</v>
      </c>
      <c r="BM309" s="520">
        <f t="shared" si="427"/>
        <v>1.0271524590875074</v>
      </c>
      <c r="BN309" s="521" t="s">
        <v>3148</v>
      </c>
      <c r="BP309" s="3"/>
    </row>
    <row r="310" spans="1:68" hidden="1" x14ac:dyDescent="0.15">
      <c r="A310" s="12" t="s">
        <v>635</v>
      </c>
      <c r="B310" s="13" t="s">
        <v>636</v>
      </c>
      <c r="C310" s="13" t="s">
        <v>27</v>
      </c>
      <c r="D310" s="13" t="s">
        <v>54</v>
      </c>
      <c r="E310" s="13" t="s">
        <v>29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5">
        <v>0</v>
      </c>
      <c r="N310" s="670"/>
      <c r="O310" s="14"/>
      <c r="P310" s="15"/>
      <c r="Q310" s="15">
        <f>IF(ISTEXT('Incurred 2.5% cpi'!Q310),"",'Incurred 2.5% cpi'!Q310/'Incurred 2.5% cpi'!Q$17*Incurred!Q$17)</f>
        <v>1717.95</v>
      </c>
      <c r="R310" s="110">
        <f>IF(ISTEXT('Incurred 2.5% cpi'!R310),"",'Incurred 2.5% cpi'!R310/'Incurred 2.5% cpi'!R$17*Incurred!R$17*BG310)</f>
        <v>660080.52682844875</v>
      </c>
      <c r="S310" s="102">
        <f>IF(ISTEXT('Incurred 2.5% cpi'!S310),"",'Incurred 2.5% cpi'!S310/'Incurred 2.5% cpi'!S$17*Incurred!S$17*BH310)</f>
        <v>259420.38531361753</v>
      </c>
      <c r="T310" s="16" t="str">
        <f>IF(ISTEXT('Incurred 2.5% cpi'!T310),"",'Incurred 2.5% cpi'!T310/'Incurred 2.5% cpi'!T$17*Incurred!T$17*BI310)</f>
        <v/>
      </c>
      <c r="U310" s="16" t="str">
        <f>IF(ISTEXT('Incurred 2.5% cpi'!U310),"",'Incurred 2.5% cpi'!U310/'Incurred 2.5% cpi'!U$17*Incurred!U$17*BJ310)</f>
        <v/>
      </c>
      <c r="V310" s="16" t="str">
        <f>IF(ISTEXT('Incurred 2.5% cpi'!V310),"",'Incurred 2.5% cpi'!V310/'Incurred 2.5% cpi'!V$17*Incurred!V$17*BK310)</f>
        <v/>
      </c>
      <c r="W310" s="110" t="str">
        <f>IF(ISTEXT('Incurred 2.5% cpi'!W310),"",'Incurred 2.5% cpi'!W310/'Incurred 2.5% cpi'!W$17*Incurred!W$17*BL310)</f>
        <v/>
      </c>
      <c r="X310" s="102" t="str">
        <f>IF(ISTEXT('Incurred 2.5% cpi'!X310),"",'Incurred 2.5% cpi'!X310/'Incurred 2.5% cpi'!X$17*Incurred!X$17*BM310)</f>
        <v/>
      </c>
      <c r="Y310" s="80">
        <f t="shared" si="434"/>
        <v>921218.86214206624</v>
      </c>
      <c r="Z310" s="80">
        <f t="shared" si="462"/>
        <v>921218.86214206624</v>
      </c>
      <c r="AA310" s="566">
        <f t="shared" si="463"/>
        <v>1035164.3899307714</v>
      </c>
      <c r="AB310" s="566">
        <f t="shared" si="419"/>
        <v>937807.84653152747</v>
      </c>
      <c r="AC310" s="567">
        <f t="shared" si="435"/>
        <v>1.1038128906249998</v>
      </c>
      <c r="AD310" s="568" t="str">
        <f t="shared" si="420"/>
        <v>2019</v>
      </c>
      <c r="AE310" s="569">
        <v>43290</v>
      </c>
      <c r="AF310" s="568">
        <v>2019</v>
      </c>
      <c r="AG310" s="569"/>
      <c r="AH310" s="566">
        <f t="shared" si="464"/>
        <v>914934.48442100245</v>
      </c>
      <c r="AI310" s="80">
        <f t="shared" si="421"/>
        <v>259420.38531361753</v>
      </c>
      <c r="AJ310" s="571" t="s">
        <v>3035</v>
      </c>
      <c r="AK310" s="875">
        <f>IF(ISNA(VLOOKUP(LEFT($A310,8),Estimates,72,FALSE)),0,VLOOKUP(LEFT($A310,8),Estimates,72,FALSE))</f>
        <v>880087.2</v>
      </c>
      <c r="AL310" s="28">
        <f t="shared" si="472"/>
        <v>0</v>
      </c>
      <c r="AM310" s="28">
        <f t="shared" si="472"/>
        <v>0</v>
      </c>
      <c r="AN310" s="28">
        <f t="shared" si="472"/>
        <v>0</v>
      </c>
      <c r="AO310" s="28">
        <f t="shared" si="472"/>
        <v>0</v>
      </c>
      <c r="AP310" s="28">
        <f t="shared" si="472"/>
        <v>0</v>
      </c>
      <c r="AQ310" s="28">
        <f t="shared" si="472"/>
        <v>0</v>
      </c>
      <c r="AR310" s="28">
        <f t="shared" si="472"/>
        <v>0</v>
      </c>
      <c r="AS310" s="28">
        <f t="shared" si="472"/>
        <v>0</v>
      </c>
      <c r="AT310" s="28">
        <f t="shared" si="472"/>
        <v>0</v>
      </c>
      <c r="AU310" s="28">
        <f t="shared" si="472"/>
        <v>0.80302042797577333</v>
      </c>
      <c r="AV310" s="28">
        <f t="shared" si="473"/>
        <v>0</v>
      </c>
      <c r="AW310" s="28">
        <f t="shared" si="473"/>
        <v>0</v>
      </c>
      <c r="AX310" s="28">
        <f t="shared" si="473"/>
        <v>0</v>
      </c>
      <c r="AY310" s="28">
        <f t="shared" si="473"/>
        <v>0</v>
      </c>
      <c r="AZ310" s="28">
        <f t="shared" si="473"/>
        <v>3.7904425834167359E-2</v>
      </c>
      <c r="BA310" s="28">
        <f t="shared" si="473"/>
        <v>0.15907514619005939</v>
      </c>
      <c r="BB310" s="28">
        <f t="shared" si="473"/>
        <v>0</v>
      </c>
      <c r="BC310" s="28">
        <f t="shared" si="473"/>
        <v>0</v>
      </c>
      <c r="BD310" s="28">
        <f t="shared" si="473"/>
        <v>0</v>
      </c>
      <c r="BE310" s="28">
        <f t="shared" si="473"/>
        <v>0</v>
      </c>
      <c r="BF310" s="27">
        <f t="shared" si="467"/>
        <v>1</v>
      </c>
      <c r="BG310" s="520">
        <f t="shared" si="436"/>
        <v>1.0030818160192299</v>
      </c>
      <c r="BH310" s="520">
        <f t="shared" si="422"/>
        <v>1.0058892448397847</v>
      </c>
      <c r="BI310" s="520">
        <f t="shared" si="423"/>
        <v>1.0089276407487533</v>
      </c>
      <c r="BJ310" s="520">
        <f t="shared" si="424"/>
        <v>1.0124373439172154</v>
      </c>
      <c r="BK310" s="520">
        <f t="shared" si="425"/>
        <v>1.0175505572831101</v>
      </c>
      <c r="BL310" s="520">
        <f t="shared" si="426"/>
        <v>1.023302014576742</v>
      </c>
      <c r="BM310" s="520">
        <f t="shared" si="427"/>
        <v>1.0271524590875074</v>
      </c>
      <c r="BN310" s="521" t="str">
        <f t="shared" si="428"/>
        <v>Category</v>
      </c>
      <c r="BP310" s="3"/>
    </row>
    <row r="311" spans="1:68" hidden="1" x14ac:dyDescent="0.15">
      <c r="A311" s="12" t="s">
        <v>2294</v>
      </c>
      <c r="B311" s="13" t="s">
        <v>2295</v>
      </c>
      <c r="C311" s="13" t="s">
        <v>2630</v>
      </c>
      <c r="D311" s="13" t="s">
        <v>28</v>
      </c>
      <c r="E311" s="13" t="s">
        <v>112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5">
        <v>0</v>
      </c>
      <c r="N311" s="670"/>
      <c r="O311" s="14"/>
      <c r="P311" s="15"/>
      <c r="Q311" s="15">
        <f>IF(ISTEXT('Incurred 2.5% cpi'!Q311),"",'Incurred 2.5% cpi'!Q311/'Incurred 2.5% cpi'!Q$17*Incurred!Q$17)</f>
        <v>159351.10999999999</v>
      </c>
      <c r="R311" s="110">
        <f>IF(ISTEXT('Incurred 2.5% cpi'!R311),"",'Incurred 2.5% cpi'!R311/'Incurred 2.5% cpi'!R$17*Incurred!R$17*BG311)</f>
        <v>5876837.6319704922</v>
      </c>
      <c r="S311" s="102">
        <f>IF(ISTEXT('Incurred 2.5% cpi'!S311),"",'Incurred 2.5% cpi'!S311/'Incurred 2.5% cpi'!S$17*Incurred!S$17*BH311)</f>
        <v>0</v>
      </c>
      <c r="T311" s="16">
        <f>IF(ISTEXT('Incurred 2.5% cpi'!T311),"",'Incurred 2.5% cpi'!T311/'Incurred 2.5% cpi'!T$17*Incurred!T$17*BI311)</f>
        <v>0</v>
      </c>
      <c r="U311" s="16" t="str">
        <f>IF(ISTEXT('Incurred 2.5% cpi'!U311),"",'Incurred 2.5% cpi'!U311/'Incurred 2.5% cpi'!U$17*Incurred!U$17*BJ311)</f>
        <v/>
      </c>
      <c r="V311" s="16" t="str">
        <f>IF(ISTEXT('Incurred 2.5% cpi'!V311),"",'Incurred 2.5% cpi'!V311/'Incurred 2.5% cpi'!V$17*Incurred!V$17*BK311)</f>
        <v/>
      </c>
      <c r="W311" s="110" t="str">
        <f>IF(ISTEXT('Incurred 2.5% cpi'!W311),"",'Incurred 2.5% cpi'!W311/'Incurred 2.5% cpi'!W$17*Incurred!W$17*BL311)</f>
        <v/>
      </c>
      <c r="X311" s="102" t="str">
        <f>IF(ISTEXT('Incurred 2.5% cpi'!X311),"",'Incurred 2.5% cpi'!X311/'Incurred 2.5% cpi'!X$17*Incurred!X$17*BM311)</f>
        <v/>
      </c>
      <c r="Y311" s="80">
        <f t="shared" si="434"/>
        <v>6036188.7419704925</v>
      </c>
      <c r="Z311" s="80">
        <f t="shared" si="462"/>
        <v>6036188.7419704925</v>
      </c>
      <c r="AA311" s="566">
        <f t="shared" si="463"/>
        <v>6833900.7960880231</v>
      </c>
      <c r="AB311" s="566">
        <f t="shared" si="419"/>
        <v>6040172.519720492</v>
      </c>
      <c r="AC311" s="567">
        <f t="shared" si="435"/>
        <v>1.1314082128906247</v>
      </c>
      <c r="AD311" s="568" t="str">
        <f t="shared" si="420"/>
        <v/>
      </c>
      <c r="AE311" s="569">
        <v>43195</v>
      </c>
      <c r="AF311" s="568">
        <v>2018</v>
      </c>
      <c r="AG311" s="569"/>
      <c r="AH311" s="566">
        <f t="shared" si="464"/>
        <v>6040172.519720492</v>
      </c>
      <c r="AI311" s="80">
        <f t="shared" si="421"/>
        <v>0</v>
      </c>
      <c r="AJ311" s="571" t="s">
        <v>3035</v>
      </c>
      <c r="AK311" s="875">
        <f>IF(ISNA(VLOOKUP(LEFT($A311,8),Estimates,72,FALSE)),0,VLOOKUP(LEFT($A311,8),Estimates,72,FALSE))</f>
        <v>16603181.20644086</v>
      </c>
      <c r="AL311" s="28">
        <f t="shared" si="472"/>
        <v>0</v>
      </c>
      <c r="AM311" s="28">
        <f t="shared" si="472"/>
        <v>3.4933059742490844E-4</v>
      </c>
      <c r="AN311" s="28">
        <f t="shared" si="472"/>
        <v>5.7293188165107901E-3</v>
      </c>
      <c r="AO311" s="28">
        <f t="shared" si="472"/>
        <v>0</v>
      </c>
      <c r="AP311" s="28">
        <f t="shared" si="472"/>
        <v>0</v>
      </c>
      <c r="AQ311" s="28">
        <f t="shared" si="472"/>
        <v>2.2887180190058198E-2</v>
      </c>
      <c r="AR311" s="28">
        <f t="shared" si="472"/>
        <v>0</v>
      </c>
      <c r="AS311" s="28">
        <f t="shared" si="472"/>
        <v>0</v>
      </c>
      <c r="AT311" s="28">
        <f t="shared" si="472"/>
        <v>0</v>
      </c>
      <c r="AU311" s="28">
        <f t="shared" si="472"/>
        <v>2.3922160084433781E-2</v>
      </c>
      <c r="AV311" s="28">
        <f t="shared" si="473"/>
        <v>0</v>
      </c>
      <c r="AW311" s="28">
        <f t="shared" si="473"/>
        <v>5.1179790769362542E-2</v>
      </c>
      <c r="AX311" s="28">
        <f t="shared" si="473"/>
        <v>8.5224631487493471E-3</v>
      </c>
      <c r="AY311" s="28">
        <f t="shared" si="473"/>
        <v>0</v>
      </c>
      <c r="AZ311" s="28">
        <f t="shared" si="473"/>
        <v>0.88194995932970033</v>
      </c>
      <c r="BA311" s="28">
        <f t="shared" si="473"/>
        <v>9.034413232917709E-4</v>
      </c>
      <c r="BB311" s="28">
        <f t="shared" si="473"/>
        <v>4.556355740468164E-3</v>
      </c>
      <c r="BC311" s="28">
        <f t="shared" si="473"/>
        <v>0</v>
      </c>
      <c r="BD311" s="28">
        <f t="shared" si="473"/>
        <v>0</v>
      </c>
      <c r="BE311" s="28">
        <f t="shared" si="473"/>
        <v>0</v>
      </c>
      <c r="BF311" s="27">
        <f t="shared" si="467"/>
        <v>0.99999999999999989</v>
      </c>
      <c r="BG311" s="520">
        <f t="shared" si="436"/>
        <v>1.0030444840366091</v>
      </c>
      <c r="BH311" s="520">
        <f t="shared" si="422"/>
        <v>1.0058179046998681</v>
      </c>
      <c r="BI311" s="520">
        <f t="shared" si="423"/>
        <v>1.0088194946014175</v>
      </c>
      <c r="BJ311" s="520">
        <f t="shared" si="424"/>
        <v>1.0122866825201464</v>
      </c>
      <c r="BK311" s="520">
        <f t="shared" si="425"/>
        <v>1.0173379563051834</v>
      </c>
      <c r="BL311" s="520">
        <f t="shared" si="426"/>
        <v>1.023019742566414</v>
      </c>
      <c r="BM311" s="520">
        <f t="shared" si="427"/>
        <v>1.026823544212498</v>
      </c>
      <c r="BN311" s="521" t="str">
        <f t="shared" si="428"/>
        <v>Category</v>
      </c>
      <c r="BP311" s="3"/>
    </row>
    <row r="312" spans="1:68" hidden="1" x14ac:dyDescent="0.15">
      <c r="A312" s="12" t="s">
        <v>637</v>
      </c>
      <c r="B312" s="13" t="s">
        <v>638</v>
      </c>
      <c r="C312" s="13" t="s">
        <v>27</v>
      </c>
      <c r="D312" s="13" t="s">
        <v>60</v>
      </c>
      <c r="E312" s="13" t="s">
        <v>29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5">
        <v>0</v>
      </c>
      <c r="N312" s="670"/>
      <c r="O312" s="14"/>
      <c r="P312" s="15">
        <v>334653.59999999998</v>
      </c>
      <c r="Q312" s="15">
        <f>IF(ISTEXT('Incurred 2.5% cpi'!Q312),"",'Incurred 2.5% cpi'!Q312/'Incurred 2.5% cpi'!Q$17*Incurred!Q$17)</f>
        <v>2606238.6</v>
      </c>
      <c r="R312" s="110">
        <f>IF(ISTEXT('Incurred 2.5% cpi'!R312),"",'Incurred 2.5% cpi'!R312/'Incurred 2.5% cpi'!R$17*Incurred!R$17*BG312)</f>
        <v>473273.32775072841</v>
      </c>
      <c r="S312" s="102" t="str">
        <f>IF(ISTEXT('Incurred 2.5% cpi'!S312),"",'Incurred 2.5% cpi'!S312/'Incurred 2.5% cpi'!S$17*Incurred!S$17*BH312)</f>
        <v/>
      </c>
      <c r="T312" s="16" t="str">
        <f>IF(ISTEXT('Incurred 2.5% cpi'!T312),"",'Incurred 2.5% cpi'!T312/'Incurred 2.5% cpi'!T$17*Incurred!T$17*BI312)</f>
        <v/>
      </c>
      <c r="U312" s="16" t="str">
        <f>IF(ISTEXT('Incurred 2.5% cpi'!U312),"",'Incurred 2.5% cpi'!U312/'Incurred 2.5% cpi'!U$17*Incurred!U$17*BJ312)</f>
        <v/>
      </c>
      <c r="V312" s="16" t="str">
        <f>IF(ISTEXT('Incurred 2.5% cpi'!V312),"",'Incurred 2.5% cpi'!V312/'Incurred 2.5% cpi'!V$17*Incurred!V$17*BK312)</f>
        <v/>
      </c>
      <c r="W312" s="110" t="str">
        <f>IF(ISTEXT('Incurred 2.5% cpi'!W312),"",'Incurred 2.5% cpi'!W312/'Incurred 2.5% cpi'!W$17*Incurred!W$17*BL312)</f>
        <v/>
      </c>
      <c r="X312" s="102" t="str">
        <f>IF(ISTEXT('Incurred 2.5% cpi'!X312),"",'Incurred 2.5% cpi'!X312/'Incurred 2.5% cpi'!X$17*Incurred!X$17*BM312)</f>
        <v/>
      </c>
      <c r="Y312" s="80">
        <f t="shared" si="434"/>
        <v>3414165.5277507287</v>
      </c>
      <c r="Z312" s="80">
        <f t="shared" si="462"/>
        <v>3414165.5277507287</v>
      </c>
      <c r="AA312" s="566">
        <f t="shared" si="463"/>
        <v>3954248.3791169878</v>
      </c>
      <c r="AB312" s="566">
        <f t="shared" si="419"/>
        <v>3494979.3841555333</v>
      </c>
      <c r="AC312" s="567">
        <f t="shared" si="435"/>
        <v>1.1314082128906247</v>
      </c>
      <c r="AD312" s="568" t="str">
        <f t="shared" si="420"/>
        <v>2018</v>
      </c>
      <c r="AE312" s="569">
        <v>42913</v>
      </c>
      <c r="AF312" s="568">
        <v>2018</v>
      </c>
      <c r="AG312" s="569"/>
      <c r="AH312" s="566">
        <f t="shared" si="464"/>
        <v>3494979.3841555333</v>
      </c>
      <c r="AI312" s="80">
        <f t="shared" si="421"/>
        <v>473273.32775072841</v>
      </c>
      <c r="AJ312" s="571" t="s">
        <v>0</v>
      </c>
      <c r="AK312" s="875">
        <f t="shared" si="429"/>
        <v>0</v>
      </c>
      <c r="AL312" s="28">
        <f t="shared" si="472"/>
        <v>0</v>
      </c>
      <c r="AM312" s="28">
        <f t="shared" si="472"/>
        <v>0</v>
      </c>
      <c r="AN312" s="28">
        <f t="shared" si="472"/>
        <v>0</v>
      </c>
      <c r="AO312" s="28">
        <f t="shared" si="472"/>
        <v>0</v>
      </c>
      <c r="AP312" s="28">
        <f t="shared" si="472"/>
        <v>0</v>
      </c>
      <c r="AQ312" s="28">
        <f t="shared" si="472"/>
        <v>0</v>
      </c>
      <c r="AR312" s="28">
        <f t="shared" si="472"/>
        <v>0</v>
      </c>
      <c r="AS312" s="28">
        <f t="shared" si="472"/>
        <v>0</v>
      </c>
      <c r="AT312" s="28">
        <f t="shared" si="472"/>
        <v>0</v>
      </c>
      <c r="AU312" s="28">
        <f t="shared" si="472"/>
        <v>1</v>
      </c>
      <c r="AV312" s="28">
        <f t="shared" si="473"/>
        <v>0</v>
      </c>
      <c r="AW312" s="28">
        <f t="shared" si="473"/>
        <v>0</v>
      </c>
      <c r="AX312" s="28">
        <f t="shared" si="473"/>
        <v>0</v>
      </c>
      <c r="AY312" s="28">
        <f t="shared" si="473"/>
        <v>0</v>
      </c>
      <c r="AZ312" s="28">
        <f t="shared" si="473"/>
        <v>0</v>
      </c>
      <c r="BA312" s="28">
        <f t="shared" si="473"/>
        <v>0</v>
      </c>
      <c r="BB312" s="28">
        <f t="shared" si="473"/>
        <v>0</v>
      </c>
      <c r="BC312" s="28">
        <f t="shared" si="473"/>
        <v>0</v>
      </c>
      <c r="BD312" s="28">
        <f t="shared" si="473"/>
        <v>0</v>
      </c>
      <c r="BE312" s="28">
        <f t="shared" si="473"/>
        <v>0</v>
      </c>
      <c r="BF312" s="27">
        <f t="shared" si="467"/>
        <v>1</v>
      </c>
      <c r="BG312" s="520">
        <f t="shared" si="436"/>
        <v>1.0002847743844534</v>
      </c>
      <c r="BH312" s="520">
        <f t="shared" si="422"/>
        <v>1.0005441940932489</v>
      </c>
      <c r="BI312" s="520">
        <f t="shared" si="423"/>
        <v>1.0008249562540341</v>
      </c>
      <c r="BJ312" s="520">
        <f t="shared" si="424"/>
        <v>1.0011492694359945</v>
      </c>
      <c r="BK312" s="520">
        <f t="shared" si="425"/>
        <v>1.0016217545485921</v>
      </c>
      <c r="BL312" s="520">
        <f t="shared" si="426"/>
        <v>1.0021532164205156</v>
      </c>
      <c r="BM312" s="520">
        <f t="shared" si="427"/>
        <v>1.0025090157150169</v>
      </c>
      <c r="BN312" s="521" t="str">
        <f t="shared" si="428"/>
        <v>Category</v>
      </c>
      <c r="BP312" s="3"/>
    </row>
    <row r="313" spans="1:68" hidden="1" x14ac:dyDescent="0.15">
      <c r="A313" s="12" t="s">
        <v>2391</v>
      </c>
      <c r="B313" s="13" t="s">
        <v>2392</v>
      </c>
      <c r="C313" s="13" t="s">
        <v>27</v>
      </c>
      <c r="D313" s="13" t="s">
        <v>36</v>
      </c>
      <c r="E313" s="13" t="s">
        <v>29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5">
        <v>0</v>
      </c>
      <c r="N313" s="670"/>
      <c r="O313" s="14"/>
      <c r="P313" s="15"/>
      <c r="Q313" s="15">
        <f>IF(ISTEXT('Incurred 2.5% cpi'!Q313),"",'Incurred 2.5% cpi'!Q313/'Incurred 2.5% cpi'!Q$17*Incurred!Q$17)</f>
        <v>6110.72</v>
      </c>
      <c r="R313" s="110">
        <f>IF(ISTEXT('Incurred 2.5% cpi'!R313),"",'Incurred 2.5% cpi'!R313/'Incurred 2.5% cpi'!R$17*Incurred!R$17*BG313)</f>
        <v>279929.10486943775</v>
      </c>
      <c r="S313" s="102" t="str">
        <f>IF(ISTEXT('Incurred 2.5% cpi'!S313),"",'Incurred 2.5% cpi'!S313/'Incurred 2.5% cpi'!S$17*Incurred!S$17*BH313)</f>
        <v/>
      </c>
      <c r="T313" s="16" t="str">
        <f>IF(ISTEXT('Incurred 2.5% cpi'!T313),"",'Incurred 2.5% cpi'!T313/'Incurred 2.5% cpi'!T$17*Incurred!T$17*BI313)</f>
        <v/>
      </c>
      <c r="U313" s="16" t="str">
        <f>IF(ISTEXT('Incurred 2.5% cpi'!U313),"",'Incurred 2.5% cpi'!U313/'Incurred 2.5% cpi'!U$17*Incurred!U$17*BJ313)</f>
        <v/>
      </c>
      <c r="V313" s="16" t="str">
        <f>IF(ISTEXT('Incurred 2.5% cpi'!V313),"",'Incurred 2.5% cpi'!V313/'Incurred 2.5% cpi'!V$17*Incurred!V$17*BK313)</f>
        <v/>
      </c>
      <c r="W313" s="110" t="str">
        <f>IF(ISTEXT('Incurred 2.5% cpi'!W313),"",'Incurred 2.5% cpi'!W313/'Incurred 2.5% cpi'!W$17*Incurred!W$17*BL313)</f>
        <v/>
      </c>
      <c r="X313" s="102" t="str">
        <f>IF(ISTEXT('Incurred 2.5% cpi'!X313),"",'Incurred 2.5% cpi'!X313/'Incurred 2.5% cpi'!X$17*Incurred!X$17*BM313)</f>
        <v/>
      </c>
      <c r="Y313" s="80">
        <f t="shared" si="434"/>
        <v>286039.82486943773</v>
      </c>
      <c r="Z313" s="80">
        <f t="shared" si="462"/>
        <v>286039.82486943773</v>
      </c>
      <c r="AA313" s="566">
        <f t="shared" si="463"/>
        <v>323800.65004094475</v>
      </c>
      <c r="AB313" s="566">
        <f t="shared" si="419"/>
        <v>286192.59286943782</v>
      </c>
      <c r="AC313" s="567">
        <f t="shared" si="435"/>
        <v>1.1314082128906247</v>
      </c>
      <c r="AD313" s="568" t="str">
        <f t="shared" si="420"/>
        <v>2018</v>
      </c>
      <c r="AE313" s="569">
        <v>43032</v>
      </c>
      <c r="AF313" s="568">
        <v>2018</v>
      </c>
      <c r="AG313" s="569"/>
      <c r="AH313" s="566">
        <f t="shared" si="464"/>
        <v>286192.59286943777</v>
      </c>
      <c r="AI313" s="80">
        <f t="shared" si="421"/>
        <v>279929.10486943775</v>
      </c>
      <c r="AJ313" s="571" t="s">
        <v>0</v>
      </c>
      <c r="AK313" s="875">
        <f t="shared" si="429"/>
        <v>0</v>
      </c>
      <c r="AL313" s="28">
        <f t="shared" si="472"/>
        <v>0</v>
      </c>
      <c r="AM313" s="28">
        <f t="shared" si="472"/>
        <v>0</v>
      </c>
      <c r="AN313" s="28">
        <f t="shared" si="472"/>
        <v>0</v>
      </c>
      <c r="AO313" s="28">
        <f t="shared" si="472"/>
        <v>0</v>
      </c>
      <c r="AP313" s="28">
        <f t="shared" si="472"/>
        <v>0</v>
      </c>
      <c r="AQ313" s="28">
        <f t="shared" si="472"/>
        <v>0</v>
      </c>
      <c r="AR313" s="28">
        <f t="shared" si="472"/>
        <v>0</v>
      </c>
      <c r="AS313" s="28">
        <f t="shared" si="472"/>
        <v>1</v>
      </c>
      <c r="AT313" s="28">
        <f t="shared" si="472"/>
        <v>0</v>
      </c>
      <c r="AU313" s="28">
        <f t="shared" si="472"/>
        <v>0</v>
      </c>
      <c r="AV313" s="28">
        <f t="shared" si="473"/>
        <v>0</v>
      </c>
      <c r="AW313" s="28">
        <f t="shared" si="473"/>
        <v>0</v>
      </c>
      <c r="AX313" s="28">
        <f t="shared" si="473"/>
        <v>0</v>
      </c>
      <c r="AY313" s="28">
        <f t="shared" si="473"/>
        <v>0</v>
      </c>
      <c r="AZ313" s="28">
        <f t="shared" si="473"/>
        <v>0</v>
      </c>
      <c r="BA313" s="28">
        <f t="shared" si="473"/>
        <v>0</v>
      </c>
      <c r="BB313" s="28">
        <f t="shared" si="473"/>
        <v>0</v>
      </c>
      <c r="BC313" s="28">
        <f t="shared" si="473"/>
        <v>0</v>
      </c>
      <c r="BD313" s="28">
        <f t="shared" si="473"/>
        <v>0</v>
      </c>
      <c r="BE313" s="28">
        <f t="shared" si="473"/>
        <v>0</v>
      </c>
      <c r="BF313" s="27">
        <f t="shared" si="467"/>
        <v>1</v>
      </c>
      <c r="BG313" s="520">
        <f t="shared" si="436"/>
        <v>1.0018756098697492</v>
      </c>
      <c r="BH313" s="520">
        <f t="shared" si="422"/>
        <v>1.0035842262088148</v>
      </c>
      <c r="BI313" s="520">
        <f t="shared" si="423"/>
        <v>1.0054334103650095</v>
      </c>
      <c r="BJ313" s="520">
        <f t="shared" si="424"/>
        <v>1.007569434664183</v>
      </c>
      <c r="BK313" s="520">
        <f t="shared" si="425"/>
        <v>1.0106813639277612</v>
      </c>
      <c r="BL313" s="520">
        <f t="shared" si="426"/>
        <v>1.0141817318919957</v>
      </c>
      <c r="BM313" s="520">
        <f t="shared" si="427"/>
        <v>1.0165251332119476</v>
      </c>
      <c r="BN313" s="521" t="str">
        <f t="shared" si="428"/>
        <v>Category</v>
      </c>
      <c r="BP313" s="3"/>
    </row>
    <row r="314" spans="1:68" hidden="1" x14ac:dyDescent="0.15">
      <c r="A314" s="12" t="s">
        <v>2393</v>
      </c>
      <c r="B314" s="13" t="s">
        <v>2394</v>
      </c>
      <c r="C314" s="13" t="s">
        <v>27</v>
      </c>
      <c r="D314" s="13" t="s">
        <v>36</v>
      </c>
      <c r="E314" s="13" t="s">
        <v>29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5">
        <v>0</v>
      </c>
      <c r="N314" s="670"/>
      <c r="O314" s="14"/>
      <c r="P314" s="15"/>
      <c r="Q314" s="15">
        <f>IF(ISTEXT('Incurred 2.5% cpi'!Q314),"",'Incurred 2.5% cpi'!Q314/'Incurred 2.5% cpi'!Q$17*Incurred!Q$17)</f>
        <v>14198.62</v>
      </c>
      <c r="R314" s="110">
        <f>IF(ISTEXT('Incurred 2.5% cpi'!R314),"",'Incurred 2.5% cpi'!R314/'Incurred 2.5% cpi'!R$17*Incurred!R$17*BG314)</f>
        <v>836883.28798430087</v>
      </c>
      <c r="S314" s="102" t="str">
        <f>IF(ISTEXT('Incurred 2.5% cpi'!S314),"",'Incurred 2.5% cpi'!S314/'Incurred 2.5% cpi'!S$17*Incurred!S$17*BH314)</f>
        <v/>
      </c>
      <c r="T314" s="16" t="str">
        <f>IF(ISTEXT('Incurred 2.5% cpi'!T314),"",'Incurred 2.5% cpi'!T314/'Incurred 2.5% cpi'!T$17*Incurred!T$17*BI314)</f>
        <v/>
      </c>
      <c r="U314" s="16" t="str">
        <f>IF(ISTEXT('Incurred 2.5% cpi'!U314),"",'Incurred 2.5% cpi'!U314/'Incurred 2.5% cpi'!U$17*Incurred!U$17*BJ314)</f>
        <v/>
      </c>
      <c r="V314" s="16" t="str">
        <f>IF(ISTEXT('Incurred 2.5% cpi'!V314),"",'Incurred 2.5% cpi'!V314/'Incurred 2.5% cpi'!V$17*Incurred!V$17*BK314)</f>
        <v/>
      </c>
      <c r="W314" s="110" t="str">
        <f>IF(ISTEXT('Incurred 2.5% cpi'!W314),"",'Incurred 2.5% cpi'!W314/'Incurred 2.5% cpi'!W$17*Incurred!W$17*BL314)</f>
        <v/>
      </c>
      <c r="X314" s="102" t="str">
        <f>IF(ISTEXT('Incurred 2.5% cpi'!X314),"",'Incurred 2.5% cpi'!X314/'Incurred 2.5% cpi'!X$17*Incurred!X$17*BM314)</f>
        <v/>
      </c>
      <c r="Y314" s="80">
        <f t="shared" si="434"/>
        <v>851081.90798430087</v>
      </c>
      <c r="Z314" s="80">
        <f t="shared" si="462"/>
        <v>851081.90798430087</v>
      </c>
      <c r="AA314" s="566">
        <f t="shared" si="463"/>
        <v>963322.67141805368</v>
      </c>
      <c r="AB314" s="566">
        <f t="shared" ref="AB314:AB331" si="478">IF(AC314="","",AA314/AC314)</f>
        <v>851436.8734843008</v>
      </c>
      <c r="AC314" s="567">
        <f t="shared" si="435"/>
        <v>1.1314082128906247</v>
      </c>
      <c r="AD314" s="568" t="str">
        <f t="shared" ref="AD314:AD356" si="479">IF(AI314=0,"",INDEX($F$24:$W$24,1,MATCH(AI314,F314:W314,0)))</f>
        <v>2018</v>
      </c>
      <c r="AE314" s="569">
        <v>42923</v>
      </c>
      <c r="AF314" s="568">
        <v>2018</v>
      </c>
      <c r="AG314" s="569"/>
      <c r="AH314" s="566">
        <f t="shared" si="464"/>
        <v>851436.87348430092</v>
      </c>
      <c r="AI314" s="80">
        <f t="shared" ref="AI314:AI355" si="480">IF(ROUND(Z314,0)=0,0,LOOKUP(2,1/(F314:X314&lt;&gt;""),F314:X314))</f>
        <v>836883.28798430087</v>
      </c>
      <c r="AJ314" s="571" t="s">
        <v>0</v>
      </c>
      <c r="AK314" s="875">
        <f t="shared" ref="AK314:AK348" si="481">IF(ISNA(VLOOKUP($A314,Estimates,71,FALSE)),0,VLOOKUP($A314,Estimates,71,FALSE))</f>
        <v>0</v>
      </c>
      <c r="AL314" s="28">
        <f t="shared" si="472"/>
        <v>0.5</v>
      </c>
      <c r="AM314" s="28">
        <f t="shared" si="472"/>
        <v>0</v>
      </c>
      <c r="AN314" s="28">
        <f t="shared" si="472"/>
        <v>0</v>
      </c>
      <c r="AO314" s="28">
        <f t="shared" si="472"/>
        <v>0</v>
      </c>
      <c r="AP314" s="28">
        <f t="shared" si="472"/>
        <v>0</v>
      </c>
      <c r="AQ314" s="28">
        <f t="shared" si="472"/>
        <v>0</v>
      </c>
      <c r="AR314" s="28">
        <f t="shared" si="472"/>
        <v>0</v>
      </c>
      <c r="AS314" s="28">
        <f t="shared" si="472"/>
        <v>0.5</v>
      </c>
      <c r="AT314" s="28">
        <f t="shared" si="472"/>
        <v>0</v>
      </c>
      <c r="AU314" s="28">
        <f t="shared" si="472"/>
        <v>0</v>
      </c>
      <c r="AV314" s="28">
        <f t="shared" si="473"/>
        <v>0</v>
      </c>
      <c r="AW314" s="28">
        <f t="shared" si="473"/>
        <v>0</v>
      </c>
      <c r="AX314" s="28">
        <f t="shared" si="473"/>
        <v>0</v>
      </c>
      <c r="AY314" s="28">
        <f t="shared" si="473"/>
        <v>0</v>
      </c>
      <c r="AZ314" s="28">
        <f t="shared" si="473"/>
        <v>0</v>
      </c>
      <c r="BA314" s="28">
        <f t="shared" si="473"/>
        <v>0</v>
      </c>
      <c r="BB314" s="28">
        <f t="shared" si="473"/>
        <v>0</v>
      </c>
      <c r="BC314" s="28">
        <f t="shared" si="473"/>
        <v>0</v>
      </c>
      <c r="BD314" s="28">
        <f t="shared" si="473"/>
        <v>0</v>
      </c>
      <c r="BE314" s="28">
        <f t="shared" si="473"/>
        <v>0</v>
      </c>
      <c r="BF314" s="27">
        <f t="shared" si="467"/>
        <v>1</v>
      </c>
      <c r="BG314" s="520">
        <f t="shared" si="436"/>
        <v>1.0018756098697492</v>
      </c>
      <c r="BH314" s="520">
        <f t="shared" ref="BH314:BH349" si="482">1+IF(ISNA(VLOOKUP($A314,ProjLabEsc,7,FALSE)),VLOOKUP($D314,CatLabEsc,4,FALSE),VLOOKUP($A314,ProjLabEsc,7,FALSE))*LabEsc19*LabIn</f>
        <v>1.0035842262088148</v>
      </c>
      <c r="BI314" s="520">
        <f t="shared" ref="BI314:BI349" si="483">1+IF(ISNA(VLOOKUP($A314,ProjLabEsc,7,FALSE)),VLOOKUP($D314,CatLabEsc,4,FALSE),VLOOKUP($A314,ProjLabEsc,7,FALSE))*LabEsc20*LabIn</f>
        <v>1.0054334103650095</v>
      </c>
      <c r="BJ314" s="520">
        <f t="shared" ref="BJ314:BJ349" si="484">1+IF(ISNA(VLOOKUP($A314,ProjLabEsc,7,FALSE)),VLOOKUP($D314,CatLabEsc,4,FALSE),VLOOKUP($A314,ProjLabEsc,7,FALSE))*LabEsc21*LabIn</f>
        <v>1.007569434664183</v>
      </c>
      <c r="BK314" s="520">
        <f t="shared" ref="BK314:BK349" si="485">1+IF(ISNA(VLOOKUP($A314,ProjLabEsc,7,FALSE)),VLOOKUP($D314,CatLabEsc,4,FALSE),VLOOKUP($A314,ProjLabEsc,7,FALSE))*LabEsc22*LabIn</f>
        <v>1.0106813639277612</v>
      </c>
      <c r="BL314" s="520">
        <f t="shared" ref="BL314:BL349" si="486">1+IF(ISNA(VLOOKUP($A314,ProjLabEsc,7,FALSE)),VLOOKUP($D314,CatLabEsc,4,FALSE),VLOOKUP($A314,ProjLabEsc,7,FALSE))*LabEsc23*LabIn</f>
        <v>1.0141817318919957</v>
      </c>
      <c r="BM314" s="520">
        <f t="shared" ref="BM314:BM349" si="487">1+IF(ISNA(VLOOKUP($A314,ProjLabEsc,7,FALSE)),VLOOKUP($D314,CatLabEsc,4,FALSE),VLOOKUP($A314,ProjLabEsc,7,FALSE))*LabEsc24*LabIn</f>
        <v>1.0165251332119476</v>
      </c>
      <c r="BN314" s="521" t="str">
        <f t="shared" ref="BN314:BN349" si="488">IF(ISNA(VLOOKUP($A314,ProjLabEsc,7,FALSE)),"Category","Project")</f>
        <v>Category</v>
      </c>
      <c r="BP314" s="3"/>
    </row>
    <row r="315" spans="1:68" hidden="1" x14ac:dyDescent="0.15">
      <c r="A315" s="12" t="s">
        <v>2395</v>
      </c>
      <c r="B315" s="13" t="s">
        <v>2396</v>
      </c>
      <c r="C315" s="13" t="s">
        <v>27</v>
      </c>
      <c r="D315" s="13" t="s">
        <v>41</v>
      </c>
      <c r="E315" s="13" t="s">
        <v>112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5">
        <v>0</v>
      </c>
      <c r="N315" s="670"/>
      <c r="O315" s="14"/>
      <c r="P315" s="15"/>
      <c r="Q315" s="15" t="str">
        <f>IF(ISTEXT('Incurred 2.5% cpi'!Q315),"",'Incurred 2.5% cpi'!Q315/'Incurred 2.5% cpi'!Q$17*Incurred!Q$17)</f>
        <v/>
      </c>
      <c r="R315" s="110" t="str">
        <f>IF(ISTEXT('Incurred 2.5% cpi'!R315),"",'Incurred 2.5% cpi'!R315/'Incurred 2.5% cpi'!R$17*Incurred!R$17*BG315)</f>
        <v/>
      </c>
      <c r="S315" s="102">
        <f>IF(ISTEXT('Incurred 2.5% cpi'!S315),"",'Incurred 2.5% cpi'!S315/'Incurred 2.5% cpi'!S$17*Incurred!S$17*BH315)</f>
        <v>981622.43598361488</v>
      </c>
      <c r="T315" s="16">
        <f>IF(ISTEXT('Incurred 2.5% cpi'!T315),"",'Incurred 2.5% cpi'!T315/'Incurred 2.5% cpi'!T$17*Incurred!T$17*BI315)</f>
        <v>11593858.042678086</v>
      </c>
      <c r="U315" s="16">
        <f>IF(ISTEXT('Incurred 2.5% cpi'!U315),"",'Incurred 2.5% cpi'!U315/'Incurred 2.5% cpi'!U$17*Incurred!U$17*BJ315)</f>
        <v>16637908.767530857</v>
      </c>
      <c r="V315" s="16">
        <f>IF(ISTEXT('Incurred 2.5% cpi'!V315),"",'Incurred 2.5% cpi'!V315/'Incurred 2.5% cpi'!V$17*Incurred!V$17*BK315)</f>
        <v>8982024.2991171069</v>
      </c>
      <c r="W315" s="110" t="str">
        <f>IF(ISTEXT('Incurred 2.5% cpi'!W315),"",'Incurred 2.5% cpi'!W315/'Incurred 2.5% cpi'!W$17*Incurred!W$17*BL315)</f>
        <v/>
      </c>
      <c r="X315" s="102" t="str">
        <f>IF(ISTEXT('Incurred 2.5% cpi'!X315),"",'Incurred 2.5% cpi'!X315/'Incurred 2.5% cpi'!X$17*Incurred!X$17*BM315)</f>
        <v/>
      </c>
      <c r="Y315" s="80">
        <f t="shared" si="434"/>
        <v>38195413.545309663</v>
      </c>
      <c r="Z315" s="80">
        <f t="shared" si="462"/>
        <v>38195413.545309663</v>
      </c>
      <c r="AA315" s="566">
        <f t="shared" si="463"/>
        <v>40255622.337788448</v>
      </c>
      <c r="AB315" s="566">
        <f t="shared" si="478"/>
        <v>39273777.890525319</v>
      </c>
      <c r="AC315" s="567">
        <f t="shared" si="435"/>
        <v>1.0249999999999999</v>
      </c>
      <c r="AD315" s="568" t="str">
        <f t="shared" si="479"/>
        <v>2022</v>
      </c>
      <c r="AE315" s="569">
        <v>44512</v>
      </c>
      <c r="AF315" s="568">
        <v>2022</v>
      </c>
      <c r="AG315" s="569"/>
      <c r="AH315" s="566">
        <f t="shared" si="464"/>
        <v>35580104.403643772</v>
      </c>
      <c r="AI315" s="80">
        <f t="shared" si="480"/>
        <v>8982024.2991171069</v>
      </c>
      <c r="AJ315" s="571" t="s">
        <v>3035</v>
      </c>
      <c r="AK315" s="875">
        <f>IF(ISNA(VLOOKUP(LEFT($A315,8),Estimates,72,FALSE)),0,VLOOKUP(LEFT($A315,8),Estimates,72,FALSE))</f>
        <v>27344228.40151</v>
      </c>
      <c r="AL315" s="28">
        <f t="shared" si="472"/>
        <v>0</v>
      </c>
      <c r="AM315" s="28">
        <f t="shared" si="472"/>
        <v>0</v>
      </c>
      <c r="AN315" s="28">
        <f t="shared" si="472"/>
        <v>0</v>
      </c>
      <c r="AO315" s="28">
        <f t="shared" si="472"/>
        <v>0</v>
      </c>
      <c r="AP315" s="28">
        <f t="shared" si="472"/>
        <v>0</v>
      </c>
      <c r="AQ315" s="28">
        <f t="shared" si="472"/>
        <v>0</v>
      </c>
      <c r="AR315" s="28">
        <f t="shared" si="472"/>
        <v>0</v>
      </c>
      <c r="AS315" s="28">
        <f t="shared" si="472"/>
        <v>0</v>
      </c>
      <c r="AT315" s="28">
        <f t="shared" si="472"/>
        <v>0</v>
      </c>
      <c r="AU315" s="28">
        <f t="shared" si="472"/>
        <v>0</v>
      </c>
      <c r="AV315" s="28">
        <f t="shared" si="473"/>
        <v>0</v>
      </c>
      <c r="AW315" s="28">
        <f t="shared" si="473"/>
        <v>0</v>
      </c>
      <c r="AX315" s="28">
        <f t="shared" si="473"/>
        <v>0</v>
      </c>
      <c r="AY315" s="28">
        <f t="shared" si="473"/>
        <v>0</v>
      </c>
      <c r="AZ315" s="28">
        <f t="shared" si="473"/>
        <v>0</v>
      </c>
      <c r="BA315" s="28">
        <f t="shared" si="473"/>
        <v>0</v>
      </c>
      <c r="BB315" s="28">
        <f t="shared" si="473"/>
        <v>0</v>
      </c>
      <c r="BC315" s="28">
        <f t="shared" si="473"/>
        <v>0</v>
      </c>
      <c r="BD315" s="28">
        <f t="shared" si="473"/>
        <v>0</v>
      </c>
      <c r="BE315" s="28">
        <f t="shared" si="473"/>
        <v>1</v>
      </c>
      <c r="BF315" s="27">
        <f t="shared" ref="BF315:BF316" si="489">SUM(AL315:BE315)</f>
        <v>1</v>
      </c>
      <c r="BG315" s="520">
        <f t="shared" si="436"/>
        <v>1.0033727120403868</v>
      </c>
      <c r="BH315" s="520">
        <f t="shared" si="482"/>
        <v>1.0064451371710665</v>
      </c>
      <c r="BI315" s="520">
        <f t="shared" si="483"/>
        <v>1.0097703306289816</v>
      </c>
      <c r="BJ315" s="520">
        <f t="shared" si="484"/>
        <v>1.0136113185596671</v>
      </c>
      <c r="BK315" s="520">
        <f t="shared" si="485"/>
        <v>1.0192071737880817</v>
      </c>
      <c r="BL315" s="520">
        <f t="shared" si="486"/>
        <v>1.0255015174941833</v>
      </c>
      <c r="BM315" s="520">
        <f t="shared" si="487"/>
        <v>1.029715409719179</v>
      </c>
      <c r="BN315" s="521" t="str">
        <f t="shared" si="488"/>
        <v>Project</v>
      </c>
      <c r="BP315" s="3"/>
    </row>
    <row r="316" spans="1:68" hidden="1" x14ac:dyDescent="0.15">
      <c r="A316" s="12" t="s">
        <v>2397</v>
      </c>
      <c r="B316" s="13" t="s">
        <v>2398</v>
      </c>
      <c r="C316" s="13" t="s">
        <v>27</v>
      </c>
      <c r="D316" s="13" t="s">
        <v>41</v>
      </c>
      <c r="E316" s="13" t="s">
        <v>112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5">
        <v>0</v>
      </c>
      <c r="N316" s="670"/>
      <c r="O316" s="14"/>
      <c r="P316" s="15"/>
      <c r="Q316" s="15" t="str">
        <f>IF(ISTEXT('Incurred 2.5% cpi'!Q316),"",'Incurred 2.5% cpi'!Q316/'Incurred 2.5% cpi'!Q$17*Incurred!Q$17)</f>
        <v/>
      </c>
      <c r="R316" s="110" t="str">
        <f>IF(ISTEXT('Incurred 2.5% cpi'!R316),"",'Incurred 2.5% cpi'!R316/'Incurred 2.5% cpi'!R$17*Incurred!R$17*BG316)</f>
        <v/>
      </c>
      <c r="S316" s="102">
        <f>IF(ISTEXT('Incurred 2.5% cpi'!S316),"",'Incurred 2.5% cpi'!S316/'Incurred 2.5% cpi'!S$17*Incurred!S$17*BH316)</f>
        <v>893060.84266640362</v>
      </c>
      <c r="T316" s="16">
        <f>IF(ISTEXT('Incurred 2.5% cpi'!T316),"",'Incurred 2.5% cpi'!T316/'Incurred 2.5% cpi'!T$17*Incurred!T$17*BI316)</f>
        <v>8769708.8522280343</v>
      </c>
      <c r="U316" s="16">
        <f>IF(ISTEXT('Incurred 2.5% cpi'!U316),"",'Incurred 2.5% cpi'!U316/'Incurred 2.5% cpi'!U$17*Incurred!U$17*BJ316)</f>
        <v>12367911.405371292</v>
      </c>
      <c r="V316" s="16">
        <f>IF(ISTEXT('Incurred 2.5% cpi'!V316),"",'Incurred 2.5% cpi'!V316/'Incurred 2.5% cpi'!V$17*Incurred!V$17*BK316)</f>
        <v>12762936.484755663</v>
      </c>
      <c r="W316" s="110">
        <f>IF(ISTEXT('Incurred 2.5% cpi'!W316),"",'Incurred 2.5% cpi'!W316/'Incurred 2.5% cpi'!W$17*Incurred!W$17*BL316)</f>
        <v>6852911.7943860535</v>
      </c>
      <c r="X316" s="102" t="str">
        <f>IF(ISTEXT('Incurred 2.5% cpi'!X316),"",'Incurred 2.5% cpi'!X316/'Incurred 2.5% cpi'!X$17*Incurred!X$17*BM316)</f>
        <v/>
      </c>
      <c r="Y316" s="80">
        <f t="shared" si="434"/>
        <v>41646529.379407443</v>
      </c>
      <c r="Z316" s="80">
        <f t="shared" si="462"/>
        <v>41646529.379407443</v>
      </c>
      <c r="AA316" s="566">
        <f t="shared" si="463"/>
        <v>43358747.928720303</v>
      </c>
      <c r="AB316" s="566">
        <f t="shared" ref="AB316:AB317" si="490">IF(AC316="","",AA316/AC316)</f>
        <v>43358747.928720303</v>
      </c>
      <c r="AC316" s="567">
        <f t="shared" si="435"/>
        <v>1</v>
      </c>
      <c r="AD316" s="568" t="str">
        <f t="shared" si="479"/>
        <v>2023</v>
      </c>
      <c r="AE316" s="569">
        <v>44876</v>
      </c>
      <c r="AF316" s="568">
        <v>2023</v>
      </c>
      <c r="AG316" s="569"/>
      <c r="AH316" s="566">
        <f t="shared" si="464"/>
        <v>38322815.26217971</v>
      </c>
      <c r="AI316" s="80">
        <f t="shared" si="480"/>
        <v>6852911.7943860535</v>
      </c>
      <c r="AJ316" s="571" t="s">
        <v>3035</v>
      </c>
      <c r="AK316" s="875">
        <f>IF(ISNA(VLOOKUP(LEFT($A316,8),Estimates,72,FALSE)),0,VLOOKUP(LEFT($A316,8),Estimates,72,FALSE))</f>
        <v>29930532.46751</v>
      </c>
      <c r="AL316" s="28">
        <f t="shared" si="472"/>
        <v>0</v>
      </c>
      <c r="AM316" s="28">
        <f t="shared" si="472"/>
        <v>0</v>
      </c>
      <c r="AN316" s="28">
        <f t="shared" si="472"/>
        <v>0</v>
      </c>
      <c r="AO316" s="28">
        <f t="shared" si="472"/>
        <v>0</v>
      </c>
      <c r="AP316" s="28">
        <f t="shared" si="472"/>
        <v>0</v>
      </c>
      <c r="AQ316" s="28">
        <f t="shared" si="472"/>
        <v>0</v>
      </c>
      <c r="AR316" s="28">
        <f t="shared" si="472"/>
        <v>0</v>
      </c>
      <c r="AS316" s="28">
        <f t="shared" si="472"/>
        <v>0</v>
      </c>
      <c r="AT316" s="28">
        <f t="shared" si="472"/>
        <v>0</v>
      </c>
      <c r="AU316" s="28">
        <f t="shared" si="472"/>
        <v>0</v>
      </c>
      <c r="AV316" s="28">
        <f t="shared" si="473"/>
        <v>0</v>
      </c>
      <c r="AW316" s="28">
        <f t="shared" si="473"/>
        <v>0</v>
      </c>
      <c r="AX316" s="28">
        <f t="shared" si="473"/>
        <v>0</v>
      </c>
      <c r="AY316" s="28">
        <f t="shared" si="473"/>
        <v>0</v>
      </c>
      <c r="AZ316" s="28">
        <f t="shared" si="473"/>
        <v>0</v>
      </c>
      <c r="BA316" s="28">
        <f t="shared" si="473"/>
        <v>0</v>
      </c>
      <c r="BB316" s="28">
        <f t="shared" si="473"/>
        <v>0</v>
      </c>
      <c r="BC316" s="28">
        <f t="shared" si="473"/>
        <v>0</v>
      </c>
      <c r="BD316" s="28">
        <f t="shared" si="473"/>
        <v>0</v>
      </c>
      <c r="BE316" s="28">
        <f t="shared" si="473"/>
        <v>1</v>
      </c>
      <c r="BF316" s="27">
        <f t="shared" si="489"/>
        <v>1</v>
      </c>
      <c r="BG316" s="520">
        <f t="shared" si="436"/>
        <v>1.0034109224514298</v>
      </c>
      <c r="BH316" s="520">
        <f t="shared" si="482"/>
        <v>1.0065181559576057</v>
      </c>
      <c r="BI316" s="520">
        <f t="shared" si="483"/>
        <v>1.0098810214750689</v>
      </c>
      <c r="BJ316" s="520">
        <f t="shared" si="484"/>
        <v>1.0137655250471387</v>
      </c>
      <c r="BK316" s="520">
        <f t="shared" si="485"/>
        <v>1.0194247773061491</v>
      </c>
      <c r="BL316" s="520">
        <f t="shared" si="486"/>
        <v>1.0257904314168673</v>
      </c>
      <c r="BM316" s="520">
        <f t="shared" si="487"/>
        <v>1.0300520640217352</v>
      </c>
      <c r="BN316" s="521" t="str">
        <f t="shared" si="488"/>
        <v>Project</v>
      </c>
      <c r="BP316" s="3"/>
    </row>
    <row r="317" spans="1:68" hidden="1" x14ac:dyDescent="0.15">
      <c r="A317" s="12" t="s">
        <v>1097</v>
      </c>
      <c r="B317" s="13" t="s">
        <v>2401</v>
      </c>
      <c r="C317" s="13" t="s">
        <v>27</v>
      </c>
      <c r="D317" s="13" t="s">
        <v>36</v>
      </c>
      <c r="E317" s="13" t="s">
        <v>32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5">
        <v>0</v>
      </c>
      <c r="N317" s="670"/>
      <c r="O317" s="14"/>
      <c r="P317" s="15"/>
      <c r="Q317" s="15">
        <f>IF(ISTEXT('Incurred 2.5% cpi'!Q317),"",'Incurred 2.5% cpi'!Q317/'Incurred 2.5% cpi'!Q$17*Incurred!Q$17)</f>
        <v>185471.46</v>
      </c>
      <c r="R317" s="110" t="str">
        <f>IF(ISTEXT('Incurred 2.5% cpi'!R317),"",'Incurred 2.5% cpi'!R317/'Incurred 2.5% cpi'!R$17*Incurred!R$17*BG317)</f>
        <v/>
      </c>
      <c r="S317" s="102" t="str">
        <f>IF(ISTEXT('Incurred 2.5% cpi'!S317),"",'Incurred 2.5% cpi'!S317/'Incurred 2.5% cpi'!S$17*Incurred!S$17*BH317)</f>
        <v/>
      </c>
      <c r="T317" s="16" t="str">
        <f>IF(ISTEXT('Incurred 2.5% cpi'!T317),"",'Incurred 2.5% cpi'!T317/'Incurred 2.5% cpi'!T$17*Incurred!T$17*BI317)</f>
        <v/>
      </c>
      <c r="U317" s="16" t="str">
        <f>IF(ISTEXT('Incurred 2.5% cpi'!U317),"",'Incurred 2.5% cpi'!U317/'Incurred 2.5% cpi'!U$17*Incurred!U$17*BJ317)</f>
        <v/>
      </c>
      <c r="V317" s="16" t="str">
        <f>IF(ISTEXT('Incurred 2.5% cpi'!V317),"",'Incurred 2.5% cpi'!V317/'Incurred 2.5% cpi'!V$17*Incurred!V$17*BK317)</f>
        <v/>
      </c>
      <c r="W317" s="110" t="str">
        <f>IF(ISTEXT('Incurred 2.5% cpi'!W317),"",'Incurred 2.5% cpi'!W317/'Incurred 2.5% cpi'!W$17*Incurred!W$17*BL317)</f>
        <v/>
      </c>
      <c r="X317" s="102" t="str">
        <f>IF(ISTEXT('Incurred 2.5% cpi'!X317),"",'Incurred 2.5% cpi'!X317/'Incurred 2.5% cpi'!X$17*Incurred!X$17*BM317)</f>
        <v/>
      </c>
      <c r="Y317" s="80">
        <f t="shared" si="434"/>
        <v>185471.46</v>
      </c>
      <c r="Z317" s="80">
        <f t="shared" si="462"/>
        <v>185471.46</v>
      </c>
      <c r="AA317" s="566">
        <f>IF(ROUND(Y317,0)=0,0,SUMPRODUCT($F$20:$W$20,F317:W317))</f>
        <v>215090.03142833532</v>
      </c>
      <c r="AB317" s="566">
        <f t="shared" si="490"/>
        <v>185471.46</v>
      </c>
      <c r="AC317" s="567">
        <f t="shared" si="435"/>
        <v>1.1596934182128902</v>
      </c>
      <c r="AD317" s="568" t="str">
        <f t="shared" si="479"/>
        <v>2017</v>
      </c>
      <c r="AE317" s="569">
        <v>42615</v>
      </c>
      <c r="AF317" s="568">
        <v>2017</v>
      </c>
      <c r="AG317" s="569"/>
      <c r="AH317" s="566">
        <f>IF(ROUND(Y317,0)=0,0,SUMPRODUCT($F$19:$W$19,F317:W317))</f>
        <v>190108.24649999998</v>
      </c>
      <c r="AI317" s="80">
        <f t="shared" si="480"/>
        <v>185471.46</v>
      </c>
      <c r="AJ317" s="571" t="s">
        <v>0</v>
      </c>
      <c r="AK317" s="875">
        <f t="shared" si="481"/>
        <v>0</v>
      </c>
      <c r="AL317" s="28">
        <f t="shared" ref="AL317:BE317" si="491">IF($AK317=0,VLOOKUP(MID($A317,4,5),ProjectSplits,AL$23,FALSE),IF(ISNA(VLOOKUP($A317,Estimates,AL$22,FALSE)),VLOOKUP(MID($A317,4,5),ProjectSplits,AL$23,FALSE),VLOOKUP($A317,Estimates,AL$22,FALSE)))</f>
        <v>0</v>
      </c>
      <c r="AM317" s="28">
        <f t="shared" si="491"/>
        <v>0</v>
      </c>
      <c r="AN317" s="28">
        <f t="shared" si="491"/>
        <v>0</v>
      </c>
      <c r="AO317" s="28">
        <f t="shared" si="491"/>
        <v>0</v>
      </c>
      <c r="AP317" s="28">
        <f t="shared" si="491"/>
        <v>0</v>
      </c>
      <c r="AQ317" s="28">
        <f t="shared" si="491"/>
        <v>0</v>
      </c>
      <c r="AR317" s="28">
        <f t="shared" si="491"/>
        <v>0</v>
      </c>
      <c r="AS317" s="28">
        <f t="shared" si="491"/>
        <v>1</v>
      </c>
      <c r="AT317" s="28">
        <f t="shared" si="491"/>
        <v>0</v>
      </c>
      <c r="AU317" s="28">
        <f t="shared" si="491"/>
        <v>0</v>
      </c>
      <c r="AV317" s="28">
        <f t="shared" si="491"/>
        <v>0</v>
      </c>
      <c r="AW317" s="28">
        <f t="shared" si="491"/>
        <v>0</v>
      </c>
      <c r="AX317" s="28">
        <f t="shared" si="491"/>
        <v>0</v>
      </c>
      <c r="AY317" s="28">
        <f t="shared" si="491"/>
        <v>0</v>
      </c>
      <c r="AZ317" s="28">
        <f t="shared" si="491"/>
        <v>0</v>
      </c>
      <c r="BA317" s="28">
        <f t="shared" si="491"/>
        <v>0</v>
      </c>
      <c r="BB317" s="28">
        <f t="shared" si="491"/>
        <v>0</v>
      </c>
      <c r="BC317" s="28">
        <f t="shared" si="491"/>
        <v>0</v>
      </c>
      <c r="BD317" s="28">
        <f t="shared" si="491"/>
        <v>0</v>
      </c>
      <c r="BE317" s="28">
        <f t="shared" si="491"/>
        <v>0</v>
      </c>
      <c r="BF317" s="27">
        <f>SUM(AL317:BD317)</f>
        <v>1</v>
      </c>
      <c r="BG317" s="520">
        <f t="shared" si="436"/>
        <v>1.0018756098697492</v>
      </c>
      <c r="BH317" s="520">
        <f t="shared" si="482"/>
        <v>1.0035842262088148</v>
      </c>
      <c r="BI317" s="520">
        <f t="shared" si="483"/>
        <v>1.0054334103650095</v>
      </c>
      <c r="BJ317" s="520">
        <f t="shared" si="484"/>
        <v>1.007569434664183</v>
      </c>
      <c r="BK317" s="520">
        <f t="shared" si="485"/>
        <v>1.0106813639277612</v>
      </c>
      <c r="BL317" s="520">
        <f t="shared" si="486"/>
        <v>1.0141817318919957</v>
      </c>
      <c r="BM317" s="520">
        <f t="shared" si="487"/>
        <v>1.0165251332119476</v>
      </c>
      <c r="BN317" s="521" t="str">
        <f t="shared" si="488"/>
        <v>Category</v>
      </c>
      <c r="BP317" s="3"/>
    </row>
    <row r="318" spans="1:68" hidden="1" x14ac:dyDescent="0.15">
      <c r="A318" s="12" t="s">
        <v>2411</v>
      </c>
      <c r="B318" s="13" t="s">
        <v>2296</v>
      </c>
      <c r="C318" s="13" t="s">
        <v>27</v>
      </c>
      <c r="D318" s="13" t="s">
        <v>54</v>
      </c>
      <c r="E318" s="13" t="s">
        <v>112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5">
        <v>0</v>
      </c>
      <c r="N318" s="670"/>
      <c r="O318" s="14"/>
      <c r="P318" s="15"/>
      <c r="Q318" s="15" t="str">
        <f>IF(ISTEXT('Incurred 2.5% cpi'!Q318),"",'Incurred 2.5% cpi'!Q318/'Incurred 2.5% cpi'!Q$17*Incurred!Q$17)</f>
        <v/>
      </c>
      <c r="R318" s="110" t="str">
        <f>IF(ISTEXT('Incurred 2.5% cpi'!R318),"",'Incurred 2.5% cpi'!R318/'Incurred 2.5% cpi'!R$17*Incurred!R$17*BG318)</f>
        <v/>
      </c>
      <c r="S318" s="102">
        <f>IF(ISTEXT('Incurred 2.5% cpi'!S318),"",'Incurred 2.5% cpi'!S318/'Incurred 2.5% cpi'!S$17*Incurred!S$17*BH318)</f>
        <v>138269.70333076845</v>
      </c>
      <c r="T318" s="16" t="str">
        <f>IF(ISTEXT('Incurred 2.5% cpi'!T318),"",'Incurred 2.5% cpi'!T318/'Incurred 2.5% cpi'!T$17*Incurred!T$17*BI318)</f>
        <v/>
      </c>
      <c r="U318" s="16" t="str">
        <f>IF(ISTEXT('Incurred 2.5% cpi'!U318),"",'Incurred 2.5% cpi'!U318/'Incurred 2.5% cpi'!U$17*Incurred!U$17*BJ318)</f>
        <v/>
      </c>
      <c r="V318" s="16" t="str">
        <f>IF(ISTEXT('Incurred 2.5% cpi'!V318),"",'Incurred 2.5% cpi'!V318/'Incurred 2.5% cpi'!V$17*Incurred!V$17*BK318)</f>
        <v/>
      </c>
      <c r="W318" s="110" t="str">
        <f>IF(ISTEXT('Incurred 2.5% cpi'!W318),"",'Incurred 2.5% cpi'!W318/'Incurred 2.5% cpi'!W$17*Incurred!W$17*BL318)</f>
        <v/>
      </c>
      <c r="X318" s="102" t="str">
        <f>IF(ISTEXT('Incurred 2.5% cpi'!X318),"",'Incurred 2.5% cpi'!X318/'Incurred 2.5% cpi'!X$17*Incurred!X$17*BM318)</f>
        <v/>
      </c>
      <c r="Y318" s="80">
        <f t="shared" si="434"/>
        <v>138269.70333076845</v>
      </c>
      <c r="Z318" s="80">
        <f t="shared" si="462"/>
        <v>138269.70333076845</v>
      </c>
      <c r="AA318" s="566">
        <f>IF(ROUND(Y318,0)=0,0,SUMPRODUCT($F$20:$W$20,F318:W318))</f>
        <v>152623.88091939667</v>
      </c>
      <c r="AB318" s="566">
        <f t="shared" si="478"/>
        <v>138269.70333076845</v>
      </c>
      <c r="AC318" s="567">
        <f t="shared" si="435"/>
        <v>1.1038128906249998</v>
      </c>
      <c r="AD318" s="568" t="str">
        <f t="shared" si="479"/>
        <v>2019</v>
      </c>
      <c r="AE318" s="569">
        <v>43563</v>
      </c>
      <c r="AF318" s="568">
        <v>2019</v>
      </c>
      <c r="AG318" s="569"/>
      <c r="AH318" s="566">
        <f>IF(ROUND(Y318,0)=0,0,SUMPRODUCT($F$19:$W$19,F318:W318))</f>
        <v>134897.27154221313</v>
      </c>
      <c r="AI318" s="80">
        <f t="shared" si="480"/>
        <v>138269.70333076845</v>
      </c>
      <c r="AJ318" s="571" t="s">
        <v>3035</v>
      </c>
      <c r="AK318" s="875">
        <f>IF(ISNA(VLOOKUP(LEFT($A318,8),Estimates,72,FALSE)),0,VLOOKUP(LEFT($A318,8),Estimates,72,FALSE))</f>
        <v>24999.999999999996</v>
      </c>
      <c r="AL318" s="28">
        <f t="shared" ref="AL318:AU321" si="492">IF($AK318=0,VLOOKUP(MID($A318,4,5),ProjectSplits,AL$23,FALSE),IF(ISNA(VLOOKUP($A318,Estimates,AL$22,FALSE)),VLOOKUP(MID($A318,4,5),ProjectSplits,AL$23,FALSE),VLOOKUP($A318,Estimates,AL$22,FALSE)))</f>
        <v>0</v>
      </c>
      <c r="AM318" s="28">
        <f t="shared" si="492"/>
        <v>0</v>
      </c>
      <c r="AN318" s="28">
        <f t="shared" si="492"/>
        <v>0</v>
      </c>
      <c r="AO318" s="28">
        <f t="shared" si="492"/>
        <v>0</v>
      </c>
      <c r="AP318" s="28">
        <f t="shared" si="492"/>
        <v>0</v>
      </c>
      <c r="AQ318" s="28">
        <f t="shared" si="492"/>
        <v>0</v>
      </c>
      <c r="AR318" s="28">
        <f t="shared" si="492"/>
        <v>0</v>
      </c>
      <c r="AS318" s="28">
        <f t="shared" si="492"/>
        <v>0</v>
      </c>
      <c r="AT318" s="28">
        <f t="shared" si="492"/>
        <v>0</v>
      </c>
      <c r="AU318" s="28">
        <f t="shared" si="492"/>
        <v>0</v>
      </c>
      <c r="AV318" s="28">
        <f t="shared" ref="AV318:BE321" si="493">IF($AK318=0,VLOOKUP(MID($A318,4,5),ProjectSplits,AV$23,FALSE),IF(ISNA(VLOOKUP($A318,Estimates,AV$22,FALSE)),VLOOKUP(MID($A318,4,5),ProjectSplits,AV$23,FALSE),VLOOKUP($A318,Estimates,AV$22,FALSE)))</f>
        <v>0</v>
      </c>
      <c r="AW318" s="28">
        <f t="shared" si="493"/>
        <v>0</v>
      </c>
      <c r="AX318" s="28">
        <f t="shared" si="493"/>
        <v>0</v>
      </c>
      <c r="AY318" s="28">
        <f t="shared" si="493"/>
        <v>0</v>
      </c>
      <c r="AZ318" s="28">
        <f t="shared" si="493"/>
        <v>0</v>
      </c>
      <c r="BA318" s="28">
        <f t="shared" si="493"/>
        <v>1</v>
      </c>
      <c r="BB318" s="28">
        <f t="shared" si="493"/>
        <v>0</v>
      </c>
      <c r="BC318" s="28">
        <f t="shared" si="493"/>
        <v>0</v>
      </c>
      <c r="BD318" s="28">
        <f t="shared" si="493"/>
        <v>0</v>
      </c>
      <c r="BE318" s="28">
        <f t="shared" si="493"/>
        <v>0</v>
      </c>
      <c r="BF318" s="27">
        <f t="shared" ref="BF318:BF320" si="494">SUM(AL318:BD318)</f>
        <v>1</v>
      </c>
      <c r="BG318" s="520">
        <f t="shared" si="436"/>
        <v>1.0050448400218033</v>
      </c>
      <c r="BH318" s="520">
        <f t="shared" si="482"/>
        <v>1.0096405164619033</v>
      </c>
      <c r="BI318" s="520">
        <f t="shared" si="483"/>
        <v>1.014614279070704</v>
      </c>
      <c r="BJ318" s="520">
        <f t="shared" si="484"/>
        <v>1.0203595574709803</v>
      </c>
      <c r="BK318" s="520">
        <f t="shared" si="485"/>
        <v>1.0287297337784973</v>
      </c>
      <c r="BL318" s="520">
        <f t="shared" si="486"/>
        <v>1.0381446961764984</v>
      </c>
      <c r="BM318" s="520">
        <f t="shared" si="487"/>
        <v>1.0444477578934972</v>
      </c>
      <c r="BN318" s="521" t="str">
        <f t="shared" si="488"/>
        <v>Project</v>
      </c>
      <c r="BP318" s="3"/>
    </row>
    <row r="319" spans="1:68" hidden="1" x14ac:dyDescent="0.15">
      <c r="A319" s="12" t="s">
        <v>2412</v>
      </c>
      <c r="B319" s="13" t="s">
        <v>2413</v>
      </c>
      <c r="C319" s="13" t="s">
        <v>2371</v>
      </c>
      <c r="D319" s="13" t="s">
        <v>28</v>
      </c>
      <c r="E319" s="13" t="s">
        <v>29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5">
        <v>0</v>
      </c>
      <c r="N319" s="670"/>
      <c r="O319" s="14"/>
      <c r="P319" s="15"/>
      <c r="Q319" s="15">
        <f>IF(ISTEXT('Incurred 2.5% cpi'!Q319),"",'Incurred 2.5% cpi'!Q319/'Incurred 2.5% cpi'!Q$17*Incurred!Q$17)</f>
        <v>1402875.54</v>
      </c>
      <c r="R319" s="110">
        <f>IF(ISTEXT('Incurred 2.5% cpi'!R319),"",'Incurred 2.5% cpi'!R319/'Incurred 2.5% cpi'!R$17*Incurred!R$17*BG319)</f>
        <v>1048730.8432517184</v>
      </c>
      <c r="S319" s="102" t="str">
        <f>IF(ISTEXT('Incurred 2.5% cpi'!S319),"",'Incurred 2.5% cpi'!S319/'Incurred 2.5% cpi'!S$17*Incurred!S$17*BH319)</f>
        <v/>
      </c>
      <c r="T319" s="16" t="str">
        <f>IF(ISTEXT('Incurred 2.5% cpi'!T319),"",'Incurred 2.5% cpi'!T319/'Incurred 2.5% cpi'!T$17*Incurred!T$17*BI319)</f>
        <v/>
      </c>
      <c r="U319" s="16" t="str">
        <f>IF(ISTEXT('Incurred 2.5% cpi'!U319),"",'Incurred 2.5% cpi'!U319/'Incurred 2.5% cpi'!U$17*Incurred!U$17*BJ319)</f>
        <v/>
      </c>
      <c r="V319" s="16" t="str">
        <f>IF(ISTEXT('Incurred 2.5% cpi'!V319),"",'Incurred 2.5% cpi'!V319/'Incurred 2.5% cpi'!V$17*Incurred!V$17*BK319)</f>
        <v/>
      </c>
      <c r="W319" s="110" t="str">
        <f>IF(ISTEXT('Incurred 2.5% cpi'!W319),"",'Incurred 2.5% cpi'!W319/'Incurred 2.5% cpi'!W$17*Incurred!W$17*BL319)</f>
        <v/>
      </c>
      <c r="X319" s="102" t="str">
        <f>IF(ISTEXT('Incurred 2.5% cpi'!X319),"",'Incurred 2.5% cpi'!X319/'Incurred 2.5% cpi'!X$17*Incurred!X$17*BM319)</f>
        <v/>
      </c>
      <c r="Y319" s="80">
        <f t="shared" si="434"/>
        <v>2451606.3832517182</v>
      </c>
      <c r="Z319" s="80">
        <f t="shared" si="462"/>
        <v>2451606.3832517182</v>
      </c>
      <c r="AA319" s="566">
        <f>IF(ROUND(Y319,0)=0,0,SUMPRODUCT($F$20:$W$20,F319:W319))</f>
        <v>2813448.2194765587</v>
      </c>
      <c r="AB319" s="566">
        <f t="shared" si="478"/>
        <v>2486678.2717517181</v>
      </c>
      <c r="AC319" s="567">
        <f t="shared" si="435"/>
        <v>1.1314082128906247</v>
      </c>
      <c r="AD319" s="568" t="str">
        <f t="shared" si="479"/>
        <v>2018</v>
      </c>
      <c r="AE319" s="569"/>
      <c r="AF319" s="568" t="s">
        <v>3153</v>
      </c>
      <c r="AG319" s="569"/>
      <c r="AH319" s="566">
        <f>IF(ROUND(Y319,0)=0,0,SUMPRODUCT($F$19:$W$19,F319:W319))</f>
        <v>2486678.2717517186</v>
      </c>
      <c r="AI319" s="80">
        <f t="shared" si="480"/>
        <v>1048730.8432517184</v>
      </c>
      <c r="AJ319" s="571" t="s">
        <v>0</v>
      </c>
      <c r="AK319" s="875">
        <f t="shared" si="481"/>
        <v>0</v>
      </c>
      <c r="AL319" s="28">
        <f t="shared" si="492"/>
        <v>0</v>
      </c>
      <c r="AM319" s="28">
        <f t="shared" si="492"/>
        <v>4.5909214660884122E-2</v>
      </c>
      <c r="AN319" s="28">
        <f t="shared" si="492"/>
        <v>3.1340458710143203E-2</v>
      </c>
      <c r="AO319" s="28">
        <f t="shared" si="492"/>
        <v>0</v>
      </c>
      <c r="AP319" s="28">
        <f t="shared" si="492"/>
        <v>0</v>
      </c>
      <c r="AQ319" s="28">
        <f t="shared" si="492"/>
        <v>6.0728303173178009E-3</v>
      </c>
      <c r="AR319" s="28">
        <f t="shared" si="492"/>
        <v>0</v>
      </c>
      <c r="AS319" s="28">
        <f t="shared" si="492"/>
        <v>0</v>
      </c>
      <c r="AT319" s="28">
        <f t="shared" si="492"/>
        <v>0</v>
      </c>
      <c r="AU319" s="28">
        <f t="shared" si="492"/>
        <v>0.55817574703242634</v>
      </c>
      <c r="AV319" s="28">
        <f t="shared" si="493"/>
        <v>2.7160788041347264E-2</v>
      </c>
      <c r="AW319" s="28">
        <f t="shared" si="493"/>
        <v>0.18527269204316513</v>
      </c>
      <c r="AX319" s="28">
        <f t="shared" si="493"/>
        <v>2.2649759321720371E-2</v>
      </c>
      <c r="AY319" s="28">
        <f t="shared" si="493"/>
        <v>0</v>
      </c>
      <c r="AZ319" s="28">
        <f t="shared" si="493"/>
        <v>8.5019624438218755E-2</v>
      </c>
      <c r="BA319" s="28">
        <f t="shared" si="493"/>
        <v>3.8398885434777243E-2</v>
      </c>
      <c r="BB319" s="28">
        <f t="shared" si="493"/>
        <v>0</v>
      </c>
      <c r="BC319" s="28">
        <f t="shared" si="493"/>
        <v>0</v>
      </c>
      <c r="BD319" s="28">
        <f t="shared" si="493"/>
        <v>0</v>
      </c>
      <c r="BE319" s="28">
        <f t="shared" si="493"/>
        <v>0</v>
      </c>
      <c r="BF319" s="27">
        <f t="shared" si="494"/>
        <v>1.0000000000000002</v>
      </c>
      <c r="BG319" s="520">
        <f t="shared" si="436"/>
        <v>1.0030444840366091</v>
      </c>
      <c r="BH319" s="520">
        <f t="shared" si="482"/>
        <v>1.0058179046998681</v>
      </c>
      <c r="BI319" s="520">
        <f t="shared" si="483"/>
        <v>1.0088194946014175</v>
      </c>
      <c r="BJ319" s="520">
        <f t="shared" si="484"/>
        <v>1.0122866825201464</v>
      </c>
      <c r="BK319" s="520">
        <f t="shared" si="485"/>
        <v>1.0173379563051834</v>
      </c>
      <c r="BL319" s="520">
        <f t="shared" si="486"/>
        <v>1.023019742566414</v>
      </c>
      <c r="BM319" s="520">
        <f t="shared" si="487"/>
        <v>1.026823544212498</v>
      </c>
      <c r="BN319" s="521" t="str">
        <f t="shared" si="488"/>
        <v>Category</v>
      </c>
      <c r="BP319" s="3"/>
    </row>
    <row r="320" spans="1:68" hidden="1" x14ac:dyDescent="0.15">
      <c r="A320" s="12" t="s">
        <v>2414</v>
      </c>
      <c r="B320" s="13" t="s">
        <v>2415</v>
      </c>
      <c r="C320" s="13" t="s">
        <v>2371</v>
      </c>
      <c r="D320" s="13" t="s">
        <v>28</v>
      </c>
      <c r="E320" s="13" t="s">
        <v>29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5">
        <v>0</v>
      </c>
      <c r="N320" s="670"/>
      <c r="O320" s="14"/>
      <c r="P320" s="15"/>
      <c r="Q320" s="15">
        <f>IF(ISTEXT('Incurred 2.5% cpi'!Q320),"",'Incurred 2.5% cpi'!Q320/'Incurred 2.5% cpi'!Q$17*Incurred!Q$17)</f>
        <v>110928.9</v>
      </c>
      <c r="R320" s="110">
        <f>IF(ISTEXT('Incurred 2.5% cpi'!R320),"",'Incurred 2.5% cpi'!R320/'Incurred 2.5% cpi'!R$17*Incurred!R$17*BG320)</f>
        <v>398209.81366369047</v>
      </c>
      <c r="S320" s="102" t="str">
        <f>IF(ISTEXT('Incurred 2.5% cpi'!S320),"",'Incurred 2.5% cpi'!S320/'Incurred 2.5% cpi'!S$17*Incurred!S$17*BH320)</f>
        <v/>
      </c>
      <c r="T320" s="16" t="str">
        <f>IF(ISTEXT('Incurred 2.5% cpi'!T320),"",'Incurred 2.5% cpi'!T320/'Incurred 2.5% cpi'!T$17*Incurred!T$17*BI320)</f>
        <v/>
      </c>
      <c r="U320" s="16" t="str">
        <f>IF(ISTEXT('Incurred 2.5% cpi'!U320),"",'Incurred 2.5% cpi'!U320/'Incurred 2.5% cpi'!U$17*Incurred!U$17*BJ320)</f>
        <v/>
      </c>
      <c r="V320" s="16" t="str">
        <f>IF(ISTEXT('Incurred 2.5% cpi'!V320),"",'Incurred 2.5% cpi'!V320/'Incurred 2.5% cpi'!V$17*Incurred!V$17*BK320)</f>
        <v/>
      </c>
      <c r="W320" s="110" t="str">
        <f>IF(ISTEXT('Incurred 2.5% cpi'!W320),"",'Incurred 2.5% cpi'!W320/'Incurred 2.5% cpi'!W$17*Incurred!W$17*BL320)</f>
        <v/>
      </c>
      <c r="X320" s="102" t="str">
        <f>IF(ISTEXT('Incurred 2.5% cpi'!X320),"",'Incurred 2.5% cpi'!X320/'Incurred 2.5% cpi'!X$17*Incurred!X$17*BM320)</f>
        <v/>
      </c>
      <c r="Y320" s="80">
        <f t="shared" si="434"/>
        <v>509138.71366369049</v>
      </c>
      <c r="Z320" s="80">
        <f t="shared" si="462"/>
        <v>509138.71366369049</v>
      </c>
      <c r="AA320" s="566">
        <f>IF(ROUND(Y320,0)=0,0,SUMPRODUCT($F$20:$W$20,F320:W320))</f>
        <v>579181.36885234062</v>
      </c>
      <c r="AB320" s="566">
        <f t="shared" si="478"/>
        <v>511911.93616369052</v>
      </c>
      <c r="AC320" s="567">
        <f t="shared" si="435"/>
        <v>1.1314082128906247</v>
      </c>
      <c r="AD320" s="568" t="str">
        <f t="shared" si="479"/>
        <v>2018</v>
      </c>
      <c r="AE320" s="569"/>
      <c r="AF320" s="568" t="s">
        <v>3153</v>
      </c>
      <c r="AG320" s="569"/>
      <c r="AH320" s="566">
        <f>IF(ROUND(Y320,0)=0,0,SUMPRODUCT($F$19:$W$19,F320:W320))</f>
        <v>511911.93616369047</v>
      </c>
      <c r="AI320" s="80">
        <f t="shared" si="480"/>
        <v>398209.81366369047</v>
      </c>
      <c r="AJ320" s="571" t="s">
        <v>0</v>
      </c>
      <c r="AK320" s="875">
        <f t="shared" si="481"/>
        <v>0</v>
      </c>
      <c r="AL320" s="28">
        <f t="shared" si="492"/>
        <v>0</v>
      </c>
      <c r="AM320" s="28">
        <f t="shared" si="492"/>
        <v>0</v>
      </c>
      <c r="AN320" s="28">
        <f t="shared" si="492"/>
        <v>0</v>
      </c>
      <c r="AO320" s="28">
        <f t="shared" si="492"/>
        <v>0</v>
      </c>
      <c r="AP320" s="28">
        <f t="shared" si="492"/>
        <v>0</v>
      </c>
      <c r="AQ320" s="28">
        <f t="shared" si="492"/>
        <v>0</v>
      </c>
      <c r="AR320" s="28">
        <f t="shared" si="492"/>
        <v>0</v>
      </c>
      <c r="AS320" s="28">
        <f t="shared" si="492"/>
        <v>0</v>
      </c>
      <c r="AT320" s="28">
        <f t="shared" si="492"/>
        <v>0</v>
      </c>
      <c r="AU320" s="28">
        <f t="shared" si="492"/>
        <v>0.1</v>
      </c>
      <c r="AV320" s="28">
        <f t="shared" si="493"/>
        <v>0</v>
      </c>
      <c r="AW320" s="28">
        <f t="shared" si="493"/>
        <v>0</v>
      </c>
      <c r="AX320" s="28">
        <f t="shared" si="493"/>
        <v>0</v>
      </c>
      <c r="AY320" s="28">
        <f t="shared" si="493"/>
        <v>0</v>
      </c>
      <c r="AZ320" s="28">
        <f t="shared" si="493"/>
        <v>0.1</v>
      </c>
      <c r="BA320" s="28">
        <f t="shared" si="493"/>
        <v>0.8</v>
      </c>
      <c r="BB320" s="28">
        <f t="shared" si="493"/>
        <v>0</v>
      </c>
      <c r="BC320" s="28">
        <f t="shared" si="493"/>
        <v>0</v>
      </c>
      <c r="BD320" s="28">
        <f t="shared" si="493"/>
        <v>0</v>
      </c>
      <c r="BE320" s="28">
        <f t="shared" si="493"/>
        <v>0</v>
      </c>
      <c r="BF320" s="27">
        <f t="shared" si="494"/>
        <v>1</v>
      </c>
      <c r="BG320" s="520">
        <f t="shared" si="436"/>
        <v>1.0030444840366091</v>
      </c>
      <c r="BH320" s="520">
        <f t="shared" si="482"/>
        <v>1.0058179046998681</v>
      </c>
      <c r="BI320" s="520">
        <f t="shared" si="483"/>
        <v>1.0088194946014175</v>
      </c>
      <c r="BJ320" s="520">
        <f t="shared" si="484"/>
        <v>1.0122866825201464</v>
      </c>
      <c r="BK320" s="520">
        <f t="shared" si="485"/>
        <v>1.0173379563051834</v>
      </c>
      <c r="BL320" s="520">
        <f t="shared" si="486"/>
        <v>1.023019742566414</v>
      </c>
      <c r="BM320" s="520">
        <f t="shared" si="487"/>
        <v>1.026823544212498</v>
      </c>
      <c r="BN320" s="521" t="str">
        <f t="shared" si="488"/>
        <v>Category</v>
      </c>
      <c r="BP320" s="3"/>
    </row>
    <row r="321" spans="1:68" hidden="1" x14ac:dyDescent="0.15">
      <c r="A321" s="12" t="s">
        <v>2416</v>
      </c>
      <c r="B321" s="13" t="s">
        <v>2417</v>
      </c>
      <c r="C321" s="13" t="s">
        <v>27</v>
      </c>
      <c r="D321" s="13" t="s">
        <v>28</v>
      </c>
      <c r="E321" s="13" t="s">
        <v>112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5">
        <v>0</v>
      </c>
      <c r="N321" s="670"/>
      <c r="O321" s="14"/>
      <c r="P321" s="15"/>
      <c r="Q321" s="15" t="str">
        <f>IF(ISTEXT('Incurred 2.5% cpi'!Q321),"",'Incurred 2.5% cpi'!Q321/'Incurred 2.5% cpi'!Q$17*Incurred!Q$17)</f>
        <v/>
      </c>
      <c r="R321" s="110">
        <f>IF(ISTEXT('Incurred 2.5% cpi'!R321),"",'Incurred 2.5% cpi'!R321/'Incurred 2.5% cpi'!R$17*Incurred!R$17*BG321)</f>
        <v>26426.390524435621</v>
      </c>
      <c r="S321" s="102">
        <f>IF(ISTEXT('Incurred 2.5% cpi'!S321),"",'Incurred 2.5% cpi'!S321/'Incurred 2.5% cpi'!S$17*Incurred!S$17*BH321)</f>
        <v>584.72218071822135</v>
      </c>
      <c r="T321" s="16" t="str">
        <f>IF(ISTEXT('Incurred 2.5% cpi'!T321),"",'Incurred 2.5% cpi'!T321/'Incurred 2.5% cpi'!T$17*Incurred!T$17*BI321)</f>
        <v/>
      </c>
      <c r="U321" s="16" t="str">
        <f>IF(ISTEXT('Incurred 2.5% cpi'!U321),"",'Incurred 2.5% cpi'!U321/'Incurred 2.5% cpi'!U$17*Incurred!U$17*BJ321)</f>
        <v/>
      </c>
      <c r="V321" s="16" t="str">
        <f>IF(ISTEXT('Incurred 2.5% cpi'!V321),"",'Incurred 2.5% cpi'!V321/'Incurred 2.5% cpi'!V$17*Incurred!V$17*BK321)</f>
        <v/>
      </c>
      <c r="W321" s="110" t="str">
        <f>IF(ISTEXT('Incurred 2.5% cpi'!W321),"",'Incurred 2.5% cpi'!W321/'Incurred 2.5% cpi'!W$17*Incurred!W$17*BL321)</f>
        <v/>
      </c>
      <c r="X321" s="102" t="str">
        <f>IF(ISTEXT('Incurred 2.5% cpi'!X321),"",'Incurred 2.5% cpi'!X321/'Incurred 2.5% cpi'!X$17*Incurred!X$17*BM321)</f>
        <v/>
      </c>
      <c r="Y321" s="80">
        <f t="shared" si="434"/>
        <v>27011.112705153842</v>
      </c>
      <c r="Z321" s="80">
        <f t="shared" si="462"/>
        <v>27011.112705153842</v>
      </c>
      <c r="AA321" s="566">
        <f>IF(ROUND(Y321,0)=0,0,SUMPRODUCT($F$20:$W$20,F321:W321))</f>
        <v>30544.459156912577</v>
      </c>
      <c r="AB321" s="566">
        <f t="shared" ref="AB321" si="495">IF(AC321="","",AA321/AC321)</f>
        <v>26996.851188550958</v>
      </c>
      <c r="AC321" s="567">
        <f t="shared" si="435"/>
        <v>1.1314082128906247</v>
      </c>
      <c r="AD321" s="568" t="str">
        <f t="shared" si="479"/>
        <v>2019</v>
      </c>
      <c r="AE321" s="569">
        <v>43221</v>
      </c>
      <c r="AF321" s="568">
        <v>2018</v>
      </c>
      <c r="AG321" s="569"/>
      <c r="AH321" s="566">
        <f>IF(ROUND(Y321,0)=0,0,SUMPRODUCT($F$19:$W$19,F321:W321))</f>
        <v>26996.851188550958</v>
      </c>
      <c r="AI321" s="80">
        <f t="shared" si="480"/>
        <v>584.72218071822135</v>
      </c>
      <c r="AJ321" s="571" t="s">
        <v>0</v>
      </c>
      <c r="AK321" s="875">
        <f t="shared" ref="AK321:AK326" si="496">IF(ISNA(VLOOKUP(LEFT($A321,8),Estimates,72,FALSE)),0,VLOOKUP(LEFT($A321,8),Estimates,72,FALSE))</f>
        <v>334426.19891999988</v>
      </c>
      <c r="AL321" s="28">
        <f t="shared" si="492"/>
        <v>0</v>
      </c>
      <c r="AM321" s="28">
        <f t="shared" si="492"/>
        <v>0</v>
      </c>
      <c r="AN321" s="28">
        <f t="shared" si="492"/>
        <v>0</v>
      </c>
      <c r="AO321" s="28">
        <f t="shared" si="492"/>
        <v>0</v>
      </c>
      <c r="AP321" s="28">
        <f t="shared" si="492"/>
        <v>0</v>
      </c>
      <c r="AQ321" s="28">
        <f t="shared" si="492"/>
        <v>0</v>
      </c>
      <c r="AR321" s="28">
        <f t="shared" si="492"/>
        <v>0</v>
      </c>
      <c r="AS321" s="28">
        <f t="shared" si="492"/>
        <v>0</v>
      </c>
      <c r="AT321" s="28">
        <f t="shared" si="492"/>
        <v>0</v>
      </c>
      <c r="AU321" s="28">
        <f t="shared" si="492"/>
        <v>0.93649720330350006</v>
      </c>
      <c r="AV321" s="28">
        <f t="shared" si="493"/>
        <v>0</v>
      </c>
      <c r="AW321" s="28">
        <f t="shared" si="493"/>
        <v>6.3502796696499927E-2</v>
      </c>
      <c r="AX321" s="28">
        <f t="shared" si="493"/>
        <v>0</v>
      </c>
      <c r="AY321" s="28">
        <f t="shared" si="493"/>
        <v>0</v>
      </c>
      <c r="AZ321" s="28">
        <f t="shared" si="493"/>
        <v>0</v>
      </c>
      <c r="BA321" s="28">
        <f t="shared" si="493"/>
        <v>0</v>
      </c>
      <c r="BB321" s="28">
        <f t="shared" si="493"/>
        <v>0</v>
      </c>
      <c r="BC321" s="28">
        <f t="shared" si="493"/>
        <v>0</v>
      </c>
      <c r="BD321" s="28">
        <f t="shared" si="493"/>
        <v>0</v>
      </c>
      <c r="BE321" s="28">
        <f t="shared" si="493"/>
        <v>0</v>
      </c>
      <c r="BF321" s="27">
        <f t="shared" ref="BF321" si="497">SUM(AL321:BD321)</f>
        <v>1</v>
      </c>
      <c r="BG321" s="520">
        <f t="shared" si="436"/>
        <v>1.0030444840366091</v>
      </c>
      <c r="BH321" s="520">
        <f t="shared" si="482"/>
        <v>1.0058179046998681</v>
      </c>
      <c r="BI321" s="520">
        <f t="shared" si="483"/>
        <v>1.0088194946014175</v>
      </c>
      <c r="BJ321" s="520">
        <f t="shared" si="484"/>
        <v>1.0122866825201464</v>
      </c>
      <c r="BK321" s="520">
        <f t="shared" si="485"/>
        <v>1.0173379563051834</v>
      </c>
      <c r="BL321" s="520">
        <f t="shared" si="486"/>
        <v>1.023019742566414</v>
      </c>
      <c r="BM321" s="520">
        <f t="shared" si="487"/>
        <v>1.026823544212498</v>
      </c>
      <c r="BN321" s="521" t="str">
        <f t="shared" si="488"/>
        <v>Category</v>
      </c>
      <c r="BP321" s="3"/>
    </row>
    <row r="322" spans="1:68" hidden="1" x14ac:dyDescent="0.15">
      <c r="A322" s="12" t="s">
        <v>2419</v>
      </c>
      <c r="B322" s="13" t="s">
        <v>2420</v>
      </c>
      <c r="C322" s="13" t="s">
        <v>27</v>
      </c>
      <c r="D322" s="13" t="s">
        <v>40</v>
      </c>
      <c r="E322" s="13" t="s">
        <v>112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5">
        <v>0</v>
      </c>
      <c r="N322" s="670"/>
      <c r="O322" s="14"/>
      <c r="P322" s="15"/>
      <c r="Q322" s="15" t="str">
        <f>IF(ISTEXT('Incurred 2.5% cpi'!Q322),"",'Incurred 2.5% cpi'!Q322/'Incurred 2.5% cpi'!Q$17*Incurred!Q$17)</f>
        <v/>
      </c>
      <c r="R322" s="110" t="str">
        <f>IF(ISTEXT('Incurred 2.5% cpi'!R322),"",'Incurred 2.5% cpi'!R322/'Incurred 2.5% cpi'!R$17*Incurred!R$17*BG322)</f>
        <v/>
      </c>
      <c r="S322" s="102">
        <f>IF(ISTEXT('Incurred 2.5% cpi'!S322),"",'Incurred 2.5% cpi'!S322/'Incurred 2.5% cpi'!S$17*Incurred!S$17*BH322)</f>
        <v>20456.383356597355</v>
      </c>
      <c r="T322" s="16" t="str">
        <f>IF(ISTEXT('Incurred 2.5% cpi'!T322),"",'Incurred 2.5% cpi'!T322/'Incurred 2.5% cpi'!T$17*Incurred!T$17*BI322)</f>
        <v/>
      </c>
      <c r="U322" s="16">
        <f>IF(ISTEXT('Incurred 2.5% cpi'!U322),"",'Incurred 2.5% cpi'!U322/'Incurred 2.5% cpi'!U$17*Incurred!U$17*BJ322)</f>
        <v>140156.23658971122</v>
      </c>
      <c r="V322" s="16">
        <f>IF(ISTEXT('Incurred 2.5% cpi'!V322),"",'Incurred 2.5% cpi'!V322/'Incurred 2.5% cpi'!V$17*Incurred!V$17*BK322)</f>
        <v>1376849.6000700854</v>
      </c>
      <c r="W322" s="110">
        <f>IF(ISTEXT('Incurred 2.5% cpi'!W322),"",'Incurred 2.5% cpi'!W322/'Incurred 2.5% cpi'!W$17*Incurred!W$17*BL322)</f>
        <v>1307853.9489850539</v>
      </c>
      <c r="X322" s="102" t="str">
        <f>IF(ISTEXT('Incurred 2.5% cpi'!X322),"",'Incurred 2.5% cpi'!X322/'Incurred 2.5% cpi'!X$17*Incurred!X$17*BM322)</f>
        <v/>
      </c>
      <c r="Y322" s="80">
        <f t="shared" si="434"/>
        <v>2845316.169001448</v>
      </c>
      <c r="Z322" s="80">
        <f t="shared" si="462"/>
        <v>2845316.169001448</v>
      </c>
      <c r="AA322" s="566">
        <f t="shared" ref="AA322:AA333" si="498">IF(ROUND(Y322,0)=0,0,SUMPRODUCT($F$20:$W$20,F322:W322))</f>
        <v>2888956.4547685357</v>
      </c>
      <c r="AB322" s="566">
        <f t="shared" si="478"/>
        <v>2888956.4547685357</v>
      </c>
      <c r="AC322" s="567">
        <f t="shared" ref="AC322:AC331" si="499">IF(AF322="","",IF(AF322&lt;AD322,INDEX($F$20:$W$20,1,MATCH(TEXT(AF322,"000"),$F$24:$W$24)),INDEX($F$20:$W$20,1,MATCH(AD322,$F$24:$W$24))))</f>
        <v>1</v>
      </c>
      <c r="AD322" s="568" t="str">
        <f t="shared" si="479"/>
        <v>2023</v>
      </c>
      <c r="AE322" s="569">
        <v>44951</v>
      </c>
      <c r="AF322" s="568">
        <v>2023</v>
      </c>
      <c r="AG322" s="569"/>
      <c r="AH322" s="566">
        <f t="shared" ref="AH322:AH333" si="500">IF(ROUND(Y322,0)=0,0,SUMPRODUCT($F$19:$W$19,F322:W322))</f>
        <v>2553416.5492643602</v>
      </c>
      <c r="AI322" s="80">
        <f t="shared" si="480"/>
        <v>1307853.9489850539</v>
      </c>
      <c r="AJ322" s="571" t="s">
        <v>3035</v>
      </c>
      <c r="AK322" s="875">
        <f t="shared" si="496"/>
        <v>1459312.3068159986</v>
      </c>
      <c r="AL322" s="28">
        <f t="shared" ref="AL322:AU333" si="501">IF($AK322=0,VLOOKUP(MID($A322,4,5),ProjectSplits,AL$23,FALSE),IF(ISNA(VLOOKUP($A322,Estimates,AL$22,FALSE)),VLOOKUP(MID($A322,4,5),ProjectSplits,AL$23,FALSE),VLOOKUP($A322,Estimates,AL$22,FALSE)))</f>
        <v>0</v>
      </c>
      <c r="AM322" s="28">
        <f t="shared" si="501"/>
        <v>0</v>
      </c>
      <c r="AN322" s="28">
        <f t="shared" si="501"/>
        <v>0</v>
      </c>
      <c r="AO322" s="28">
        <f t="shared" si="501"/>
        <v>0</v>
      </c>
      <c r="AP322" s="28">
        <f t="shared" si="501"/>
        <v>0</v>
      </c>
      <c r="AQ322" s="28">
        <f t="shared" si="501"/>
        <v>0</v>
      </c>
      <c r="AR322" s="28">
        <f t="shared" si="501"/>
        <v>0</v>
      </c>
      <c r="AS322" s="28">
        <f t="shared" si="501"/>
        <v>0</v>
      </c>
      <c r="AT322" s="28">
        <f t="shared" si="501"/>
        <v>0</v>
      </c>
      <c r="AU322" s="28">
        <f t="shared" si="501"/>
        <v>1</v>
      </c>
      <c r="AV322" s="28">
        <f t="shared" ref="AV322:BE333" si="502">IF($AK322=0,VLOOKUP(MID($A322,4,5),ProjectSplits,AV$23,FALSE),IF(ISNA(VLOOKUP($A322,Estimates,AV$22,FALSE)),VLOOKUP(MID($A322,4,5),ProjectSplits,AV$23,FALSE),VLOOKUP($A322,Estimates,AV$22,FALSE)))</f>
        <v>0</v>
      </c>
      <c r="AW322" s="28">
        <f t="shared" si="502"/>
        <v>0</v>
      </c>
      <c r="AX322" s="28">
        <f t="shared" si="502"/>
        <v>0</v>
      </c>
      <c r="AY322" s="28">
        <f t="shared" si="502"/>
        <v>0</v>
      </c>
      <c r="AZ322" s="28">
        <f t="shared" si="502"/>
        <v>0</v>
      </c>
      <c r="BA322" s="28">
        <f t="shared" si="502"/>
        <v>0</v>
      </c>
      <c r="BB322" s="28">
        <f t="shared" si="502"/>
        <v>0</v>
      </c>
      <c r="BC322" s="28">
        <f t="shared" si="502"/>
        <v>0</v>
      </c>
      <c r="BD322" s="28">
        <f t="shared" si="502"/>
        <v>0</v>
      </c>
      <c r="BE322" s="28">
        <f t="shared" si="502"/>
        <v>0</v>
      </c>
      <c r="BF322" s="27">
        <f t="shared" ref="BF322:BF331" si="503">SUM(AL322:BD322)</f>
        <v>1</v>
      </c>
      <c r="BG322" s="520">
        <f t="shared" ref="BG322:BG349" si="504">1+IF(ISNA(VLOOKUP($A322,ProjLabEsc,7,FALSE)),VLOOKUP(D322,CatLabEsc,4,FALSE),VLOOKUP(A322,ProjLabEsc,7,FALSE))*Labesc18*LabIn</f>
        <v>1.0029362901212093</v>
      </c>
      <c r="BH322" s="520">
        <f t="shared" si="482"/>
        <v>1.0056111498339098</v>
      </c>
      <c r="BI322" s="520">
        <f t="shared" si="483"/>
        <v>1.0085060701783295</v>
      </c>
      <c r="BJ322" s="520">
        <f t="shared" si="484"/>
        <v>1.0118500422641477</v>
      </c>
      <c r="BK322" s="520">
        <f t="shared" si="485"/>
        <v>1.0167218054713696</v>
      </c>
      <c r="BL322" s="520">
        <f t="shared" si="486"/>
        <v>1.022201674200869</v>
      </c>
      <c r="BM322" s="520">
        <f t="shared" si="487"/>
        <v>1.0258702975413532</v>
      </c>
      <c r="BN322" s="521" t="str">
        <f t="shared" si="488"/>
        <v>Project</v>
      </c>
      <c r="BP322" s="3"/>
    </row>
    <row r="323" spans="1:68" hidden="1" x14ac:dyDescent="0.15">
      <c r="A323" s="78" t="s">
        <v>2421</v>
      </c>
      <c r="B323" s="13" t="s">
        <v>2422</v>
      </c>
      <c r="C323" s="13" t="s">
        <v>27</v>
      </c>
      <c r="D323" s="13" t="s">
        <v>36</v>
      </c>
      <c r="E323" s="13" t="s">
        <v>29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5">
        <v>0</v>
      </c>
      <c r="N323" s="670"/>
      <c r="O323" s="14"/>
      <c r="P323" s="15"/>
      <c r="Q323" s="15">
        <f>IF(ISTEXT('Incurred 2.5% cpi'!Q323),"",'Incurred 2.5% cpi'!Q323/'Incurred 2.5% cpi'!Q$17*Incurred!Q$17)</f>
        <v>57915.38</v>
      </c>
      <c r="R323" s="110">
        <f>IF(ISTEXT('Incurred 2.5% cpi'!R323),"",'Incurred 2.5% cpi'!R323/'Incurred 2.5% cpi'!R$17*Incurred!R$17*BG323)</f>
        <v>1936654.9689461312</v>
      </c>
      <c r="S323" s="102" t="str">
        <f>IF(ISTEXT('Incurred 2.5% cpi'!S323),"",'Incurred 2.5% cpi'!S323/'Incurred 2.5% cpi'!S$17*Incurred!S$17*BH323)</f>
        <v/>
      </c>
      <c r="T323" s="16" t="str">
        <f>IF(ISTEXT('Incurred 2.5% cpi'!T323),"",'Incurred 2.5% cpi'!T323/'Incurred 2.5% cpi'!T$17*Incurred!T$17*BI323)</f>
        <v/>
      </c>
      <c r="U323" s="16" t="str">
        <f>IF(ISTEXT('Incurred 2.5% cpi'!U323),"",'Incurred 2.5% cpi'!U323/'Incurred 2.5% cpi'!U$17*Incurred!U$17*BJ323)</f>
        <v/>
      </c>
      <c r="V323" s="16" t="str">
        <f>IF(ISTEXT('Incurred 2.5% cpi'!V323),"",'Incurred 2.5% cpi'!V323/'Incurred 2.5% cpi'!V$17*Incurred!V$17*BK323)</f>
        <v/>
      </c>
      <c r="W323" s="110" t="str">
        <f>IF(ISTEXT('Incurred 2.5% cpi'!W323),"",'Incurred 2.5% cpi'!W323/'Incurred 2.5% cpi'!W$17*Incurred!W$17*BL323)</f>
        <v/>
      </c>
      <c r="X323" s="102" t="str">
        <f>IF(ISTEXT('Incurred 2.5% cpi'!X323),"",'Incurred 2.5% cpi'!X323/'Incurred 2.5% cpi'!X$17*Incurred!X$17*BM323)</f>
        <v/>
      </c>
      <c r="Y323" s="80">
        <f t="shared" si="434"/>
        <v>1994570.3489461311</v>
      </c>
      <c r="Z323" s="80">
        <f t="shared" si="462"/>
        <v>1994570.3489461311</v>
      </c>
      <c r="AA323" s="566">
        <f t="shared" si="498"/>
        <v>2258311.4224003893</v>
      </c>
      <c r="AB323" s="566">
        <f t="shared" si="478"/>
        <v>1996018.2334461315</v>
      </c>
      <c r="AC323" s="567">
        <f t="shared" si="499"/>
        <v>1.1314082128906247</v>
      </c>
      <c r="AD323" s="568" t="str">
        <f t="shared" si="479"/>
        <v>2018</v>
      </c>
      <c r="AE323" s="569">
        <v>43178</v>
      </c>
      <c r="AF323" s="568">
        <v>2018</v>
      </c>
      <c r="AG323" s="569"/>
      <c r="AH323" s="566">
        <f t="shared" si="500"/>
        <v>1996018.2334461312</v>
      </c>
      <c r="AI323" s="80">
        <f t="shared" si="480"/>
        <v>1936654.9689461312</v>
      </c>
      <c r="AJ323" s="571" t="s">
        <v>0</v>
      </c>
      <c r="AK323" s="875">
        <f t="shared" si="496"/>
        <v>3398556.7399999956</v>
      </c>
      <c r="AL323" s="28">
        <f t="shared" si="501"/>
        <v>0</v>
      </c>
      <c r="AM323" s="28">
        <f t="shared" si="501"/>
        <v>0</v>
      </c>
      <c r="AN323" s="28">
        <f t="shared" si="501"/>
        <v>0</v>
      </c>
      <c r="AO323" s="28">
        <f t="shared" si="501"/>
        <v>0</v>
      </c>
      <c r="AP323" s="28">
        <f t="shared" si="501"/>
        <v>0</v>
      </c>
      <c r="AQ323" s="28">
        <f t="shared" si="501"/>
        <v>0</v>
      </c>
      <c r="AR323" s="28">
        <f t="shared" si="501"/>
        <v>0</v>
      </c>
      <c r="AS323" s="28">
        <f t="shared" si="501"/>
        <v>1</v>
      </c>
      <c r="AT323" s="28">
        <f t="shared" si="501"/>
        <v>0</v>
      </c>
      <c r="AU323" s="28">
        <f t="shared" si="501"/>
        <v>0</v>
      </c>
      <c r="AV323" s="28">
        <f t="shared" si="502"/>
        <v>0</v>
      </c>
      <c r="AW323" s="28">
        <f t="shared" si="502"/>
        <v>0</v>
      </c>
      <c r="AX323" s="28">
        <f t="shared" si="502"/>
        <v>0</v>
      </c>
      <c r="AY323" s="28">
        <f t="shared" si="502"/>
        <v>0</v>
      </c>
      <c r="AZ323" s="28">
        <f t="shared" si="502"/>
        <v>0</v>
      </c>
      <c r="BA323" s="28">
        <f t="shared" si="502"/>
        <v>0</v>
      </c>
      <c r="BB323" s="28">
        <f t="shared" si="502"/>
        <v>0</v>
      </c>
      <c r="BC323" s="28">
        <f t="shared" si="502"/>
        <v>0</v>
      </c>
      <c r="BD323" s="28">
        <f t="shared" si="502"/>
        <v>0</v>
      </c>
      <c r="BE323" s="28">
        <f t="shared" si="502"/>
        <v>0</v>
      </c>
      <c r="BF323" s="27">
        <f t="shared" si="503"/>
        <v>1</v>
      </c>
      <c r="BG323" s="520">
        <f t="shared" si="504"/>
        <v>1.0018756098697492</v>
      </c>
      <c r="BH323" s="520">
        <f t="shared" si="482"/>
        <v>1.0035842262088148</v>
      </c>
      <c r="BI323" s="520">
        <f t="shared" si="483"/>
        <v>1.0054334103650095</v>
      </c>
      <c r="BJ323" s="520">
        <f t="shared" si="484"/>
        <v>1.007569434664183</v>
      </c>
      <c r="BK323" s="520">
        <f t="shared" si="485"/>
        <v>1.0106813639277612</v>
      </c>
      <c r="BL323" s="520">
        <f t="shared" si="486"/>
        <v>1.0141817318919957</v>
      </c>
      <c r="BM323" s="520">
        <f t="shared" si="487"/>
        <v>1.0165251332119476</v>
      </c>
      <c r="BN323" s="521" t="str">
        <f t="shared" si="488"/>
        <v>Category</v>
      </c>
      <c r="BP323" s="3"/>
    </row>
    <row r="324" spans="1:68" hidden="1" x14ac:dyDescent="0.15">
      <c r="A324" s="78" t="s">
        <v>2423</v>
      </c>
      <c r="B324" s="13" t="s">
        <v>2424</v>
      </c>
      <c r="C324" s="13" t="s">
        <v>27</v>
      </c>
      <c r="D324" s="13" t="s">
        <v>40</v>
      </c>
      <c r="E324" s="13" t="s">
        <v>29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5">
        <v>0</v>
      </c>
      <c r="N324" s="670"/>
      <c r="O324" s="14"/>
      <c r="P324" s="15"/>
      <c r="Q324" s="15">
        <f>IF(ISTEXT('Incurred 2.5% cpi'!Q324),"",'Incurred 2.5% cpi'!Q324/'Incurred 2.5% cpi'!Q$17*Incurred!Q$17)</f>
        <v>126987.51</v>
      </c>
      <c r="R324" s="110">
        <f>IF(ISTEXT('Incurred 2.5% cpi'!R324),"",'Incurred 2.5% cpi'!R324/'Incurred 2.5% cpi'!R$17*Incurred!R$17*BG324)</f>
        <v>638480.2871535751</v>
      </c>
      <c r="S324" s="102" t="str">
        <f>IF(ISTEXT('Incurred 2.5% cpi'!S324),"",'Incurred 2.5% cpi'!S324/'Incurred 2.5% cpi'!S$17*Incurred!S$17*BH324)</f>
        <v/>
      </c>
      <c r="T324" s="16" t="str">
        <f>IF(ISTEXT('Incurred 2.5% cpi'!T324),"",'Incurred 2.5% cpi'!T324/'Incurred 2.5% cpi'!T$17*Incurred!T$17*BI324)</f>
        <v/>
      </c>
      <c r="U324" s="16" t="str">
        <f>IF(ISTEXT('Incurred 2.5% cpi'!U324),"",'Incurred 2.5% cpi'!U324/'Incurred 2.5% cpi'!U$17*Incurred!U$17*BJ324)</f>
        <v/>
      </c>
      <c r="V324" s="16" t="str">
        <f>IF(ISTEXT('Incurred 2.5% cpi'!V324),"",'Incurred 2.5% cpi'!V324/'Incurred 2.5% cpi'!V$17*Incurred!V$17*BK324)</f>
        <v/>
      </c>
      <c r="W324" s="110" t="str">
        <f>IF(ISTEXT('Incurred 2.5% cpi'!W324),"",'Incurred 2.5% cpi'!W324/'Incurred 2.5% cpi'!W$17*Incurred!W$17*BL324)</f>
        <v/>
      </c>
      <c r="X324" s="102" t="str">
        <f>IF(ISTEXT('Incurred 2.5% cpi'!X324),"",'Incurred 2.5% cpi'!X324/'Incurred 2.5% cpi'!X$17*Incurred!X$17*BM324)</f>
        <v/>
      </c>
      <c r="Y324" s="80">
        <f t="shared" si="434"/>
        <v>765467.79715357511</v>
      </c>
      <c r="Z324" s="80">
        <f t="shared" si="462"/>
        <v>765467.79715357511</v>
      </c>
      <c r="AA324" s="566">
        <f t="shared" si="498"/>
        <v>869648.42019656277</v>
      </c>
      <c r="AB324" s="566">
        <f t="shared" si="478"/>
        <v>768642.48490357504</v>
      </c>
      <c r="AC324" s="567">
        <f t="shared" si="499"/>
        <v>1.1314082128906247</v>
      </c>
      <c r="AD324" s="568" t="str">
        <f t="shared" si="479"/>
        <v>2018</v>
      </c>
      <c r="AE324" s="569">
        <v>42915</v>
      </c>
      <c r="AF324" s="568">
        <v>2018</v>
      </c>
      <c r="AG324" s="569"/>
      <c r="AH324" s="566">
        <f t="shared" si="500"/>
        <v>768642.48490357504</v>
      </c>
      <c r="AI324" s="80">
        <f t="shared" si="480"/>
        <v>638480.2871535751</v>
      </c>
      <c r="AJ324" s="571" t="s">
        <v>0</v>
      </c>
      <c r="AK324" s="875">
        <f t="shared" si="496"/>
        <v>0</v>
      </c>
      <c r="AL324" s="28">
        <f t="shared" si="501"/>
        <v>0</v>
      </c>
      <c r="AM324" s="28">
        <f t="shared" si="501"/>
        <v>0</v>
      </c>
      <c r="AN324" s="28">
        <f t="shared" si="501"/>
        <v>0</v>
      </c>
      <c r="AO324" s="28">
        <f t="shared" si="501"/>
        <v>0</v>
      </c>
      <c r="AP324" s="28">
        <f t="shared" si="501"/>
        <v>0</v>
      </c>
      <c r="AQ324" s="28">
        <f t="shared" si="501"/>
        <v>0</v>
      </c>
      <c r="AR324" s="28">
        <f t="shared" si="501"/>
        <v>0</v>
      </c>
      <c r="AS324" s="28">
        <f t="shared" si="501"/>
        <v>1</v>
      </c>
      <c r="AT324" s="28">
        <f t="shared" si="501"/>
        <v>0</v>
      </c>
      <c r="AU324" s="28">
        <f t="shared" si="501"/>
        <v>0</v>
      </c>
      <c r="AV324" s="28">
        <f t="shared" si="502"/>
        <v>0</v>
      </c>
      <c r="AW324" s="28">
        <f t="shared" si="502"/>
        <v>0</v>
      </c>
      <c r="AX324" s="28">
        <f t="shared" si="502"/>
        <v>0</v>
      </c>
      <c r="AY324" s="28">
        <f t="shared" si="502"/>
        <v>0</v>
      </c>
      <c r="AZ324" s="28">
        <f t="shared" si="502"/>
        <v>0</v>
      </c>
      <c r="BA324" s="28">
        <f t="shared" si="502"/>
        <v>0</v>
      </c>
      <c r="BB324" s="28">
        <f t="shared" si="502"/>
        <v>0</v>
      </c>
      <c r="BC324" s="28">
        <f t="shared" si="502"/>
        <v>0</v>
      </c>
      <c r="BD324" s="28">
        <f t="shared" si="502"/>
        <v>0</v>
      </c>
      <c r="BE324" s="28">
        <f t="shared" si="502"/>
        <v>0</v>
      </c>
      <c r="BF324" s="27">
        <f t="shared" si="503"/>
        <v>1</v>
      </c>
      <c r="BG324" s="520">
        <f t="shared" si="504"/>
        <v>1.0034498951996242</v>
      </c>
      <c r="BH324" s="520">
        <f t="shared" si="482"/>
        <v>1.0065926315443261</v>
      </c>
      <c r="BI324" s="520">
        <f t="shared" si="483"/>
        <v>1.0099939207178206</v>
      </c>
      <c r="BJ324" s="520">
        <f t="shared" si="484"/>
        <v>1.0139228081132494</v>
      </c>
      <c r="BK324" s="520">
        <f t="shared" si="485"/>
        <v>1.0196467222390713</v>
      </c>
      <c r="BL324" s="520">
        <f t="shared" si="486"/>
        <v>1.0260851094706045</v>
      </c>
      <c r="BM324" s="520">
        <f t="shared" si="487"/>
        <v>1.0303954349252136</v>
      </c>
      <c r="BN324" s="521" t="str">
        <f t="shared" si="488"/>
        <v>Category</v>
      </c>
      <c r="BP324" s="3"/>
    </row>
    <row r="325" spans="1:68" hidden="1" x14ac:dyDescent="0.15">
      <c r="A325" s="78" t="s">
        <v>2425</v>
      </c>
      <c r="B325" s="13" t="s">
        <v>2426</v>
      </c>
      <c r="C325" s="13" t="s">
        <v>27</v>
      </c>
      <c r="D325" s="13" t="s">
        <v>40</v>
      </c>
      <c r="E325" s="13" t="s">
        <v>112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5">
        <v>0</v>
      </c>
      <c r="N325" s="670"/>
      <c r="O325" s="14"/>
      <c r="P325" s="15"/>
      <c r="Q325" s="15">
        <f>IF(ISTEXT('Incurred 2.5% cpi'!Q325),"",'Incurred 2.5% cpi'!Q325/'Incurred 2.5% cpi'!Q$17*Incurred!Q$17)</f>
        <v>93300.67</v>
      </c>
      <c r="R325" s="110">
        <f>IF(ISTEXT('Incurred 2.5% cpi'!R325),"",'Incurred 2.5% cpi'!R325/'Incurred 2.5% cpi'!R$17*Incurred!R$17*BG325)</f>
        <v>2599125.4503873312</v>
      </c>
      <c r="S325" s="102" t="str">
        <f>IF(ISTEXT('Incurred 2.5% cpi'!S325),"",'Incurred 2.5% cpi'!S325/'Incurred 2.5% cpi'!S$17*Incurred!S$17*BH325)</f>
        <v/>
      </c>
      <c r="T325" s="16" t="str">
        <f>IF(ISTEXT('Incurred 2.5% cpi'!T325),"",'Incurred 2.5% cpi'!T325/'Incurred 2.5% cpi'!T$17*Incurred!T$17*BI325)</f>
        <v/>
      </c>
      <c r="U325" s="16" t="str">
        <f>IF(ISTEXT('Incurred 2.5% cpi'!U325),"",'Incurred 2.5% cpi'!U325/'Incurred 2.5% cpi'!U$17*Incurred!U$17*BJ325)</f>
        <v/>
      </c>
      <c r="V325" s="16" t="str">
        <f>IF(ISTEXT('Incurred 2.5% cpi'!V325),"",'Incurred 2.5% cpi'!V325/'Incurred 2.5% cpi'!V$17*Incurred!V$17*BK325)</f>
        <v/>
      </c>
      <c r="W325" s="110" t="str">
        <f>IF(ISTEXT('Incurred 2.5% cpi'!W325),"",'Incurred 2.5% cpi'!W325/'Incurred 2.5% cpi'!W$17*Incurred!W$17*BL325)</f>
        <v/>
      </c>
      <c r="X325" s="102" t="str">
        <f>IF(ISTEXT('Incurred 2.5% cpi'!X325),"",'Incurred 2.5% cpi'!X325/'Incurred 2.5% cpi'!X$17*Incurred!X$17*BM325)</f>
        <v/>
      </c>
      <c r="Y325" s="80">
        <f t="shared" si="434"/>
        <v>2692426.1203873311</v>
      </c>
      <c r="Z325" s="80">
        <f t="shared" si="462"/>
        <v>2692426.1203873311</v>
      </c>
      <c r="AA325" s="566">
        <f t="shared" si="498"/>
        <v>3048872.0538151232</v>
      </c>
      <c r="AB325" s="566">
        <f t="shared" si="478"/>
        <v>2762127.6030657641</v>
      </c>
      <c r="AC325" s="567">
        <f t="shared" si="499"/>
        <v>1.1038128906249998</v>
      </c>
      <c r="AD325" s="568" t="str">
        <f t="shared" si="479"/>
        <v>2018</v>
      </c>
      <c r="AE325" s="569">
        <v>43291</v>
      </c>
      <c r="AF325" s="568">
        <v>2019</v>
      </c>
      <c r="AG325" s="569"/>
      <c r="AH325" s="566">
        <f t="shared" si="500"/>
        <v>2694758.6371373311</v>
      </c>
      <c r="AI325" s="80">
        <f t="shared" si="480"/>
        <v>2599125.4503873312</v>
      </c>
      <c r="AJ325" s="571" t="s">
        <v>3037</v>
      </c>
      <c r="AK325" s="875">
        <f t="shared" si="496"/>
        <v>1999024.1811125001</v>
      </c>
      <c r="AL325" s="28">
        <f t="shared" si="501"/>
        <v>0</v>
      </c>
      <c r="AM325" s="28">
        <f t="shared" si="501"/>
        <v>0.56420380507469547</v>
      </c>
      <c r="AN325" s="28">
        <f t="shared" si="501"/>
        <v>0.40690709966665639</v>
      </c>
      <c r="AO325" s="28">
        <f t="shared" si="501"/>
        <v>0</v>
      </c>
      <c r="AP325" s="28">
        <f t="shared" si="501"/>
        <v>0</v>
      </c>
      <c r="AQ325" s="28">
        <f t="shared" si="501"/>
        <v>0</v>
      </c>
      <c r="AR325" s="28">
        <f t="shared" si="501"/>
        <v>0</v>
      </c>
      <c r="AS325" s="28">
        <f t="shared" si="501"/>
        <v>0</v>
      </c>
      <c r="AT325" s="28">
        <f t="shared" si="501"/>
        <v>0</v>
      </c>
      <c r="AU325" s="28">
        <f t="shared" si="501"/>
        <v>0</v>
      </c>
      <c r="AV325" s="28">
        <f t="shared" si="502"/>
        <v>0</v>
      </c>
      <c r="AW325" s="28">
        <f t="shared" si="502"/>
        <v>0</v>
      </c>
      <c r="AX325" s="28">
        <f t="shared" si="502"/>
        <v>2.8889095258648089E-2</v>
      </c>
      <c r="AY325" s="28">
        <f t="shared" si="502"/>
        <v>0</v>
      </c>
      <c r="AZ325" s="28">
        <f t="shared" si="502"/>
        <v>0</v>
      </c>
      <c r="BA325" s="28">
        <f t="shared" si="502"/>
        <v>0</v>
      </c>
      <c r="BB325" s="28">
        <f t="shared" si="502"/>
        <v>0</v>
      </c>
      <c r="BC325" s="28">
        <f t="shared" si="502"/>
        <v>0</v>
      </c>
      <c r="BD325" s="28">
        <f t="shared" si="502"/>
        <v>0</v>
      </c>
      <c r="BE325" s="28">
        <f t="shared" si="502"/>
        <v>0</v>
      </c>
      <c r="BF325" s="27">
        <f t="shared" si="503"/>
        <v>1</v>
      </c>
      <c r="BG325" s="809">
        <f t="shared" ref="BG325:BI325" si="505">IF(LabIn=0,1,BN391)</f>
        <v>1.0027028436666743</v>
      </c>
      <c r="BH325" s="809">
        <f t="shared" si="505"/>
        <v>1.0057162232795445</v>
      </c>
      <c r="BI325" s="809">
        <f t="shared" si="505"/>
        <v>1.0094257605469787</v>
      </c>
      <c r="BJ325" s="809">
        <f t="shared" ref="BJ325" si="506">IF(LabIn=0,1,BQ391)</f>
        <v>1.01363571439179</v>
      </c>
      <c r="BK325" s="809">
        <f t="shared" ref="BK325" si="507">IF(LabIn=0,1,BR391)</f>
        <v>1.0188321539769705</v>
      </c>
      <c r="BL325" s="809">
        <f t="shared" ref="BL325" si="508">IF(LabIn=0,1,BS391)</f>
        <v>1.0244391938863653</v>
      </c>
      <c r="BM325" s="520">
        <f t="shared" si="487"/>
        <v>1.0238135085356714</v>
      </c>
      <c r="BN325" s="521" t="s">
        <v>3148</v>
      </c>
      <c r="BP325" s="3"/>
    </row>
    <row r="326" spans="1:68" hidden="1" x14ac:dyDescent="0.15">
      <c r="A326" s="78" t="s">
        <v>2429</v>
      </c>
      <c r="B326" s="13" t="s">
        <v>2430</v>
      </c>
      <c r="C326" s="13" t="s">
        <v>27</v>
      </c>
      <c r="D326" s="13" t="s">
        <v>40</v>
      </c>
      <c r="E326" s="13" t="s">
        <v>112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5">
        <v>0</v>
      </c>
      <c r="N326" s="670"/>
      <c r="O326" s="14"/>
      <c r="P326" s="15"/>
      <c r="Q326" s="15" t="str">
        <f>IF(ISTEXT('Incurred 2.5% cpi'!Q326),"",'Incurred 2.5% cpi'!Q326/'Incurred 2.5% cpi'!Q$17*Incurred!Q$17)</f>
        <v/>
      </c>
      <c r="R326" s="110" t="str">
        <f>IF(ISTEXT('Incurred 2.5% cpi'!R326),"",'Incurred 2.5% cpi'!R326/'Incurred 2.5% cpi'!R$17*Incurred!R$17*BG326)</f>
        <v/>
      </c>
      <c r="S326" s="102" t="str">
        <f>IF(ISTEXT('Incurred 2.5% cpi'!S326),"",'Incurred 2.5% cpi'!S326/'Incurred 2.5% cpi'!S$17*Incurred!S$17*BH326)</f>
        <v/>
      </c>
      <c r="T326" s="16" t="str">
        <f>IF(ISTEXT('Incurred 2.5% cpi'!T326),"",'Incurred 2.5% cpi'!T326/'Incurred 2.5% cpi'!T$17*Incurred!T$17*BI326)</f>
        <v/>
      </c>
      <c r="U326" s="16">
        <f>IF(ISTEXT('Incurred 2.5% cpi'!U326),"",'Incurred 2.5% cpi'!U326/'Incurred 2.5% cpi'!U$17*Incurred!U$17*BJ326)</f>
        <v>973733.72760446521</v>
      </c>
      <c r="V326" s="16">
        <f>IF(ISTEXT('Incurred 2.5% cpi'!V326),"",'Incurred 2.5% cpi'!V326/'Incurred 2.5% cpi'!V$17*Incurred!V$17*BK326)</f>
        <v>3985327.7143492382</v>
      </c>
      <c r="W326" s="110" t="str">
        <f>IF(ISTEXT('Incurred 2.5% cpi'!W326),"",'Incurred 2.5% cpi'!W326/'Incurred 2.5% cpi'!W$17*Incurred!W$17*BL326)</f>
        <v/>
      </c>
      <c r="X326" s="102" t="str">
        <f>IF(ISTEXT('Incurred 2.5% cpi'!X326),"",'Incurred 2.5% cpi'!X326/'Incurred 2.5% cpi'!X$17*Incurred!X$17*BM326)</f>
        <v/>
      </c>
      <c r="Y326" s="80">
        <f t="shared" si="434"/>
        <v>4959061.4419537038</v>
      </c>
      <c r="Z326" s="80">
        <f t="shared" ref="Z326:Z346" si="509">-SUMIFS(F326:W326,F326:W326,"&lt;0")+SUMIFS(F326:W326,F326:W326,"&gt;0")</f>
        <v>4959061.4419537038</v>
      </c>
      <c r="AA326" s="566">
        <f t="shared" si="498"/>
        <v>5107989.9047724102</v>
      </c>
      <c r="AB326" s="566">
        <f t="shared" si="478"/>
        <v>4983404.785143815</v>
      </c>
      <c r="AC326" s="567">
        <f t="shared" si="499"/>
        <v>1.0249999999999999</v>
      </c>
      <c r="AD326" s="568" t="str">
        <f t="shared" si="479"/>
        <v>2022</v>
      </c>
      <c r="AE326" s="569">
        <v>44659</v>
      </c>
      <c r="AF326" s="568">
        <v>2022</v>
      </c>
      <c r="AG326" s="569"/>
      <c r="AH326" s="566">
        <f t="shared" si="500"/>
        <v>4514718.7783992244</v>
      </c>
      <c r="AI326" s="80">
        <f t="shared" si="480"/>
        <v>3985327.7143492382</v>
      </c>
      <c r="AJ326" s="571" t="s">
        <v>3038</v>
      </c>
      <c r="AK326" s="875">
        <f t="shared" si="496"/>
        <v>3205211.0000000005</v>
      </c>
      <c r="AL326" s="28">
        <f t="shared" si="501"/>
        <v>0</v>
      </c>
      <c r="AM326" s="28">
        <f t="shared" si="501"/>
        <v>0</v>
      </c>
      <c r="AN326" s="28">
        <f t="shared" si="501"/>
        <v>0</v>
      </c>
      <c r="AO326" s="28">
        <f t="shared" si="501"/>
        <v>0</v>
      </c>
      <c r="AP326" s="28">
        <f t="shared" si="501"/>
        <v>0</v>
      </c>
      <c r="AQ326" s="28">
        <f t="shared" si="501"/>
        <v>0</v>
      </c>
      <c r="AR326" s="28">
        <f t="shared" si="501"/>
        <v>0</v>
      </c>
      <c r="AS326" s="28">
        <f t="shared" si="501"/>
        <v>0</v>
      </c>
      <c r="AT326" s="28">
        <f t="shared" si="501"/>
        <v>0</v>
      </c>
      <c r="AU326" s="28">
        <f t="shared" si="501"/>
        <v>4.4178058792385269E-3</v>
      </c>
      <c r="AV326" s="28">
        <f t="shared" si="502"/>
        <v>0</v>
      </c>
      <c r="AW326" s="28">
        <f t="shared" si="502"/>
        <v>1.8719516437451386E-2</v>
      </c>
      <c r="AX326" s="28">
        <f t="shared" si="502"/>
        <v>0</v>
      </c>
      <c r="AY326" s="28">
        <f t="shared" si="502"/>
        <v>0</v>
      </c>
      <c r="AZ326" s="28">
        <f t="shared" si="502"/>
        <v>0.97686267768331014</v>
      </c>
      <c r="BA326" s="28">
        <f t="shared" si="502"/>
        <v>0</v>
      </c>
      <c r="BB326" s="28">
        <f t="shared" si="502"/>
        <v>0</v>
      </c>
      <c r="BC326" s="28">
        <f t="shared" si="502"/>
        <v>0</v>
      </c>
      <c r="BD326" s="28">
        <f t="shared" si="502"/>
        <v>0</v>
      </c>
      <c r="BE326" s="28">
        <f t="shared" si="502"/>
        <v>0</v>
      </c>
      <c r="BF326" s="27">
        <f t="shared" si="503"/>
        <v>1</v>
      </c>
      <c r="BG326" s="520">
        <f t="shared" si="504"/>
        <v>1.0014797630688952</v>
      </c>
      <c r="BH326" s="520">
        <f t="shared" si="482"/>
        <v>1.0028277765328031</v>
      </c>
      <c r="BI326" s="520">
        <f t="shared" si="483"/>
        <v>1.0042866910256605</v>
      </c>
      <c r="BJ326" s="520">
        <f t="shared" si="484"/>
        <v>1.0059719081505853</v>
      </c>
      <c r="BK326" s="520">
        <f t="shared" si="485"/>
        <v>1.0084270658417065</v>
      </c>
      <c r="BL326" s="520">
        <f t="shared" si="486"/>
        <v>1.0111886823828429</v>
      </c>
      <c r="BM326" s="520">
        <f t="shared" si="487"/>
        <v>1.0130375096815227</v>
      </c>
      <c r="BN326" s="521" t="str">
        <f t="shared" si="488"/>
        <v>Project</v>
      </c>
      <c r="BP326" s="3"/>
    </row>
    <row r="327" spans="1:68" hidden="1" x14ac:dyDescent="0.15">
      <c r="A327" s="78" t="s">
        <v>2431</v>
      </c>
      <c r="B327" s="13" t="s">
        <v>2432</v>
      </c>
      <c r="C327" s="13" t="s">
        <v>27</v>
      </c>
      <c r="D327" s="13" t="s">
        <v>40</v>
      </c>
      <c r="E327" s="13" t="s">
        <v>32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5">
        <v>0</v>
      </c>
      <c r="N327" s="670"/>
      <c r="O327" s="14"/>
      <c r="P327" s="15"/>
      <c r="Q327" s="15">
        <f>IF(ISTEXT('Incurred 2.5% cpi'!Q327),"",'Incurred 2.5% cpi'!Q327/'Incurred 2.5% cpi'!Q$17*Incurred!Q$17)</f>
        <v>53395.19</v>
      </c>
      <c r="R327" s="110" t="str">
        <f>IF(ISTEXT('Incurred 2.5% cpi'!R327),"",'Incurred 2.5% cpi'!R327/'Incurred 2.5% cpi'!R$17*Incurred!R$17*BG327)</f>
        <v/>
      </c>
      <c r="S327" s="102" t="str">
        <f>IF(ISTEXT('Incurred 2.5% cpi'!S327),"",'Incurred 2.5% cpi'!S327/'Incurred 2.5% cpi'!S$17*Incurred!S$17*BH327)</f>
        <v/>
      </c>
      <c r="T327" s="16" t="str">
        <f>IF(ISTEXT('Incurred 2.5% cpi'!T327),"",'Incurred 2.5% cpi'!T327/'Incurred 2.5% cpi'!T$17*Incurred!T$17*BI327)</f>
        <v/>
      </c>
      <c r="U327" s="16" t="str">
        <f>IF(ISTEXT('Incurred 2.5% cpi'!U327),"",'Incurred 2.5% cpi'!U327/'Incurred 2.5% cpi'!U$17*Incurred!U$17*BJ327)</f>
        <v/>
      </c>
      <c r="V327" s="16" t="str">
        <f>IF(ISTEXT('Incurred 2.5% cpi'!V327),"",'Incurred 2.5% cpi'!V327/'Incurred 2.5% cpi'!V$17*Incurred!V$17*BK327)</f>
        <v/>
      </c>
      <c r="W327" s="110" t="str">
        <f>IF(ISTEXT('Incurred 2.5% cpi'!W327),"",'Incurred 2.5% cpi'!W327/'Incurred 2.5% cpi'!W$17*Incurred!W$17*BL327)</f>
        <v/>
      </c>
      <c r="X327" s="102" t="str">
        <f>IF(ISTEXT('Incurred 2.5% cpi'!X327),"",'Incurred 2.5% cpi'!X327/'Incurred 2.5% cpi'!X$17*Incurred!X$17*BM327)</f>
        <v/>
      </c>
      <c r="Y327" s="80">
        <f t="shared" si="434"/>
        <v>53395.19</v>
      </c>
      <c r="Z327" s="80">
        <f t="shared" si="509"/>
        <v>53395.19</v>
      </c>
      <c r="AA327" s="566">
        <f t="shared" si="498"/>
        <v>61922.050407226736</v>
      </c>
      <c r="AB327" s="566">
        <f t="shared" si="478"/>
        <v>53395.19</v>
      </c>
      <c r="AC327" s="567">
        <f t="shared" si="499"/>
        <v>1.1596934182128902</v>
      </c>
      <c r="AD327" s="568" t="str">
        <f t="shared" si="479"/>
        <v>2017</v>
      </c>
      <c r="AE327" s="569">
        <v>42704</v>
      </c>
      <c r="AF327" s="568">
        <v>2017</v>
      </c>
      <c r="AG327" s="569"/>
      <c r="AH327" s="566">
        <f t="shared" si="500"/>
        <v>54730.069749999995</v>
      </c>
      <c r="AI327" s="80">
        <f t="shared" si="480"/>
        <v>53395.19</v>
      </c>
      <c r="AJ327" s="571" t="s">
        <v>0</v>
      </c>
      <c r="AK327" s="875">
        <f t="shared" si="481"/>
        <v>0</v>
      </c>
      <c r="AL327" s="28">
        <f t="shared" si="501"/>
        <v>0</v>
      </c>
      <c r="AM327" s="28">
        <f t="shared" si="501"/>
        <v>0</v>
      </c>
      <c r="AN327" s="28">
        <f t="shared" si="501"/>
        <v>0</v>
      </c>
      <c r="AO327" s="28">
        <f t="shared" si="501"/>
        <v>0</v>
      </c>
      <c r="AP327" s="28">
        <f t="shared" si="501"/>
        <v>0</v>
      </c>
      <c r="AQ327" s="28">
        <f t="shared" si="501"/>
        <v>0</v>
      </c>
      <c r="AR327" s="28">
        <f t="shared" si="501"/>
        <v>0</v>
      </c>
      <c r="AS327" s="28">
        <f t="shared" si="501"/>
        <v>1</v>
      </c>
      <c r="AT327" s="28">
        <f t="shared" si="501"/>
        <v>0</v>
      </c>
      <c r="AU327" s="28">
        <f t="shared" si="501"/>
        <v>0</v>
      </c>
      <c r="AV327" s="28">
        <f t="shared" si="502"/>
        <v>0</v>
      </c>
      <c r="AW327" s="28">
        <f t="shared" si="502"/>
        <v>0</v>
      </c>
      <c r="AX327" s="28">
        <f t="shared" si="502"/>
        <v>0</v>
      </c>
      <c r="AY327" s="28">
        <f t="shared" si="502"/>
        <v>0</v>
      </c>
      <c r="AZ327" s="28">
        <f t="shared" si="502"/>
        <v>0</v>
      </c>
      <c r="BA327" s="28">
        <f t="shared" si="502"/>
        <v>0</v>
      </c>
      <c r="BB327" s="28">
        <f t="shared" si="502"/>
        <v>0</v>
      </c>
      <c r="BC327" s="28">
        <f t="shared" si="502"/>
        <v>0</v>
      </c>
      <c r="BD327" s="28">
        <f t="shared" si="502"/>
        <v>0</v>
      </c>
      <c r="BE327" s="28">
        <f t="shared" si="502"/>
        <v>0</v>
      </c>
      <c r="BF327" s="27">
        <f t="shared" si="503"/>
        <v>1</v>
      </c>
      <c r="BG327" s="520">
        <f t="shared" si="504"/>
        <v>1.0034498951996242</v>
      </c>
      <c r="BH327" s="520">
        <f t="shared" si="482"/>
        <v>1.0065926315443261</v>
      </c>
      <c r="BI327" s="520">
        <f t="shared" si="483"/>
        <v>1.0099939207178206</v>
      </c>
      <c r="BJ327" s="520">
        <f t="shared" si="484"/>
        <v>1.0139228081132494</v>
      </c>
      <c r="BK327" s="520">
        <f t="shared" si="485"/>
        <v>1.0196467222390713</v>
      </c>
      <c r="BL327" s="520">
        <f t="shared" si="486"/>
        <v>1.0260851094706045</v>
      </c>
      <c r="BM327" s="520">
        <f t="shared" si="487"/>
        <v>1.0303954349252136</v>
      </c>
      <c r="BN327" s="521" t="str">
        <f t="shared" si="488"/>
        <v>Category</v>
      </c>
      <c r="BP327" s="3"/>
    </row>
    <row r="328" spans="1:68" hidden="1" x14ac:dyDescent="0.15">
      <c r="A328" s="78" t="s">
        <v>2433</v>
      </c>
      <c r="B328" s="13" t="s">
        <v>2434</v>
      </c>
      <c r="C328" s="13" t="s">
        <v>27</v>
      </c>
      <c r="D328" s="13" t="s">
        <v>36</v>
      </c>
      <c r="E328" s="13" t="s">
        <v>29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5">
        <v>0</v>
      </c>
      <c r="N328" s="670"/>
      <c r="O328" s="14"/>
      <c r="P328" s="15"/>
      <c r="Q328" s="15">
        <f>IF(ISTEXT('Incurred 2.5% cpi'!Q328),"",'Incurred 2.5% cpi'!Q328/'Incurred 2.5% cpi'!Q$17*Incurred!Q$17)</f>
        <v>115672.59</v>
      </c>
      <c r="R328" s="110">
        <f>IF(ISTEXT('Incurred 2.5% cpi'!R328),"",'Incurred 2.5% cpi'!R328/'Incurred 2.5% cpi'!R$17*Incurred!R$17*BG328)</f>
        <v>13224.75805028069</v>
      </c>
      <c r="S328" s="102" t="str">
        <f>IF(ISTEXT('Incurred 2.5% cpi'!S328),"",'Incurred 2.5% cpi'!S328/'Incurred 2.5% cpi'!S$17*Incurred!S$17*BH328)</f>
        <v/>
      </c>
      <c r="T328" s="16" t="str">
        <f>IF(ISTEXT('Incurred 2.5% cpi'!T328),"",'Incurred 2.5% cpi'!T328/'Incurred 2.5% cpi'!T$17*Incurred!T$17*BI328)</f>
        <v/>
      </c>
      <c r="U328" s="16" t="str">
        <f>IF(ISTEXT('Incurred 2.5% cpi'!U328),"",'Incurred 2.5% cpi'!U328/'Incurred 2.5% cpi'!U$17*Incurred!U$17*BJ328)</f>
        <v/>
      </c>
      <c r="V328" s="16" t="str">
        <f>IF(ISTEXT('Incurred 2.5% cpi'!V328),"",'Incurred 2.5% cpi'!V328/'Incurred 2.5% cpi'!V$17*Incurred!V$17*BK328)</f>
        <v/>
      </c>
      <c r="W328" s="110" t="str">
        <f>IF(ISTEXT('Incurred 2.5% cpi'!W328),"",'Incurred 2.5% cpi'!W328/'Incurred 2.5% cpi'!W$17*Incurred!W$17*BL328)</f>
        <v/>
      </c>
      <c r="X328" s="102" t="str">
        <f>IF(ISTEXT('Incurred 2.5% cpi'!X328),"",'Incurred 2.5% cpi'!X328/'Incurred 2.5% cpi'!X$17*Incurred!X$17*BM328)</f>
        <v/>
      </c>
      <c r="Y328" s="80">
        <f t="shared" si="434"/>
        <v>128897.34805028069</v>
      </c>
      <c r="Z328" s="80">
        <f t="shared" si="509"/>
        <v>128897.34805028069</v>
      </c>
      <c r="AA328" s="566">
        <f t="shared" si="498"/>
        <v>149107.34116221714</v>
      </c>
      <c r="AB328" s="566">
        <f t="shared" si="478"/>
        <v>131789.16280028067</v>
      </c>
      <c r="AC328" s="567">
        <f t="shared" si="499"/>
        <v>1.1314082128906247</v>
      </c>
      <c r="AD328" s="568" t="str">
        <f t="shared" si="479"/>
        <v>2018</v>
      </c>
      <c r="AE328" s="569">
        <v>42846</v>
      </c>
      <c r="AF328" s="568" t="s">
        <v>3152</v>
      </c>
      <c r="AG328" s="569"/>
      <c r="AH328" s="566">
        <f t="shared" si="500"/>
        <v>131789.16280028067</v>
      </c>
      <c r="AI328" s="80">
        <f t="shared" si="480"/>
        <v>13224.75805028069</v>
      </c>
      <c r="AJ328" s="571" t="s">
        <v>0</v>
      </c>
      <c r="AK328" s="875">
        <f t="shared" si="481"/>
        <v>0</v>
      </c>
      <c r="AL328" s="28">
        <f t="shared" si="501"/>
        <v>0</v>
      </c>
      <c r="AM328" s="28">
        <f t="shared" si="501"/>
        <v>0</v>
      </c>
      <c r="AN328" s="28">
        <f t="shared" si="501"/>
        <v>0</v>
      </c>
      <c r="AO328" s="28">
        <f t="shared" si="501"/>
        <v>0</v>
      </c>
      <c r="AP328" s="28">
        <f t="shared" si="501"/>
        <v>0</v>
      </c>
      <c r="AQ328" s="28">
        <f t="shared" si="501"/>
        <v>0</v>
      </c>
      <c r="AR328" s="28">
        <f t="shared" si="501"/>
        <v>0</v>
      </c>
      <c r="AS328" s="28">
        <f t="shared" si="501"/>
        <v>1</v>
      </c>
      <c r="AT328" s="28">
        <f t="shared" si="501"/>
        <v>0</v>
      </c>
      <c r="AU328" s="28">
        <f t="shared" si="501"/>
        <v>0</v>
      </c>
      <c r="AV328" s="28">
        <f t="shared" si="502"/>
        <v>0</v>
      </c>
      <c r="AW328" s="28">
        <f t="shared" si="502"/>
        <v>0</v>
      </c>
      <c r="AX328" s="28">
        <f t="shared" si="502"/>
        <v>0</v>
      </c>
      <c r="AY328" s="28">
        <f t="shared" si="502"/>
        <v>0</v>
      </c>
      <c r="AZ328" s="28">
        <f t="shared" si="502"/>
        <v>0</v>
      </c>
      <c r="BA328" s="28">
        <f t="shared" si="502"/>
        <v>0</v>
      </c>
      <c r="BB328" s="28">
        <f t="shared" si="502"/>
        <v>0</v>
      </c>
      <c r="BC328" s="28">
        <f t="shared" si="502"/>
        <v>0</v>
      </c>
      <c r="BD328" s="28">
        <f t="shared" si="502"/>
        <v>0</v>
      </c>
      <c r="BE328" s="28">
        <f t="shared" si="502"/>
        <v>0</v>
      </c>
      <c r="BF328" s="27">
        <f t="shared" si="503"/>
        <v>1</v>
      </c>
      <c r="BG328" s="520">
        <f t="shared" si="504"/>
        <v>1.0018756098697492</v>
      </c>
      <c r="BH328" s="520">
        <f t="shared" si="482"/>
        <v>1.0035842262088148</v>
      </c>
      <c r="BI328" s="520">
        <f t="shared" si="483"/>
        <v>1.0054334103650095</v>
      </c>
      <c r="BJ328" s="520">
        <f t="shared" si="484"/>
        <v>1.007569434664183</v>
      </c>
      <c r="BK328" s="520">
        <f t="shared" si="485"/>
        <v>1.0106813639277612</v>
      </c>
      <c r="BL328" s="520">
        <f t="shared" si="486"/>
        <v>1.0141817318919957</v>
      </c>
      <c r="BM328" s="520">
        <f t="shared" si="487"/>
        <v>1.0165251332119476</v>
      </c>
      <c r="BN328" s="521" t="str">
        <f t="shared" si="488"/>
        <v>Category</v>
      </c>
      <c r="BP328" s="3"/>
    </row>
    <row r="329" spans="1:68" hidden="1" x14ac:dyDescent="0.15">
      <c r="A329" s="78" t="s">
        <v>2435</v>
      </c>
      <c r="B329" s="13" t="s">
        <v>2436</v>
      </c>
      <c r="C329" s="13" t="s">
        <v>27</v>
      </c>
      <c r="D329" s="13" t="s">
        <v>54</v>
      </c>
      <c r="E329" s="13" t="s">
        <v>29</v>
      </c>
      <c r="F329" s="14"/>
      <c r="G329" s="14"/>
      <c r="H329" s="14"/>
      <c r="I329" s="14"/>
      <c r="J329" s="14"/>
      <c r="K329" s="14"/>
      <c r="L329" s="14"/>
      <c r="M329" s="15"/>
      <c r="N329" s="670"/>
      <c r="O329" s="14"/>
      <c r="P329" s="15"/>
      <c r="Q329" s="15">
        <f>IF(ISTEXT('Incurred 2.5% cpi'!Q329),"",'Incurred 2.5% cpi'!Q329/'Incurred 2.5% cpi'!Q$17*Incurred!Q$17)</f>
        <v>112917.27</v>
      </c>
      <c r="R329" s="110">
        <f>IF(ISTEXT('Incurred 2.5% cpi'!R329),"",'Incurred 2.5% cpi'!R329/'Incurred 2.5% cpi'!R$17*Incurred!R$17*BG329)</f>
        <v>466456.16548480111</v>
      </c>
      <c r="S329" s="102" t="str">
        <f>IF(ISTEXT('Incurred 2.5% cpi'!S329),"",'Incurred 2.5% cpi'!S329/'Incurred 2.5% cpi'!S$17*Incurred!S$17*BH329)</f>
        <v/>
      </c>
      <c r="T329" s="16" t="str">
        <f>IF(ISTEXT('Incurred 2.5% cpi'!T329),"",'Incurred 2.5% cpi'!T329/'Incurred 2.5% cpi'!T$17*Incurred!T$17*BI329)</f>
        <v/>
      </c>
      <c r="U329" s="16" t="str">
        <f>IF(ISTEXT('Incurred 2.5% cpi'!U329),"",'Incurred 2.5% cpi'!U329/'Incurred 2.5% cpi'!U$17*Incurred!U$17*BJ329)</f>
        <v/>
      </c>
      <c r="V329" s="16" t="str">
        <f>IF(ISTEXT('Incurred 2.5% cpi'!V329),"",'Incurred 2.5% cpi'!V329/'Incurred 2.5% cpi'!V$17*Incurred!V$17*BK329)</f>
        <v/>
      </c>
      <c r="W329" s="110" t="str">
        <f>IF(ISTEXT('Incurred 2.5% cpi'!W329),"",'Incurred 2.5% cpi'!W329/'Incurred 2.5% cpi'!W$17*Incurred!W$17*BL329)</f>
        <v/>
      </c>
      <c r="X329" s="102" t="str">
        <f>IF(ISTEXT('Incurred 2.5% cpi'!X329),"",'Incurred 2.5% cpi'!X329/'Incurred 2.5% cpi'!X$17*Incurred!X$17*BM329)</f>
        <v/>
      </c>
      <c r="Y329" s="80">
        <f t="shared" si="434"/>
        <v>579373.43548480107</v>
      </c>
      <c r="Z329" s="80">
        <f t="shared" si="509"/>
        <v>579373.43548480107</v>
      </c>
      <c r="AA329" s="566">
        <f t="shared" si="498"/>
        <v>658701.75140454015</v>
      </c>
      <c r="AB329" s="566">
        <f t="shared" si="478"/>
        <v>582196.36723480106</v>
      </c>
      <c r="AC329" s="567">
        <f t="shared" si="499"/>
        <v>1.1314082128906247</v>
      </c>
      <c r="AD329" s="568" t="str">
        <f t="shared" si="479"/>
        <v>2018</v>
      </c>
      <c r="AE329" s="569">
        <v>42912</v>
      </c>
      <c r="AF329" s="568">
        <v>2018</v>
      </c>
      <c r="AG329" s="569"/>
      <c r="AH329" s="566">
        <f t="shared" si="500"/>
        <v>582196.36723480106</v>
      </c>
      <c r="AI329" s="80">
        <f t="shared" si="480"/>
        <v>466456.16548480111</v>
      </c>
      <c r="AJ329" s="571" t="s">
        <v>0</v>
      </c>
      <c r="AK329" s="875">
        <f t="shared" si="481"/>
        <v>0</v>
      </c>
      <c r="AL329" s="28">
        <f t="shared" si="501"/>
        <v>0</v>
      </c>
      <c r="AM329" s="28">
        <f t="shared" si="501"/>
        <v>0</v>
      </c>
      <c r="AN329" s="28">
        <f t="shared" si="501"/>
        <v>0</v>
      </c>
      <c r="AO329" s="28">
        <f t="shared" si="501"/>
        <v>0</v>
      </c>
      <c r="AP329" s="28">
        <f t="shared" si="501"/>
        <v>0</v>
      </c>
      <c r="AQ329" s="28">
        <f t="shared" si="501"/>
        <v>0</v>
      </c>
      <c r="AR329" s="28">
        <f t="shared" si="501"/>
        <v>0</v>
      </c>
      <c r="AS329" s="28">
        <f t="shared" si="501"/>
        <v>0</v>
      </c>
      <c r="AT329" s="28">
        <f t="shared" si="501"/>
        <v>0</v>
      </c>
      <c r="AU329" s="28">
        <f t="shared" si="501"/>
        <v>0</v>
      </c>
      <c r="AV329" s="28">
        <f t="shared" si="502"/>
        <v>0</v>
      </c>
      <c r="AW329" s="28">
        <f t="shared" si="502"/>
        <v>0</v>
      </c>
      <c r="AX329" s="28">
        <f t="shared" si="502"/>
        <v>0</v>
      </c>
      <c r="AY329" s="28">
        <f t="shared" si="502"/>
        <v>0</v>
      </c>
      <c r="AZ329" s="28">
        <f t="shared" si="502"/>
        <v>1</v>
      </c>
      <c r="BA329" s="28">
        <f t="shared" si="502"/>
        <v>0</v>
      </c>
      <c r="BB329" s="28">
        <f t="shared" si="502"/>
        <v>0</v>
      </c>
      <c r="BC329" s="28">
        <f t="shared" si="502"/>
        <v>0</v>
      </c>
      <c r="BD329" s="28">
        <f t="shared" si="502"/>
        <v>0</v>
      </c>
      <c r="BE329" s="28">
        <f t="shared" si="502"/>
        <v>0</v>
      </c>
      <c r="BF329" s="27">
        <f t="shared" si="503"/>
        <v>1</v>
      </c>
      <c r="BG329" s="520">
        <f t="shared" si="504"/>
        <v>1.0030818160192299</v>
      </c>
      <c r="BH329" s="520">
        <f t="shared" si="482"/>
        <v>1.0058892448397847</v>
      </c>
      <c r="BI329" s="520">
        <f t="shared" si="483"/>
        <v>1.0089276407487533</v>
      </c>
      <c r="BJ329" s="520">
        <f t="shared" si="484"/>
        <v>1.0124373439172154</v>
      </c>
      <c r="BK329" s="520">
        <f t="shared" si="485"/>
        <v>1.0175505572831101</v>
      </c>
      <c r="BL329" s="520">
        <f t="shared" si="486"/>
        <v>1.023302014576742</v>
      </c>
      <c r="BM329" s="520">
        <f t="shared" si="487"/>
        <v>1.0271524590875074</v>
      </c>
      <c r="BN329" s="521" t="str">
        <f t="shared" si="488"/>
        <v>Category</v>
      </c>
      <c r="BP329" s="3"/>
    </row>
    <row r="330" spans="1:68" hidden="1" x14ac:dyDescent="0.15">
      <c r="A330" s="78" t="s">
        <v>2437</v>
      </c>
      <c r="B330" s="13" t="s">
        <v>2438</v>
      </c>
      <c r="C330" s="13" t="s">
        <v>27</v>
      </c>
      <c r="D330" s="13" t="s">
        <v>36</v>
      </c>
      <c r="E330" s="13" t="s">
        <v>29</v>
      </c>
      <c r="F330" s="14"/>
      <c r="G330" s="14"/>
      <c r="H330" s="14"/>
      <c r="I330" s="14"/>
      <c r="J330" s="14"/>
      <c r="K330" s="14"/>
      <c r="L330" s="14"/>
      <c r="M330" s="15"/>
      <c r="N330" s="670"/>
      <c r="O330" s="14"/>
      <c r="P330" s="15"/>
      <c r="Q330" s="15">
        <f>IF(ISTEXT('Incurred 2.5% cpi'!Q330),"",'Incurred 2.5% cpi'!Q330/'Incurred 2.5% cpi'!Q$17*Incurred!Q$17)</f>
        <v>33336.53</v>
      </c>
      <c r="R330" s="110">
        <f>IF(ISTEXT('Incurred 2.5% cpi'!R330),"",'Incurred 2.5% cpi'!R330/'Incurred 2.5% cpi'!R$17*Incurred!R$17*BG330)</f>
        <v>5690391.5036444636</v>
      </c>
      <c r="S330" s="102" t="str">
        <f>IF(ISTEXT('Incurred 2.5% cpi'!S330),"",'Incurred 2.5% cpi'!S330/'Incurred 2.5% cpi'!S$17*Incurred!S$17*BH330)</f>
        <v/>
      </c>
      <c r="T330" s="16" t="str">
        <f>IF(ISTEXT('Incurred 2.5% cpi'!T330),"",'Incurred 2.5% cpi'!T330/'Incurred 2.5% cpi'!T$17*Incurred!T$17*BI330)</f>
        <v/>
      </c>
      <c r="U330" s="16" t="str">
        <f>IF(ISTEXT('Incurred 2.5% cpi'!U330),"",'Incurred 2.5% cpi'!U330/'Incurred 2.5% cpi'!U$17*Incurred!U$17*BJ330)</f>
        <v/>
      </c>
      <c r="V330" s="16" t="str">
        <f>IF(ISTEXT('Incurred 2.5% cpi'!V330),"",'Incurred 2.5% cpi'!V330/'Incurred 2.5% cpi'!V$17*Incurred!V$17*BK330)</f>
        <v/>
      </c>
      <c r="W330" s="110" t="str">
        <f>IF(ISTEXT('Incurred 2.5% cpi'!W330),"",'Incurred 2.5% cpi'!W330/'Incurred 2.5% cpi'!W$17*Incurred!W$17*BL330)</f>
        <v/>
      </c>
      <c r="X330" s="102" t="str">
        <f>IF(ISTEXT('Incurred 2.5% cpi'!X330),"",'Incurred 2.5% cpi'!X330/'Incurred 2.5% cpi'!X$17*Incurred!X$17*BM330)</f>
        <v/>
      </c>
      <c r="Y330" s="80">
        <f t="shared" si="434"/>
        <v>5723728.0336444639</v>
      </c>
      <c r="Z330" s="80">
        <f t="shared" si="509"/>
        <v>5723728.0336444639</v>
      </c>
      <c r="AA330" s="566">
        <f t="shared" si="498"/>
        <v>6476815.8362134332</v>
      </c>
      <c r="AB330" s="566">
        <f t="shared" si="478"/>
        <v>5724561.4468944632</v>
      </c>
      <c r="AC330" s="567">
        <f t="shared" si="499"/>
        <v>1.1314082128906247</v>
      </c>
      <c r="AD330" s="568" t="str">
        <f t="shared" si="479"/>
        <v>2018</v>
      </c>
      <c r="AE330" s="569">
        <v>43224</v>
      </c>
      <c r="AF330" s="568">
        <v>2018</v>
      </c>
      <c r="AG330" s="569"/>
      <c r="AH330" s="566">
        <f t="shared" si="500"/>
        <v>5724561.4468944632</v>
      </c>
      <c r="AI330" s="80">
        <f t="shared" si="480"/>
        <v>5690391.5036444636</v>
      </c>
      <c r="AJ330" s="571" t="s">
        <v>0</v>
      </c>
      <c r="AK330" s="875">
        <f>IF(ISNA(VLOOKUP(LEFT($A330,8),Estimates,72,FALSE)),0,VLOOKUP(LEFT($A330,8),Estimates,72,FALSE))</f>
        <v>0</v>
      </c>
      <c r="AL330" s="28">
        <f t="shared" si="501"/>
        <v>1</v>
      </c>
      <c r="AM330" s="28">
        <f t="shared" si="501"/>
        <v>0</v>
      </c>
      <c r="AN330" s="28">
        <f t="shared" si="501"/>
        <v>0</v>
      </c>
      <c r="AO330" s="28">
        <f t="shared" si="501"/>
        <v>0</v>
      </c>
      <c r="AP330" s="28">
        <f t="shared" si="501"/>
        <v>0</v>
      </c>
      <c r="AQ330" s="28">
        <f t="shared" si="501"/>
        <v>0</v>
      </c>
      <c r="AR330" s="28">
        <f t="shared" si="501"/>
        <v>0</v>
      </c>
      <c r="AS330" s="28">
        <f t="shared" si="501"/>
        <v>0</v>
      </c>
      <c r="AT330" s="28">
        <f t="shared" si="501"/>
        <v>0</v>
      </c>
      <c r="AU330" s="28">
        <f t="shared" si="501"/>
        <v>0</v>
      </c>
      <c r="AV330" s="28">
        <f t="shared" si="502"/>
        <v>0</v>
      </c>
      <c r="AW330" s="28">
        <f t="shared" si="502"/>
        <v>0</v>
      </c>
      <c r="AX330" s="28">
        <f t="shared" si="502"/>
        <v>0</v>
      </c>
      <c r="AY330" s="28">
        <f t="shared" si="502"/>
        <v>0</v>
      </c>
      <c r="AZ330" s="28">
        <f t="shared" si="502"/>
        <v>0</v>
      </c>
      <c r="BA330" s="28">
        <f t="shared" si="502"/>
        <v>0</v>
      </c>
      <c r="BB330" s="28">
        <f t="shared" si="502"/>
        <v>0</v>
      </c>
      <c r="BC330" s="28">
        <f t="shared" si="502"/>
        <v>0</v>
      </c>
      <c r="BD330" s="28">
        <f t="shared" si="502"/>
        <v>0</v>
      </c>
      <c r="BE330" s="28">
        <f t="shared" si="502"/>
        <v>0</v>
      </c>
      <c r="BF330" s="27">
        <f t="shared" si="503"/>
        <v>1</v>
      </c>
      <c r="BG330" s="520">
        <f t="shared" si="504"/>
        <v>1.0018756098697492</v>
      </c>
      <c r="BH330" s="520">
        <f t="shared" si="482"/>
        <v>1.0035842262088148</v>
      </c>
      <c r="BI330" s="520">
        <f t="shared" si="483"/>
        <v>1.0054334103650095</v>
      </c>
      <c r="BJ330" s="520">
        <f t="shared" si="484"/>
        <v>1.007569434664183</v>
      </c>
      <c r="BK330" s="520">
        <f t="shared" si="485"/>
        <v>1.0106813639277612</v>
      </c>
      <c r="BL330" s="520">
        <f t="shared" si="486"/>
        <v>1.0141817318919957</v>
      </c>
      <c r="BM330" s="520">
        <f t="shared" si="487"/>
        <v>1.0165251332119476</v>
      </c>
      <c r="BN330" s="521" t="str">
        <f t="shared" si="488"/>
        <v>Category</v>
      </c>
      <c r="BP330" s="3"/>
    </row>
    <row r="331" spans="1:68" hidden="1" x14ac:dyDescent="0.15">
      <c r="A331" s="78" t="s">
        <v>2439</v>
      </c>
      <c r="B331" s="13" t="s">
        <v>2440</v>
      </c>
      <c r="C331" s="13" t="s">
        <v>27</v>
      </c>
      <c r="D331" s="13" t="s">
        <v>60</v>
      </c>
      <c r="E331" s="13" t="s">
        <v>29</v>
      </c>
      <c r="F331" s="14"/>
      <c r="G331" s="14"/>
      <c r="H331" s="14"/>
      <c r="I331" s="14"/>
      <c r="J331" s="14"/>
      <c r="K331" s="14"/>
      <c r="L331" s="14"/>
      <c r="M331" s="15"/>
      <c r="N331" s="670"/>
      <c r="O331" s="14"/>
      <c r="P331" s="15"/>
      <c r="Q331" s="15">
        <f>IF(ISTEXT('Incurred 2.5% cpi'!Q331),"",'Incurred 2.5% cpi'!Q331/'Incurred 2.5% cpi'!Q$17*Incurred!Q$17)</f>
        <v>1148062.3400000001</v>
      </c>
      <c r="R331" s="110">
        <f>IF(ISTEXT('Incurred 2.5% cpi'!R331),"",'Incurred 2.5% cpi'!R331/'Incurred 2.5% cpi'!R$17*Incurred!R$17*BG331)</f>
        <v>1824284.9417204317</v>
      </c>
      <c r="S331" s="102" t="str">
        <f>IF(ISTEXT('Incurred 2.5% cpi'!S331),"",'Incurred 2.5% cpi'!S331/'Incurred 2.5% cpi'!S$17*Incurred!S$17*BH331)</f>
        <v/>
      </c>
      <c r="T331" s="16" t="str">
        <f>IF(ISTEXT('Incurred 2.5% cpi'!T331),"",'Incurred 2.5% cpi'!T331/'Incurred 2.5% cpi'!T$17*Incurred!T$17*BI331)</f>
        <v/>
      </c>
      <c r="U331" s="16" t="str">
        <f>IF(ISTEXT('Incurred 2.5% cpi'!U331),"",'Incurred 2.5% cpi'!U331/'Incurred 2.5% cpi'!U$17*Incurred!U$17*BJ331)</f>
        <v/>
      </c>
      <c r="V331" s="16" t="str">
        <f>IF(ISTEXT('Incurred 2.5% cpi'!V331),"",'Incurred 2.5% cpi'!V331/'Incurred 2.5% cpi'!V$17*Incurred!V$17*BK331)</f>
        <v/>
      </c>
      <c r="W331" s="110" t="str">
        <f>IF(ISTEXT('Incurred 2.5% cpi'!W331),"",'Incurred 2.5% cpi'!W331/'Incurred 2.5% cpi'!W$17*Incurred!W$17*BL331)</f>
        <v/>
      </c>
      <c r="X331" s="102" t="str">
        <f>IF(ISTEXT('Incurred 2.5% cpi'!X331),"",'Incurred 2.5% cpi'!X331/'Incurred 2.5% cpi'!X$17*Incurred!X$17*BM331)</f>
        <v/>
      </c>
      <c r="Y331" s="80">
        <f t="shared" si="434"/>
        <v>2972347.2817204315</v>
      </c>
      <c r="Z331" s="80">
        <f t="shared" si="509"/>
        <v>2972347.2817204315</v>
      </c>
      <c r="AA331" s="566">
        <f t="shared" si="498"/>
        <v>3395411.3051112802</v>
      </c>
      <c r="AB331" s="566">
        <f t="shared" si="478"/>
        <v>3001048.8402204313</v>
      </c>
      <c r="AC331" s="567">
        <f t="shared" si="499"/>
        <v>1.1314082128906247</v>
      </c>
      <c r="AD331" s="568" t="str">
        <f t="shared" si="479"/>
        <v>2018</v>
      </c>
      <c r="AE331" s="569">
        <v>42963</v>
      </c>
      <c r="AF331" s="568">
        <v>2018</v>
      </c>
      <c r="AG331" s="569"/>
      <c r="AH331" s="566">
        <f t="shared" si="500"/>
        <v>3001048.8402204318</v>
      </c>
      <c r="AI331" s="80">
        <f t="shared" si="480"/>
        <v>1824284.9417204317</v>
      </c>
      <c r="AJ331" s="571" t="s">
        <v>0</v>
      </c>
      <c r="AK331" s="875">
        <f t="shared" si="481"/>
        <v>0</v>
      </c>
      <c r="AL331" s="28">
        <f t="shared" si="501"/>
        <v>0</v>
      </c>
      <c r="AM331" s="28">
        <f t="shared" si="501"/>
        <v>0</v>
      </c>
      <c r="AN331" s="28">
        <f t="shared" si="501"/>
        <v>0</v>
      </c>
      <c r="AO331" s="28">
        <f t="shared" si="501"/>
        <v>0</v>
      </c>
      <c r="AP331" s="28">
        <f t="shared" si="501"/>
        <v>0</v>
      </c>
      <c r="AQ331" s="28">
        <f t="shared" si="501"/>
        <v>0</v>
      </c>
      <c r="AR331" s="28">
        <f t="shared" si="501"/>
        <v>0</v>
      </c>
      <c r="AS331" s="28">
        <f t="shared" si="501"/>
        <v>0</v>
      </c>
      <c r="AT331" s="28">
        <f t="shared" si="501"/>
        <v>0</v>
      </c>
      <c r="AU331" s="28">
        <f t="shared" si="501"/>
        <v>0</v>
      </c>
      <c r="AV331" s="28">
        <f t="shared" si="502"/>
        <v>0</v>
      </c>
      <c r="AW331" s="28">
        <f t="shared" si="502"/>
        <v>0</v>
      </c>
      <c r="AX331" s="28">
        <f t="shared" si="502"/>
        <v>0</v>
      </c>
      <c r="AY331" s="28">
        <f t="shared" si="502"/>
        <v>0</v>
      </c>
      <c r="AZ331" s="28">
        <f t="shared" si="502"/>
        <v>0</v>
      </c>
      <c r="BA331" s="28">
        <f t="shared" si="502"/>
        <v>1</v>
      </c>
      <c r="BB331" s="28">
        <f t="shared" si="502"/>
        <v>0</v>
      </c>
      <c r="BC331" s="28">
        <f t="shared" si="502"/>
        <v>0</v>
      </c>
      <c r="BD331" s="28">
        <f t="shared" si="502"/>
        <v>0</v>
      </c>
      <c r="BE331" s="28">
        <f t="shared" si="502"/>
        <v>0</v>
      </c>
      <c r="BF331" s="27">
        <f t="shared" si="503"/>
        <v>1</v>
      </c>
      <c r="BG331" s="520">
        <f t="shared" si="504"/>
        <v>1.0002847743844534</v>
      </c>
      <c r="BH331" s="520">
        <f t="shared" si="482"/>
        <v>1.0005441940932489</v>
      </c>
      <c r="BI331" s="520">
        <f t="shared" si="483"/>
        <v>1.0008249562540341</v>
      </c>
      <c r="BJ331" s="520">
        <f t="shared" si="484"/>
        <v>1.0011492694359945</v>
      </c>
      <c r="BK331" s="520">
        <f t="shared" si="485"/>
        <v>1.0016217545485921</v>
      </c>
      <c r="BL331" s="520">
        <f t="shared" si="486"/>
        <v>1.0021532164205156</v>
      </c>
      <c r="BM331" s="520">
        <f t="shared" si="487"/>
        <v>1.0025090157150169</v>
      </c>
      <c r="BN331" s="521" t="str">
        <f t="shared" si="488"/>
        <v>Category</v>
      </c>
      <c r="BP331" s="3"/>
    </row>
    <row r="332" spans="1:68" hidden="1" outlineLevel="1" x14ac:dyDescent="0.15">
      <c r="A332" s="78" t="s">
        <v>2604</v>
      </c>
      <c r="B332" s="78" t="s">
        <v>2605</v>
      </c>
      <c r="C332" s="13" t="s">
        <v>27</v>
      </c>
      <c r="D332" s="13" t="s">
        <v>28</v>
      </c>
      <c r="E332" s="13" t="s">
        <v>29</v>
      </c>
      <c r="F332" s="14"/>
      <c r="G332" s="14"/>
      <c r="H332" s="14"/>
      <c r="I332" s="14"/>
      <c r="J332" s="14"/>
      <c r="K332" s="14"/>
      <c r="L332" s="14"/>
      <c r="M332" s="15"/>
      <c r="N332" s="670"/>
      <c r="O332" s="14"/>
      <c r="P332" s="15"/>
      <c r="Q332" s="15">
        <f>IF(ISTEXT('Incurred 2.5% cpi'!Q332),"",'Incurred 2.5% cpi'!Q332/'Incurred 2.5% cpi'!Q$17*Incurred!Q$17)</f>
        <v>177945.1</v>
      </c>
      <c r="R332" s="110">
        <f>IF(ISTEXT('Incurred 2.5% cpi'!R332),"",'Incurred 2.5% cpi'!R332/'Incurred 2.5% cpi'!R$17*Incurred!R$17*BG332)</f>
        <v>2842992.0726030068</v>
      </c>
      <c r="S332" s="102">
        <f>IF(ISTEXT('Incurred 2.5% cpi'!S332),"",'Incurred 2.5% cpi'!S332/'Incurred 2.5% cpi'!S$17*Incurred!S$17*BH332)</f>
        <v>523764.40555666306</v>
      </c>
      <c r="T332" s="16" t="str">
        <f>IF(ISTEXT('Incurred 2.5% cpi'!T332),"",'Incurred 2.5% cpi'!T332/'Incurred 2.5% cpi'!T$17*Incurred!T$17*BI332)</f>
        <v/>
      </c>
      <c r="U332" s="16" t="str">
        <f>IF(ISTEXT('Incurred 2.5% cpi'!U332),"",'Incurred 2.5% cpi'!U332/'Incurred 2.5% cpi'!U$17*Incurred!U$17*BJ332)</f>
        <v/>
      </c>
      <c r="V332" s="16" t="str">
        <f>IF(ISTEXT('Incurred 2.5% cpi'!V332),"",'Incurred 2.5% cpi'!V332/'Incurred 2.5% cpi'!V$17*Incurred!V$17*BK332)</f>
        <v/>
      </c>
      <c r="W332" s="110" t="str">
        <f>IF(ISTEXT('Incurred 2.5% cpi'!W332),"",'Incurred 2.5% cpi'!W332/'Incurred 2.5% cpi'!W$17*Incurred!W$17*BL332)</f>
        <v/>
      </c>
      <c r="X332" s="102" t="str">
        <f>IF(ISTEXT('Incurred 2.5% cpi'!X332),"",'Incurred 2.5% cpi'!X332/'Incurred 2.5% cpi'!X$17*Incurred!X$17*BM332)</f>
        <v/>
      </c>
      <c r="Y332" s="80">
        <f t="shared" ref="Y332:Y367" si="510">SUM(F332:W332)</f>
        <v>3544701.5781596699</v>
      </c>
      <c r="Z332" s="80">
        <f t="shared" si="509"/>
        <v>3544701.5781596699</v>
      </c>
      <c r="AA332" s="566">
        <f t="shared" si="498"/>
        <v>4001084.2439032006</v>
      </c>
      <c r="AB332" s="566">
        <f t="shared" ref="AB332:AB337" si="511">IF(AC332="","",AA332/AC332)</f>
        <v>3624784.8506622449</v>
      </c>
      <c r="AC332" s="567">
        <f t="shared" ref="AC332:AC337" si="512">IF(AF332="","",IF(AF332&lt;AD332,INDEX($F$20:$W$20,1,MATCH(TEXT(AF332,"000"),$F$24:$W$24)),INDEX($F$20:$W$20,1,MATCH(AD332,$F$24:$W$24))))</f>
        <v>1.1038128906249998</v>
      </c>
      <c r="AD332" s="568" t="str">
        <f t="shared" si="479"/>
        <v>2019</v>
      </c>
      <c r="AE332" s="569">
        <v>43270</v>
      </c>
      <c r="AF332" s="568">
        <v>2019</v>
      </c>
      <c r="AG332" s="569"/>
      <c r="AH332" s="566">
        <f t="shared" si="500"/>
        <v>3536375.464060727</v>
      </c>
      <c r="AI332" s="80">
        <f t="shared" si="480"/>
        <v>523764.40555666306</v>
      </c>
      <c r="AJ332" s="571" t="s">
        <v>3035</v>
      </c>
      <c r="AK332" s="875">
        <f>IF(ISNA(VLOOKUP(LEFT($A332,8),Estimates,72,FALSE)),0,VLOOKUP(LEFT($A332,8),Estimates,72,FALSE))</f>
        <v>3954701.0815000013</v>
      </c>
      <c r="AL332" s="28">
        <f t="shared" si="501"/>
        <v>0</v>
      </c>
      <c r="AM332" s="28">
        <f t="shared" si="501"/>
        <v>0.99946898641471948</v>
      </c>
      <c r="AN332" s="28">
        <f t="shared" si="501"/>
        <v>5.3101358528050353E-4</v>
      </c>
      <c r="AO332" s="28">
        <f t="shared" si="501"/>
        <v>0</v>
      </c>
      <c r="AP332" s="28">
        <f t="shared" si="501"/>
        <v>0</v>
      </c>
      <c r="AQ332" s="28">
        <f t="shared" si="501"/>
        <v>0</v>
      </c>
      <c r="AR332" s="28">
        <f t="shared" si="501"/>
        <v>0</v>
      </c>
      <c r="AS332" s="28">
        <f t="shared" si="501"/>
        <v>0</v>
      </c>
      <c r="AT332" s="28">
        <f t="shared" si="501"/>
        <v>0</v>
      </c>
      <c r="AU332" s="28">
        <f t="shared" si="501"/>
        <v>0</v>
      </c>
      <c r="AV332" s="28">
        <f t="shared" si="502"/>
        <v>0</v>
      </c>
      <c r="AW332" s="28">
        <f t="shared" si="502"/>
        <v>0</v>
      </c>
      <c r="AX332" s="28">
        <f t="shared" si="502"/>
        <v>0</v>
      </c>
      <c r="AY332" s="28">
        <f t="shared" si="502"/>
        <v>0</v>
      </c>
      <c r="AZ332" s="28">
        <f t="shared" si="502"/>
        <v>0</v>
      </c>
      <c r="BA332" s="28">
        <f t="shared" si="502"/>
        <v>0</v>
      </c>
      <c r="BB332" s="28">
        <f t="shared" si="502"/>
        <v>0</v>
      </c>
      <c r="BC332" s="28">
        <f t="shared" si="502"/>
        <v>0</v>
      </c>
      <c r="BD332" s="28">
        <f t="shared" si="502"/>
        <v>0</v>
      </c>
      <c r="BE332" s="28">
        <f t="shared" si="502"/>
        <v>0</v>
      </c>
      <c r="BF332" s="27">
        <f t="shared" ref="BF332:BF337" si="513">SUM(AL332:BD332)</f>
        <v>1</v>
      </c>
      <c r="BG332" s="520">
        <f t="shared" si="504"/>
        <v>1.0030444840366091</v>
      </c>
      <c r="BH332" s="520">
        <f t="shared" si="482"/>
        <v>1.0058179046998681</v>
      </c>
      <c r="BI332" s="520">
        <f t="shared" si="483"/>
        <v>1.0088194946014175</v>
      </c>
      <c r="BJ332" s="520">
        <f t="shared" si="484"/>
        <v>1.0122866825201464</v>
      </c>
      <c r="BK332" s="520">
        <f t="shared" si="485"/>
        <v>1.0173379563051834</v>
      </c>
      <c r="BL332" s="520">
        <f t="shared" si="486"/>
        <v>1.023019742566414</v>
      </c>
      <c r="BM332" s="520">
        <f t="shared" si="487"/>
        <v>1.026823544212498</v>
      </c>
      <c r="BN332" s="521" t="str">
        <f t="shared" si="488"/>
        <v>Category</v>
      </c>
      <c r="BP332" s="3"/>
    </row>
    <row r="333" spans="1:68" hidden="1" outlineLevel="1" x14ac:dyDescent="0.15">
      <c r="A333" s="78" t="s">
        <v>2606</v>
      </c>
      <c r="B333" s="78" t="s">
        <v>2607</v>
      </c>
      <c r="C333" s="13" t="s">
        <v>27</v>
      </c>
      <c r="D333" s="13" t="s">
        <v>28</v>
      </c>
      <c r="E333" s="13" t="s">
        <v>29</v>
      </c>
      <c r="F333" s="14"/>
      <c r="G333" s="14"/>
      <c r="H333" s="14"/>
      <c r="I333" s="14"/>
      <c r="J333" s="14"/>
      <c r="K333" s="14"/>
      <c r="L333" s="14"/>
      <c r="M333" s="15"/>
      <c r="N333" s="670"/>
      <c r="O333" s="14"/>
      <c r="P333" s="15"/>
      <c r="Q333" s="15">
        <f>IF(ISTEXT('Incurred 2.5% cpi'!Q333),"",'Incurred 2.5% cpi'!Q333/'Incurred 2.5% cpi'!Q$17*Incurred!Q$17)</f>
        <v>56209.279999999999</v>
      </c>
      <c r="R333" s="110">
        <f>IF(ISTEXT('Incurred 2.5% cpi'!R333),"",'Incurred 2.5% cpi'!R333/'Incurred 2.5% cpi'!R$17*Incurred!R$17*BG333)</f>
        <v>2731781.2206110707</v>
      </c>
      <c r="S333" s="102">
        <f>IF(ISTEXT('Incurred 2.5% cpi'!S333),"",'Incurred 2.5% cpi'!S333/'Incurred 2.5% cpi'!S$17*Incurred!S$17*BH333)</f>
        <v>1020157.0056801342</v>
      </c>
      <c r="T333" s="16" t="str">
        <f>IF(ISTEXT('Incurred 2.5% cpi'!T333),"",'Incurred 2.5% cpi'!T333/'Incurred 2.5% cpi'!T$17*Incurred!T$17*BI333)</f>
        <v/>
      </c>
      <c r="U333" s="16" t="str">
        <f>IF(ISTEXT('Incurred 2.5% cpi'!U333),"",'Incurred 2.5% cpi'!U333/'Incurred 2.5% cpi'!U$17*Incurred!U$17*BJ333)</f>
        <v/>
      </c>
      <c r="V333" s="16" t="str">
        <f>IF(ISTEXT('Incurred 2.5% cpi'!V333),"",'Incurred 2.5% cpi'!V333/'Incurred 2.5% cpi'!V$17*Incurred!V$17*BK333)</f>
        <v/>
      </c>
      <c r="W333" s="110" t="str">
        <f>IF(ISTEXT('Incurred 2.5% cpi'!W333),"",'Incurred 2.5% cpi'!W333/'Incurred 2.5% cpi'!W$17*Incurred!W$17*BL333)</f>
        <v/>
      </c>
      <c r="X333" s="102" t="str">
        <f>IF(ISTEXT('Incurred 2.5% cpi'!X333),"",'Incurred 2.5% cpi'!X333/'Incurred 2.5% cpi'!X$17*Incurred!X$17*BM333)</f>
        <v/>
      </c>
      <c r="Y333" s="80">
        <f t="shared" si="510"/>
        <v>3808147.5062912046</v>
      </c>
      <c r="Z333" s="80">
        <f t="shared" si="509"/>
        <v>3808147.5062912046</v>
      </c>
      <c r="AA333" s="566">
        <f t="shared" si="498"/>
        <v>4282007.6942093596</v>
      </c>
      <c r="AB333" s="566">
        <f t="shared" si="511"/>
        <v>3879287.6316064815</v>
      </c>
      <c r="AC333" s="567">
        <f t="shared" si="512"/>
        <v>1.1038128906249998</v>
      </c>
      <c r="AD333" s="568" t="str">
        <f t="shared" si="479"/>
        <v>2019</v>
      </c>
      <c r="AE333" s="569">
        <v>43278</v>
      </c>
      <c r="AF333" s="568">
        <v>2019</v>
      </c>
      <c r="AG333" s="569"/>
      <c r="AH333" s="566">
        <f t="shared" si="500"/>
        <v>3784670.8601038847</v>
      </c>
      <c r="AI333" s="80">
        <f t="shared" si="480"/>
        <v>1020157.0056801342</v>
      </c>
      <c r="AJ333" s="571" t="s">
        <v>3035</v>
      </c>
      <c r="AK333" s="875">
        <f>IF(ISNA(VLOOKUP(LEFT($A333,8),Estimates,72,FALSE)),0,VLOOKUP(LEFT($A333,8),Estimates,72,FALSE))</f>
        <v>5306398.7020000014</v>
      </c>
      <c r="AL333" s="28">
        <f t="shared" si="501"/>
        <v>0</v>
      </c>
      <c r="AM333" s="28">
        <f t="shared" si="501"/>
        <v>0.99960425137311892</v>
      </c>
      <c r="AN333" s="28">
        <f t="shared" si="501"/>
        <v>3.9574862688107143E-4</v>
      </c>
      <c r="AO333" s="28">
        <f t="shared" si="501"/>
        <v>0</v>
      </c>
      <c r="AP333" s="28">
        <f t="shared" si="501"/>
        <v>0</v>
      </c>
      <c r="AQ333" s="28">
        <f t="shared" si="501"/>
        <v>0</v>
      </c>
      <c r="AR333" s="28">
        <f t="shared" si="501"/>
        <v>0</v>
      </c>
      <c r="AS333" s="28">
        <f t="shared" si="501"/>
        <v>0</v>
      </c>
      <c r="AT333" s="28">
        <f t="shared" si="501"/>
        <v>0</v>
      </c>
      <c r="AU333" s="28">
        <f t="shared" si="501"/>
        <v>0</v>
      </c>
      <c r="AV333" s="28">
        <f t="shared" si="502"/>
        <v>0</v>
      </c>
      <c r="AW333" s="28">
        <f t="shared" si="502"/>
        <v>0</v>
      </c>
      <c r="AX333" s="28">
        <f t="shared" si="502"/>
        <v>0</v>
      </c>
      <c r="AY333" s="28">
        <f t="shared" si="502"/>
        <v>0</v>
      </c>
      <c r="AZ333" s="28">
        <f t="shared" si="502"/>
        <v>0</v>
      </c>
      <c r="BA333" s="28">
        <f t="shared" si="502"/>
        <v>0</v>
      </c>
      <c r="BB333" s="28">
        <f t="shared" si="502"/>
        <v>0</v>
      </c>
      <c r="BC333" s="28">
        <f t="shared" si="502"/>
        <v>0</v>
      </c>
      <c r="BD333" s="28">
        <f t="shared" si="502"/>
        <v>0</v>
      </c>
      <c r="BE333" s="28">
        <f t="shared" si="502"/>
        <v>0</v>
      </c>
      <c r="BF333" s="27">
        <f t="shared" si="513"/>
        <v>1</v>
      </c>
      <c r="BG333" s="520">
        <f t="shared" si="504"/>
        <v>1.0030444840366091</v>
      </c>
      <c r="BH333" s="520">
        <f t="shared" si="482"/>
        <v>1.0058179046998681</v>
      </c>
      <c r="BI333" s="520">
        <f t="shared" si="483"/>
        <v>1.0088194946014175</v>
      </c>
      <c r="BJ333" s="520">
        <f t="shared" si="484"/>
        <v>1.0122866825201464</v>
      </c>
      <c r="BK333" s="520">
        <f t="shared" si="485"/>
        <v>1.0173379563051834</v>
      </c>
      <c r="BL333" s="520">
        <f t="shared" si="486"/>
        <v>1.023019742566414</v>
      </c>
      <c r="BM333" s="520">
        <f t="shared" si="487"/>
        <v>1.026823544212498</v>
      </c>
      <c r="BN333" s="521" t="str">
        <f t="shared" si="488"/>
        <v>Category</v>
      </c>
      <c r="BP333" s="3"/>
    </row>
    <row r="334" spans="1:68" hidden="1" outlineLevel="1" x14ac:dyDescent="0.15">
      <c r="A334" s="78" t="s">
        <v>2608</v>
      </c>
      <c r="B334" s="78" t="s">
        <v>2609</v>
      </c>
      <c r="C334" s="13" t="s">
        <v>27</v>
      </c>
      <c r="D334" s="13" t="s">
        <v>54</v>
      </c>
      <c r="E334" s="13" t="s">
        <v>112</v>
      </c>
      <c r="F334" s="14"/>
      <c r="G334" s="14"/>
      <c r="H334" s="14"/>
      <c r="I334" s="14"/>
      <c r="J334" s="14"/>
      <c r="K334" s="14"/>
      <c r="L334" s="14"/>
      <c r="M334" s="15"/>
      <c r="N334" s="670"/>
      <c r="O334" s="14"/>
      <c r="P334" s="15"/>
      <c r="Q334" s="15" t="str">
        <f>IF(ISTEXT('Incurred 2.5% cpi'!Q334),"",'Incurred 2.5% cpi'!Q334/'Incurred 2.5% cpi'!Q$17*Incurred!Q$17)</f>
        <v/>
      </c>
      <c r="R334" s="110">
        <f>IF(ISTEXT('Incurred 2.5% cpi'!R334),"",'Incurred 2.5% cpi'!R334/'Incurred 2.5% cpi'!R$17*Incurred!R$17*BG334)</f>
        <v>21909.708635922281</v>
      </c>
      <c r="S334" s="102">
        <f>IF(ISTEXT('Incurred 2.5% cpi'!S334),"",'Incurred 2.5% cpi'!S334/'Incurred 2.5% cpi'!S$17*Incurred!S$17*BH334)</f>
        <v>411028.92571338237</v>
      </c>
      <c r="T334" s="16" t="str">
        <f>IF(ISTEXT('Incurred 2.5% cpi'!T334),"",'Incurred 2.5% cpi'!T334/'Incurred 2.5% cpi'!T$17*Incurred!T$17*BI334)</f>
        <v/>
      </c>
      <c r="U334" s="16" t="str">
        <f>IF(ISTEXT('Incurred 2.5% cpi'!U334),"",'Incurred 2.5% cpi'!U334/'Incurred 2.5% cpi'!U$17*Incurred!U$17*BJ334)</f>
        <v/>
      </c>
      <c r="V334" s="16" t="str">
        <f>IF(ISTEXT('Incurred 2.5% cpi'!V334),"",'Incurred 2.5% cpi'!V334/'Incurred 2.5% cpi'!V$17*Incurred!V$17*BK334)</f>
        <v/>
      </c>
      <c r="W334" s="110" t="str">
        <f>IF(ISTEXT('Incurred 2.5% cpi'!W334),"",'Incurred 2.5% cpi'!W334/'Incurred 2.5% cpi'!W$17*Incurred!W$17*BL334)</f>
        <v/>
      </c>
      <c r="X334" s="102" t="str">
        <f>IF(ISTEXT('Incurred 2.5% cpi'!X334),"",'Incurred 2.5% cpi'!X334/'Incurred 2.5% cpi'!X$17*Incurred!X$17*BM334)</f>
        <v/>
      </c>
      <c r="Y334" s="80">
        <f t="shared" si="510"/>
        <v>432938.63434930466</v>
      </c>
      <c r="Z334" s="80">
        <f t="shared" si="509"/>
        <v>432938.63434930466</v>
      </c>
      <c r="AA334" s="566">
        <f>IF(ROUND(Y334,0)=0,0,SUMPRODUCT($F$20:$W$20,F334:W334))</f>
        <v>478487.85091489996</v>
      </c>
      <c r="AB334" s="566">
        <f t="shared" si="511"/>
        <v>433486.37706520269</v>
      </c>
      <c r="AC334" s="567">
        <f t="shared" si="512"/>
        <v>1.1038128906249998</v>
      </c>
      <c r="AD334" s="568" t="str">
        <f t="shared" si="479"/>
        <v>2019</v>
      </c>
      <c r="AE334" s="569">
        <v>43525</v>
      </c>
      <c r="AF334" s="568">
        <v>2019</v>
      </c>
      <c r="AG334" s="569"/>
      <c r="AH334" s="566">
        <f>IF(ROUND(Y334,0)=0,0,SUMPRODUCT($F$19:$W$19,F334:W334))</f>
        <v>422913.53860019782</v>
      </c>
      <c r="AI334" s="80">
        <f t="shared" si="480"/>
        <v>411028.92571338237</v>
      </c>
      <c r="AJ334" s="571" t="s">
        <v>3037</v>
      </c>
      <c r="AK334" s="875">
        <f>IF(ISNA(VLOOKUP(LEFT($A334,8),Estimates,72,FALSE)),0,VLOOKUP(LEFT($A334,8),Estimates,72,FALSE))</f>
        <v>215159.99999999988</v>
      </c>
      <c r="AL334" s="28">
        <f t="shared" ref="AL334:AU347" si="514">IF($AK334=0,VLOOKUP(MID($A334,4,5),ProjectSplits,AL$23,FALSE),IF(ISNA(VLOOKUP($A334,Estimates,AL$22,FALSE)),VLOOKUP(MID($A334,4,5),ProjectSplits,AL$23,FALSE),VLOOKUP($A334,Estimates,AL$22,FALSE)))</f>
        <v>0</v>
      </c>
      <c r="AM334" s="28">
        <f t="shared" si="514"/>
        <v>0</v>
      </c>
      <c r="AN334" s="28">
        <f t="shared" si="514"/>
        <v>0</v>
      </c>
      <c r="AO334" s="28">
        <f t="shared" si="514"/>
        <v>0</v>
      </c>
      <c r="AP334" s="28">
        <f t="shared" si="514"/>
        <v>0</v>
      </c>
      <c r="AQ334" s="28">
        <f t="shared" si="514"/>
        <v>0</v>
      </c>
      <c r="AR334" s="28">
        <f t="shared" si="514"/>
        <v>0</v>
      </c>
      <c r="AS334" s="28">
        <f t="shared" si="514"/>
        <v>0</v>
      </c>
      <c r="AT334" s="28">
        <f t="shared" si="514"/>
        <v>0</v>
      </c>
      <c r="AU334" s="28">
        <f t="shared" si="514"/>
        <v>6.5811489124372541E-2</v>
      </c>
      <c r="AV334" s="28">
        <f t="shared" ref="AV334:BE347" si="515">IF($AK334=0,VLOOKUP(MID($A334,4,5),ProjectSplits,AV$23,FALSE),IF(ISNA(VLOOKUP($A334,Estimates,AV$22,FALSE)),VLOOKUP(MID($A334,4,5),ProjectSplits,AV$23,FALSE),VLOOKUP($A334,Estimates,AV$22,FALSE)))</f>
        <v>0</v>
      </c>
      <c r="AW334" s="28">
        <f t="shared" si="515"/>
        <v>0</v>
      </c>
      <c r="AX334" s="28">
        <f t="shared" si="515"/>
        <v>0</v>
      </c>
      <c r="AY334" s="28">
        <f t="shared" si="515"/>
        <v>0</v>
      </c>
      <c r="AZ334" s="28">
        <f t="shared" si="515"/>
        <v>0.86447295036252081</v>
      </c>
      <c r="BA334" s="28">
        <f t="shared" si="515"/>
        <v>0</v>
      </c>
      <c r="BB334" s="28">
        <f t="shared" si="515"/>
        <v>6.9715560513106511E-2</v>
      </c>
      <c r="BC334" s="28">
        <f t="shared" si="515"/>
        <v>0</v>
      </c>
      <c r="BD334" s="28">
        <f t="shared" si="515"/>
        <v>0</v>
      </c>
      <c r="BE334" s="28">
        <f t="shared" si="515"/>
        <v>0</v>
      </c>
      <c r="BF334" s="27">
        <f t="shared" si="513"/>
        <v>0.99999999999999978</v>
      </c>
      <c r="BG334" s="520">
        <f t="shared" si="504"/>
        <v>1.0039107050984442</v>
      </c>
      <c r="BH334" s="520">
        <f t="shared" si="482"/>
        <v>1.0074732234751271</v>
      </c>
      <c r="BI334" s="520">
        <f t="shared" si="483"/>
        <v>1.0113288301363141</v>
      </c>
      <c r="BJ334" s="520">
        <f t="shared" si="484"/>
        <v>1.0157825074451756</v>
      </c>
      <c r="BK334" s="520">
        <f t="shared" si="485"/>
        <v>1.0222709770535703</v>
      </c>
      <c r="BL334" s="520">
        <f t="shared" si="486"/>
        <v>1.0295693534723258</v>
      </c>
      <c r="BM334" s="520">
        <f t="shared" si="487"/>
        <v>1.0344554183397832</v>
      </c>
      <c r="BN334" s="521" t="str">
        <f t="shared" si="488"/>
        <v>Project</v>
      </c>
      <c r="BP334" s="3"/>
    </row>
    <row r="335" spans="1:68" hidden="1" outlineLevel="1" x14ac:dyDescent="0.15">
      <c r="A335" s="78" t="s">
        <v>2610</v>
      </c>
      <c r="B335" s="78" t="s">
        <v>2611</v>
      </c>
      <c r="C335" s="13" t="s">
        <v>27</v>
      </c>
      <c r="D335" s="13" t="s">
        <v>40</v>
      </c>
      <c r="E335" s="13" t="s">
        <v>29</v>
      </c>
      <c r="F335" s="14"/>
      <c r="G335" s="14"/>
      <c r="H335" s="14"/>
      <c r="I335" s="14"/>
      <c r="J335" s="14"/>
      <c r="K335" s="14"/>
      <c r="L335" s="14"/>
      <c r="M335" s="15"/>
      <c r="N335" s="670"/>
      <c r="O335" s="14"/>
      <c r="P335" s="15"/>
      <c r="Q335" s="15">
        <f>IF(ISTEXT('Incurred 2.5% cpi'!Q335),"",'Incurred 2.5% cpi'!Q335/'Incurred 2.5% cpi'!Q$17*Incurred!Q$17)</f>
        <v>32144.98</v>
      </c>
      <c r="R335" s="110">
        <f>IF(ISTEXT('Incurred 2.5% cpi'!R335),"",'Incurred 2.5% cpi'!R335/'Incurred 2.5% cpi'!R$17*Incurred!R$17*BG335)</f>
        <v>931056.05268294213</v>
      </c>
      <c r="S335" s="102" t="str">
        <f>IF(ISTEXT('Incurred 2.5% cpi'!S335),"",'Incurred 2.5% cpi'!S335/'Incurred 2.5% cpi'!S$17*Incurred!S$17*BH335)</f>
        <v/>
      </c>
      <c r="T335" s="16" t="str">
        <f>IF(ISTEXT('Incurred 2.5% cpi'!T335),"",'Incurred 2.5% cpi'!T335/'Incurred 2.5% cpi'!T$17*Incurred!T$17*BI335)</f>
        <v/>
      </c>
      <c r="U335" s="16" t="str">
        <f>IF(ISTEXT('Incurred 2.5% cpi'!U335),"",'Incurred 2.5% cpi'!U335/'Incurred 2.5% cpi'!U$17*Incurred!U$17*BJ335)</f>
        <v/>
      </c>
      <c r="V335" s="16" t="str">
        <f>IF(ISTEXT('Incurred 2.5% cpi'!V335),"",'Incurred 2.5% cpi'!V335/'Incurred 2.5% cpi'!V$17*Incurred!V$17*BK335)</f>
        <v/>
      </c>
      <c r="W335" s="110" t="str">
        <f>IF(ISTEXT('Incurred 2.5% cpi'!W335),"",'Incurred 2.5% cpi'!W335/'Incurred 2.5% cpi'!W$17*Incurred!W$17*BL335)</f>
        <v/>
      </c>
      <c r="X335" s="102" t="str">
        <f>IF(ISTEXT('Incurred 2.5% cpi'!X335),"",'Incurred 2.5% cpi'!X335/'Incurred 2.5% cpi'!X$17*Incurred!X$17*BM335)</f>
        <v/>
      </c>
      <c r="Y335" s="80">
        <f t="shared" si="510"/>
        <v>963201.03268294211</v>
      </c>
      <c r="Z335" s="80">
        <f t="shared" si="509"/>
        <v>963201.03268294211</v>
      </c>
      <c r="AA335" s="566">
        <f>IF(ROUND(Y335,0)=0,0,SUMPRODUCT($F$20:$W$20,F335:W335))</f>
        <v>1090682.786401592</v>
      </c>
      <c r="AB335" s="566">
        <f t="shared" si="511"/>
        <v>964004.65718294226</v>
      </c>
      <c r="AC335" s="567">
        <f t="shared" si="512"/>
        <v>1.1314082128906247</v>
      </c>
      <c r="AD335" s="568" t="str">
        <f t="shared" si="479"/>
        <v>2018</v>
      </c>
      <c r="AE335" s="569">
        <v>43007</v>
      </c>
      <c r="AF335" s="568">
        <v>2018</v>
      </c>
      <c r="AG335" s="569"/>
      <c r="AH335" s="566">
        <f>IF(ROUND(Y335,0)=0,0,SUMPRODUCT($F$19:$W$19,F335:W335))</f>
        <v>964004.65718294214</v>
      </c>
      <c r="AI335" s="80">
        <f t="shared" si="480"/>
        <v>931056.05268294213</v>
      </c>
      <c r="AJ335" s="571" t="s">
        <v>0</v>
      </c>
      <c r="AK335" s="875">
        <f t="shared" si="481"/>
        <v>0</v>
      </c>
      <c r="AL335" s="28">
        <f t="shared" si="514"/>
        <v>0</v>
      </c>
      <c r="AM335" s="28">
        <f t="shared" si="514"/>
        <v>0</v>
      </c>
      <c r="AN335" s="28">
        <f t="shared" si="514"/>
        <v>0</v>
      </c>
      <c r="AO335" s="28">
        <f t="shared" si="514"/>
        <v>0</v>
      </c>
      <c r="AP335" s="28">
        <f t="shared" si="514"/>
        <v>0</v>
      </c>
      <c r="AQ335" s="28">
        <f t="shared" si="514"/>
        <v>0</v>
      </c>
      <c r="AR335" s="28">
        <f t="shared" si="514"/>
        <v>0</v>
      </c>
      <c r="AS335" s="28">
        <f t="shared" si="514"/>
        <v>0</v>
      </c>
      <c r="AT335" s="28">
        <f t="shared" si="514"/>
        <v>0</v>
      </c>
      <c r="AU335" s="28">
        <f t="shared" si="514"/>
        <v>0</v>
      </c>
      <c r="AV335" s="28">
        <f t="shared" si="515"/>
        <v>0</v>
      </c>
      <c r="AW335" s="28">
        <f t="shared" si="515"/>
        <v>0</v>
      </c>
      <c r="AX335" s="28">
        <f t="shared" si="515"/>
        <v>0</v>
      </c>
      <c r="AY335" s="28">
        <f t="shared" si="515"/>
        <v>0</v>
      </c>
      <c r="AZ335" s="28">
        <f t="shared" si="515"/>
        <v>1</v>
      </c>
      <c r="BA335" s="28">
        <f t="shared" si="515"/>
        <v>0</v>
      </c>
      <c r="BB335" s="28">
        <f t="shared" si="515"/>
        <v>0</v>
      </c>
      <c r="BC335" s="28">
        <f t="shared" si="515"/>
        <v>0</v>
      </c>
      <c r="BD335" s="28">
        <f t="shared" si="515"/>
        <v>0</v>
      </c>
      <c r="BE335" s="28">
        <f t="shared" si="515"/>
        <v>0</v>
      </c>
      <c r="BF335" s="27">
        <f t="shared" si="513"/>
        <v>1</v>
      </c>
      <c r="BG335" s="520">
        <f t="shared" si="504"/>
        <v>1.0034498951996242</v>
      </c>
      <c r="BH335" s="520">
        <f t="shared" si="482"/>
        <v>1.0065926315443261</v>
      </c>
      <c r="BI335" s="520">
        <f t="shared" si="483"/>
        <v>1.0099939207178206</v>
      </c>
      <c r="BJ335" s="520">
        <f t="shared" si="484"/>
        <v>1.0139228081132494</v>
      </c>
      <c r="BK335" s="520">
        <f t="shared" si="485"/>
        <v>1.0196467222390713</v>
      </c>
      <c r="BL335" s="520">
        <f t="shared" si="486"/>
        <v>1.0260851094706045</v>
      </c>
      <c r="BM335" s="520">
        <f t="shared" si="487"/>
        <v>1.0303954349252136</v>
      </c>
      <c r="BN335" s="521" t="str">
        <f t="shared" si="488"/>
        <v>Category</v>
      </c>
      <c r="BP335" s="3"/>
    </row>
    <row r="336" spans="1:68" hidden="1" outlineLevel="1" x14ac:dyDescent="0.15">
      <c r="A336" s="78" t="s">
        <v>2612</v>
      </c>
      <c r="B336" s="78" t="s">
        <v>2613</v>
      </c>
      <c r="C336" s="13" t="s">
        <v>27</v>
      </c>
      <c r="D336" s="13" t="s">
        <v>54</v>
      </c>
      <c r="E336" s="13" t="s">
        <v>29</v>
      </c>
      <c r="F336" s="14"/>
      <c r="G336" s="14"/>
      <c r="H336" s="14"/>
      <c r="I336" s="14"/>
      <c r="J336" s="14"/>
      <c r="K336" s="14"/>
      <c r="L336" s="14"/>
      <c r="M336" s="15"/>
      <c r="N336" s="670"/>
      <c r="O336" s="14"/>
      <c r="P336" s="15"/>
      <c r="Q336" s="15">
        <f>IF(ISTEXT('Incurred 2.5% cpi'!Q336),"",'Incurred 2.5% cpi'!Q336/'Incurred 2.5% cpi'!Q$17*Incurred!Q$17)</f>
        <v>37331.14</v>
      </c>
      <c r="R336" s="110">
        <f>IF(ISTEXT('Incurred 2.5% cpi'!R336),"",'Incurred 2.5% cpi'!R336/'Incurred 2.5% cpi'!R$17*Incurred!R$17*BG336)</f>
        <v>1936235.8345369927</v>
      </c>
      <c r="S336" s="102" t="str">
        <f>IF(ISTEXT('Incurred 2.5% cpi'!S336),"",'Incurred 2.5% cpi'!S336/'Incurred 2.5% cpi'!S$17*Incurred!S$17*BH336)</f>
        <v/>
      </c>
      <c r="T336" s="16" t="str">
        <f>IF(ISTEXT('Incurred 2.5% cpi'!T336),"",'Incurred 2.5% cpi'!T336/'Incurred 2.5% cpi'!T$17*Incurred!T$17*BI336)</f>
        <v/>
      </c>
      <c r="U336" s="16" t="str">
        <f>IF(ISTEXT('Incurred 2.5% cpi'!U336),"",'Incurred 2.5% cpi'!U336/'Incurred 2.5% cpi'!U$17*Incurred!U$17*BJ336)</f>
        <v/>
      </c>
      <c r="V336" s="16" t="str">
        <f>IF(ISTEXT('Incurred 2.5% cpi'!V336),"",'Incurred 2.5% cpi'!V336/'Incurred 2.5% cpi'!V$17*Incurred!V$17*BK336)</f>
        <v/>
      </c>
      <c r="W336" s="110" t="str">
        <f>IF(ISTEXT('Incurred 2.5% cpi'!W336),"",'Incurred 2.5% cpi'!W336/'Incurred 2.5% cpi'!W$17*Incurred!W$17*BL336)</f>
        <v/>
      </c>
      <c r="X336" s="102" t="str">
        <f>IF(ISTEXT('Incurred 2.5% cpi'!X336),"",'Incurred 2.5% cpi'!X336/'Incurred 2.5% cpi'!X$17*Incurred!X$17*BM336)</f>
        <v/>
      </c>
      <c r="Y336" s="80">
        <f t="shared" si="510"/>
        <v>1973566.9745369926</v>
      </c>
      <c r="Z336" s="80">
        <f t="shared" si="509"/>
        <v>1973566.9745369926</v>
      </c>
      <c r="AA336" s="566">
        <f>IF(ROUND(Y336,0)=0,0,SUMPRODUCT($F$20:$W$20,F336:W336))</f>
        <v>2233965.80264067</v>
      </c>
      <c r="AB336" s="566">
        <f t="shared" si="511"/>
        <v>1974500.2530369926</v>
      </c>
      <c r="AC336" s="567">
        <f t="shared" si="512"/>
        <v>1.1314082128906247</v>
      </c>
      <c r="AD336" s="568" t="str">
        <f t="shared" si="479"/>
        <v>2018</v>
      </c>
      <c r="AE336" s="569">
        <v>43229</v>
      </c>
      <c r="AF336" s="568">
        <v>2018</v>
      </c>
      <c r="AG336" s="569"/>
      <c r="AH336" s="566">
        <f>IF(ROUND(Y336,0)=0,0,SUMPRODUCT($F$19:$W$19,F336:W336))</f>
        <v>1974500.2530369926</v>
      </c>
      <c r="AI336" s="80">
        <f t="shared" si="480"/>
        <v>1936235.8345369927</v>
      </c>
      <c r="AJ336" s="571" t="s">
        <v>0</v>
      </c>
      <c r="AK336" s="875">
        <f t="shared" ref="AK336:AK347" si="516">IF(ISNA(VLOOKUP(LEFT($A336,8),Estimates,72,FALSE)),0,VLOOKUP(LEFT($A336,8),Estimates,72,FALSE))</f>
        <v>1860929.1815088</v>
      </c>
      <c r="AL336" s="28">
        <f t="shared" si="514"/>
        <v>0</v>
      </c>
      <c r="AM336" s="28">
        <f t="shared" si="514"/>
        <v>5.373659620884777E-3</v>
      </c>
      <c r="AN336" s="28">
        <f t="shared" si="514"/>
        <v>0</v>
      </c>
      <c r="AO336" s="28">
        <f t="shared" si="514"/>
        <v>0</v>
      </c>
      <c r="AP336" s="28">
        <f t="shared" si="514"/>
        <v>0</v>
      </c>
      <c r="AQ336" s="28">
        <f t="shared" si="514"/>
        <v>0</v>
      </c>
      <c r="AR336" s="28">
        <f t="shared" si="514"/>
        <v>0</v>
      </c>
      <c r="AS336" s="28">
        <f t="shared" si="514"/>
        <v>0</v>
      </c>
      <c r="AT336" s="28">
        <f t="shared" si="514"/>
        <v>0</v>
      </c>
      <c r="AU336" s="28">
        <f t="shared" si="514"/>
        <v>0</v>
      </c>
      <c r="AV336" s="28">
        <f t="shared" si="515"/>
        <v>0</v>
      </c>
      <c r="AW336" s="28">
        <f t="shared" si="515"/>
        <v>0.99462634037911524</v>
      </c>
      <c r="AX336" s="28">
        <f t="shared" si="515"/>
        <v>0</v>
      </c>
      <c r="AY336" s="28">
        <f t="shared" si="515"/>
        <v>0</v>
      </c>
      <c r="AZ336" s="28">
        <f t="shared" si="515"/>
        <v>0</v>
      </c>
      <c r="BA336" s="28">
        <f t="shared" si="515"/>
        <v>0</v>
      </c>
      <c r="BB336" s="28">
        <f t="shared" si="515"/>
        <v>0</v>
      </c>
      <c r="BC336" s="28">
        <f t="shared" si="515"/>
        <v>0</v>
      </c>
      <c r="BD336" s="28">
        <f t="shared" si="515"/>
        <v>0</v>
      </c>
      <c r="BE336" s="28">
        <f t="shared" si="515"/>
        <v>0</v>
      </c>
      <c r="BF336" s="27">
        <f t="shared" si="513"/>
        <v>1</v>
      </c>
      <c r="BG336" s="520">
        <f t="shared" si="504"/>
        <v>1.0030818160192299</v>
      </c>
      <c r="BH336" s="520">
        <f t="shared" si="482"/>
        <v>1.0058892448397847</v>
      </c>
      <c r="BI336" s="520">
        <f t="shared" si="483"/>
        <v>1.0089276407487533</v>
      </c>
      <c r="BJ336" s="520">
        <f t="shared" si="484"/>
        <v>1.0124373439172154</v>
      </c>
      <c r="BK336" s="520">
        <f t="shared" si="485"/>
        <v>1.0175505572831101</v>
      </c>
      <c r="BL336" s="520">
        <f t="shared" si="486"/>
        <v>1.023302014576742</v>
      </c>
      <c r="BM336" s="520">
        <f t="shared" si="487"/>
        <v>1.0271524590875074</v>
      </c>
      <c r="BN336" s="521" t="str">
        <f t="shared" si="488"/>
        <v>Category</v>
      </c>
      <c r="BP336" s="3"/>
    </row>
    <row r="337" spans="1:68" hidden="1" outlineLevel="1" x14ac:dyDescent="0.15">
      <c r="A337" s="78" t="s">
        <v>2614</v>
      </c>
      <c r="B337" s="78" t="s">
        <v>2615</v>
      </c>
      <c r="C337" s="13" t="s">
        <v>27</v>
      </c>
      <c r="D337" s="13" t="s">
        <v>54</v>
      </c>
      <c r="E337" s="13" t="s">
        <v>112</v>
      </c>
      <c r="F337" s="14"/>
      <c r="G337" s="14"/>
      <c r="H337" s="14"/>
      <c r="I337" s="14"/>
      <c r="J337" s="14"/>
      <c r="K337" s="14"/>
      <c r="L337" s="14"/>
      <c r="M337" s="15"/>
      <c r="N337" s="670"/>
      <c r="O337" s="14"/>
      <c r="P337" s="15"/>
      <c r="Q337" s="15">
        <f>IF(ISTEXT('Incurred 2.5% cpi'!Q337),"",'Incurred 2.5% cpi'!Q337/'Incurred 2.5% cpi'!Q$17*Incurred!Q$17)</f>
        <v>19135.87</v>
      </c>
      <c r="R337" s="110">
        <f>IF(ISTEXT('Incurred 2.5% cpi'!R337),"",'Incurred 2.5% cpi'!R337/'Incurred 2.5% cpi'!R$17*Incurred!R$17*BG337)</f>
        <v>621427.81225323619</v>
      </c>
      <c r="S337" s="102">
        <f>IF(ISTEXT('Incurred 2.5% cpi'!S337),"",'Incurred 2.5% cpi'!S337/'Incurred 2.5% cpi'!S$17*Incurred!S$17*BH337)</f>
        <v>1899988.9884543</v>
      </c>
      <c r="T337" s="16">
        <f>IF(ISTEXT('Incurred 2.5% cpi'!T337),"",'Incurred 2.5% cpi'!T337/'Incurred 2.5% cpi'!T$17*Incurred!T$17*BI337)</f>
        <v>6434.9404926955485</v>
      </c>
      <c r="U337" s="16" t="str">
        <f>IF(ISTEXT('Incurred 2.5% cpi'!U337),"",'Incurred 2.5% cpi'!U337/'Incurred 2.5% cpi'!U$17*Incurred!U$17*BJ337)</f>
        <v/>
      </c>
      <c r="V337" s="16" t="str">
        <f>IF(ISTEXT('Incurred 2.5% cpi'!V337),"",'Incurred 2.5% cpi'!V337/'Incurred 2.5% cpi'!V$17*Incurred!V$17*BK337)</f>
        <v/>
      </c>
      <c r="W337" s="110" t="str">
        <f>IF(ISTEXT('Incurred 2.5% cpi'!W337),"",'Incurred 2.5% cpi'!W337/'Incurred 2.5% cpi'!W$17*Incurred!W$17*BL337)</f>
        <v/>
      </c>
      <c r="X337" s="102" t="str">
        <f>IF(ISTEXT('Incurred 2.5% cpi'!X337),"",'Incurred 2.5% cpi'!X337/'Incurred 2.5% cpi'!X$17*Incurred!X$17*BM337)</f>
        <v/>
      </c>
      <c r="Y337" s="80">
        <f t="shared" si="510"/>
        <v>2546987.6112002316</v>
      </c>
      <c r="Z337" s="80">
        <f t="shared" si="509"/>
        <v>2546987.6112002316</v>
      </c>
      <c r="AA337" s="566">
        <f>IF(ROUND(Y337,0)=0,0,SUMPRODUCT($F$20:$W$20,F337:W337))</f>
        <v>2829442.3375831693</v>
      </c>
      <c r="AB337" s="566">
        <f t="shared" si="511"/>
        <v>2563335.1101571983</v>
      </c>
      <c r="AC337" s="567">
        <f t="shared" si="512"/>
        <v>1.1038128906249998</v>
      </c>
      <c r="AD337" s="568" t="str">
        <f t="shared" si="479"/>
        <v>2020</v>
      </c>
      <c r="AE337" s="569">
        <v>43159</v>
      </c>
      <c r="AF337" s="568">
        <v>2019</v>
      </c>
      <c r="AG337" s="569"/>
      <c r="AH337" s="566">
        <f>IF(ROUND(Y337,0)=0,0,SUMPRODUCT($F$19:$W$19,F337:W337))</f>
        <v>2500814.7416167785</v>
      </c>
      <c r="AI337" s="80">
        <f t="shared" si="480"/>
        <v>6434.9404926955485</v>
      </c>
      <c r="AJ337" s="571" t="s">
        <v>0</v>
      </c>
      <c r="AK337" s="875">
        <f t="shared" si="516"/>
        <v>2046241.4799999997</v>
      </c>
      <c r="AL337" s="28">
        <f t="shared" si="514"/>
        <v>0</v>
      </c>
      <c r="AM337" s="28">
        <f t="shared" si="514"/>
        <v>0</v>
      </c>
      <c r="AN337" s="28">
        <f t="shared" si="514"/>
        <v>0</v>
      </c>
      <c r="AO337" s="28">
        <f t="shared" si="514"/>
        <v>0</v>
      </c>
      <c r="AP337" s="28">
        <f t="shared" si="514"/>
        <v>0</v>
      </c>
      <c r="AQ337" s="28">
        <f t="shared" si="514"/>
        <v>0</v>
      </c>
      <c r="AR337" s="28">
        <f t="shared" si="514"/>
        <v>0</v>
      </c>
      <c r="AS337" s="28">
        <f t="shared" si="514"/>
        <v>0</v>
      </c>
      <c r="AT337" s="28">
        <f t="shared" si="514"/>
        <v>0</v>
      </c>
      <c r="AU337" s="28">
        <f t="shared" si="514"/>
        <v>0.94319268711139603</v>
      </c>
      <c r="AV337" s="28">
        <f t="shared" si="515"/>
        <v>0</v>
      </c>
      <c r="AW337" s="28">
        <f t="shared" si="515"/>
        <v>0</v>
      </c>
      <c r="AX337" s="28">
        <f t="shared" si="515"/>
        <v>0</v>
      </c>
      <c r="AY337" s="28">
        <f t="shared" si="515"/>
        <v>0</v>
      </c>
      <c r="AZ337" s="28">
        <f t="shared" si="515"/>
        <v>0</v>
      </c>
      <c r="BA337" s="28">
        <f t="shared" si="515"/>
        <v>0</v>
      </c>
      <c r="BB337" s="28">
        <f t="shared" si="515"/>
        <v>5.6807312888603925E-2</v>
      </c>
      <c r="BC337" s="28">
        <f t="shared" si="515"/>
        <v>0</v>
      </c>
      <c r="BD337" s="28">
        <f t="shared" si="515"/>
        <v>0</v>
      </c>
      <c r="BE337" s="28">
        <f t="shared" si="515"/>
        <v>0</v>
      </c>
      <c r="BF337" s="27">
        <f t="shared" si="513"/>
        <v>1</v>
      </c>
      <c r="BG337" s="520">
        <f t="shared" si="504"/>
        <v>1.0030818160192299</v>
      </c>
      <c r="BH337" s="520">
        <f t="shared" si="482"/>
        <v>1.0058892448397847</v>
      </c>
      <c r="BI337" s="520">
        <f t="shared" si="483"/>
        <v>1.0089276407487533</v>
      </c>
      <c r="BJ337" s="520">
        <f t="shared" si="484"/>
        <v>1.0124373439172154</v>
      </c>
      <c r="BK337" s="520">
        <f t="shared" si="485"/>
        <v>1.0175505572831101</v>
      </c>
      <c r="BL337" s="520">
        <f t="shared" si="486"/>
        <v>1.023302014576742</v>
      </c>
      <c r="BM337" s="520">
        <f t="shared" si="487"/>
        <v>1.0271524590875074</v>
      </c>
      <c r="BN337" s="521" t="str">
        <f t="shared" si="488"/>
        <v>Category</v>
      </c>
      <c r="BP337" s="3"/>
    </row>
    <row r="338" spans="1:68" hidden="1" outlineLevel="1" x14ac:dyDescent="0.15">
      <c r="A338" s="78" t="s">
        <v>2616</v>
      </c>
      <c r="B338" s="78" t="s">
        <v>2617</v>
      </c>
      <c r="C338" s="13" t="s">
        <v>27</v>
      </c>
      <c r="D338" s="13" t="s">
        <v>54</v>
      </c>
      <c r="E338" s="13" t="s">
        <v>112</v>
      </c>
      <c r="F338" s="14"/>
      <c r="G338" s="14"/>
      <c r="H338" s="14"/>
      <c r="I338" s="14"/>
      <c r="J338" s="14"/>
      <c r="K338" s="14"/>
      <c r="L338" s="14"/>
      <c r="M338" s="15"/>
      <c r="N338" s="670"/>
      <c r="O338" s="14"/>
      <c r="P338" s="15"/>
      <c r="Q338" s="15">
        <f>IF(ISTEXT('Incurred 2.5% cpi'!Q338),"",'Incurred 2.5% cpi'!Q338/'Incurred 2.5% cpi'!Q$17*Incurred!Q$17)</f>
        <v>36152.019999999997</v>
      </c>
      <c r="R338" s="110">
        <f>IF(ISTEXT('Incurred 2.5% cpi'!R338),"",'Incurred 2.5% cpi'!R338/'Incurred 2.5% cpi'!R$17*Incurred!R$17*BG338)</f>
        <v>214686.61189878406</v>
      </c>
      <c r="S338" s="102" t="str">
        <f>IF(ISTEXT('Incurred 2.5% cpi'!S338),"",'Incurred 2.5% cpi'!S338/'Incurred 2.5% cpi'!S$17*Incurred!S$17*BH338)</f>
        <v/>
      </c>
      <c r="T338" s="16" t="str">
        <f>IF(ISTEXT('Incurred 2.5% cpi'!T338),"",'Incurred 2.5% cpi'!T338/'Incurred 2.5% cpi'!T$17*Incurred!T$17*BI338)</f>
        <v/>
      </c>
      <c r="U338" s="16" t="str">
        <f>IF(ISTEXT('Incurred 2.5% cpi'!U338),"",'Incurred 2.5% cpi'!U338/'Incurred 2.5% cpi'!U$17*Incurred!U$17*BJ338)</f>
        <v/>
      </c>
      <c r="V338" s="16" t="str">
        <f>IF(ISTEXT('Incurred 2.5% cpi'!V338),"",'Incurred 2.5% cpi'!V338/'Incurred 2.5% cpi'!V$17*Incurred!V$17*BK338)</f>
        <v/>
      </c>
      <c r="W338" s="110" t="str">
        <f>IF(ISTEXT('Incurred 2.5% cpi'!W338),"",'Incurred 2.5% cpi'!W338/'Incurred 2.5% cpi'!W$17*Incurred!W$17*BL338)</f>
        <v/>
      </c>
      <c r="X338" s="102" t="str">
        <f>IF(ISTEXT('Incurred 2.5% cpi'!X338),"",'Incurred 2.5% cpi'!X338/'Incurred 2.5% cpi'!X$17*Incurred!X$17*BM338)</f>
        <v/>
      </c>
      <c r="Y338" s="80">
        <f t="shared" si="510"/>
        <v>250838.63189878405</v>
      </c>
      <c r="Z338" s="80">
        <f t="shared" si="509"/>
        <v>250838.63189878405</v>
      </c>
      <c r="AA338" s="566">
        <f>IF(ROUND(Y338,0)=0,0,SUMPRODUCT($F$20:$W$20,F338:W338))</f>
        <v>284823.45554904715</v>
      </c>
      <c r="AB338" s="566">
        <f t="shared" ref="AB338:AB349" si="517">IF(AC338="","",AA338/AC338)</f>
        <v>251742.43239878406</v>
      </c>
      <c r="AC338" s="567">
        <f t="shared" ref="AC338:AC349" si="518">IF(AF338="","",IF(AF338&lt;AD338,INDEX($F$20:$W$20,1,MATCH(TEXT(AF338,"000"),$F$24:$W$24)),INDEX($F$20:$W$20,1,MATCH(AD338,$F$24:$W$24))))</f>
        <v>1.1314082128906247</v>
      </c>
      <c r="AD338" s="568" t="str">
        <f t="shared" si="479"/>
        <v>2018</v>
      </c>
      <c r="AE338" s="569">
        <v>43159</v>
      </c>
      <c r="AF338" s="568">
        <v>2018</v>
      </c>
      <c r="AG338" s="569"/>
      <c r="AH338" s="566">
        <f>IF(ROUND(Y338,0)=0,0,SUMPRODUCT($F$19:$W$19,F338:W338))</f>
        <v>251742.43239878406</v>
      </c>
      <c r="AI338" s="80">
        <f t="shared" si="480"/>
        <v>214686.61189878406</v>
      </c>
      <c r="AJ338" s="571" t="s">
        <v>0</v>
      </c>
      <c r="AK338" s="875">
        <f t="shared" si="516"/>
        <v>874921.82773997076</v>
      </c>
      <c r="AL338" s="28">
        <f t="shared" si="514"/>
        <v>0</v>
      </c>
      <c r="AM338" s="28">
        <f t="shared" si="514"/>
        <v>0</v>
      </c>
      <c r="AN338" s="28">
        <f t="shared" si="514"/>
        <v>0</v>
      </c>
      <c r="AO338" s="28">
        <f t="shared" si="514"/>
        <v>0</v>
      </c>
      <c r="AP338" s="28">
        <f t="shared" si="514"/>
        <v>0</v>
      </c>
      <c r="AQ338" s="28">
        <f t="shared" si="514"/>
        <v>0</v>
      </c>
      <c r="AR338" s="28">
        <f t="shared" si="514"/>
        <v>0</v>
      </c>
      <c r="AS338" s="28">
        <f t="shared" si="514"/>
        <v>0</v>
      </c>
      <c r="AT338" s="28">
        <f t="shared" si="514"/>
        <v>0</v>
      </c>
      <c r="AU338" s="28">
        <f t="shared" si="514"/>
        <v>0.47207511893824683</v>
      </c>
      <c r="AV338" s="28">
        <f t="shared" si="515"/>
        <v>0</v>
      </c>
      <c r="AW338" s="28">
        <f t="shared" si="515"/>
        <v>0.12548892528977545</v>
      </c>
      <c r="AX338" s="28">
        <f t="shared" si="515"/>
        <v>0</v>
      </c>
      <c r="AY338" s="28">
        <f t="shared" si="515"/>
        <v>0</v>
      </c>
      <c r="AZ338" s="28">
        <f t="shared" si="515"/>
        <v>0.36814717813627323</v>
      </c>
      <c r="BA338" s="28">
        <f t="shared" si="515"/>
        <v>3.4288777635704482E-2</v>
      </c>
      <c r="BB338" s="28">
        <f t="shared" si="515"/>
        <v>0</v>
      </c>
      <c r="BC338" s="28">
        <f t="shared" si="515"/>
        <v>0</v>
      </c>
      <c r="BD338" s="28">
        <f t="shared" si="515"/>
        <v>0</v>
      </c>
      <c r="BE338" s="28">
        <f t="shared" si="515"/>
        <v>0</v>
      </c>
      <c r="BF338" s="27">
        <f t="shared" ref="BF338:BF366" si="519">SUM(AL338:BD338)</f>
        <v>1</v>
      </c>
      <c r="BG338" s="520">
        <f t="shared" si="504"/>
        <v>1.0030818160192299</v>
      </c>
      <c r="BH338" s="520">
        <f t="shared" si="482"/>
        <v>1.0058892448397847</v>
      </c>
      <c r="BI338" s="520">
        <f t="shared" si="483"/>
        <v>1.0089276407487533</v>
      </c>
      <c r="BJ338" s="520">
        <f t="shared" si="484"/>
        <v>1.0124373439172154</v>
      </c>
      <c r="BK338" s="520">
        <f t="shared" si="485"/>
        <v>1.0175505572831101</v>
      </c>
      <c r="BL338" s="520">
        <f t="shared" si="486"/>
        <v>1.023302014576742</v>
      </c>
      <c r="BM338" s="520">
        <f t="shared" si="487"/>
        <v>1.0271524590875074</v>
      </c>
      <c r="BN338" s="521" t="str">
        <f t="shared" si="488"/>
        <v>Category</v>
      </c>
      <c r="BP338" s="3"/>
    </row>
    <row r="339" spans="1:68" hidden="1" outlineLevel="1" x14ac:dyDescent="0.15">
      <c r="A339" s="78" t="s">
        <v>2633</v>
      </c>
      <c r="B339" s="78" t="s">
        <v>2634</v>
      </c>
      <c r="C339" s="13" t="s">
        <v>27</v>
      </c>
      <c r="D339" s="13" t="s">
        <v>54</v>
      </c>
      <c r="E339" s="13" t="s">
        <v>112</v>
      </c>
      <c r="F339" s="14"/>
      <c r="G339" s="14"/>
      <c r="H339" s="14"/>
      <c r="I339" s="14"/>
      <c r="J339" s="14"/>
      <c r="K339" s="14"/>
      <c r="L339" s="14"/>
      <c r="M339" s="15"/>
      <c r="N339" s="670"/>
      <c r="O339" s="14"/>
      <c r="P339" s="15"/>
      <c r="Q339" s="15">
        <f>IF(ISTEXT('Incurred 2.5% cpi'!Q339),"",'Incurred 2.5% cpi'!Q339/'Incurred 2.5% cpi'!Q$17*Incurred!Q$17)</f>
        <v>4901.7299999999996</v>
      </c>
      <c r="R339" s="110">
        <f>IF(ISTEXT('Incurred 2.5% cpi'!R339),"",'Incurred 2.5% cpi'!R339/'Incurred 2.5% cpi'!R$17*Incurred!R$17*BG339)</f>
        <v>578615.81892790028</v>
      </c>
      <c r="S339" s="102">
        <f>IF(ISTEXT('Incurred 2.5% cpi'!S339),"",'Incurred 2.5% cpi'!S339/'Incurred 2.5% cpi'!S$17*Incurred!S$17*BH339)</f>
        <v>590.80904795664753</v>
      </c>
      <c r="T339" s="16" t="str">
        <f>IF(ISTEXT('Incurred 2.5% cpi'!T339),"",'Incurred 2.5% cpi'!T339/'Incurred 2.5% cpi'!T$17*Incurred!T$17*BI339)</f>
        <v/>
      </c>
      <c r="U339" s="16" t="str">
        <f>IF(ISTEXT('Incurred 2.5% cpi'!U339),"",'Incurred 2.5% cpi'!U339/'Incurred 2.5% cpi'!U$17*Incurred!U$17*BJ339)</f>
        <v/>
      </c>
      <c r="V339" s="16" t="str">
        <f>IF(ISTEXT('Incurred 2.5% cpi'!V339),"",'Incurred 2.5% cpi'!V339/'Incurred 2.5% cpi'!V$17*Incurred!V$17*BK339)</f>
        <v/>
      </c>
      <c r="W339" s="110" t="str">
        <f>IF(ISTEXT('Incurred 2.5% cpi'!W339),"",'Incurred 2.5% cpi'!W339/'Incurred 2.5% cpi'!W$17*Incurred!W$17*BL339)</f>
        <v/>
      </c>
      <c r="X339" s="102" t="str">
        <f>IF(ISTEXT('Incurred 2.5% cpi'!X339),"",'Incurred 2.5% cpi'!X339/'Incurred 2.5% cpi'!X$17*Incurred!X$17*BM339)</f>
        <v/>
      </c>
      <c r="Y339" s="80">
        <f t="shared" si="510"/>
        <v>584108.35797585687</v>
      </c>
      <c r="Z339" s="80">
        <f t="shared" si="509"/>
        <v>584108.35797585687</v>
      </c>
      <c r="AA339" s="566">
        <f t="shared" ref="AA339:AA349" si="520">IF(ROUND(Y339,0)=0,0,SUMPRODUCT($F$20:$W$20,F339:W339))</f>
        <v>660987.33630535007</v>
      </c>
      <c r="AB339" s="566">
        <f t="shared" si="517"/>
        <v>584216.49124907749</v>
      </c>
      <c r="AC339" s="567">
        <f t="shared" si="518"/>
        <v>1.1314082128906247</v>
      </c>
      <c r="AD339" s="568" t="str">
        <f t="shared" si="479"/>
        <v>2019</v>
      </c>
      <c r="AE339" s="569">
        <v>43179</v>
      </c>
      <c r="AF339" s="568">
        <v>2018</v>
      </c>
      <c r="AG339" s="569"/>
      <c r="AH339" s="566">
        <f t="shared" ref="AH339:AH349" si="521">IF(ROUND(Y339,0)=0,0,SUMPRODUCT($F$19:$W$19,F339:W339))</f>
        <v>584216.49124907749</v>
      </c>
      <c r="AI339" s="80">
        <f t="shared" si="480"/>
        <v>590.80904795664753</v>
      </c>
      <c r="AJ339" s="571" t="s">
        <v>0</v>
      </c>
      <c r="AK339" s="875">
        <f t="shared" si="516"/>
        <v>663206.21722999995</v>
      </c>
      <c r="AL339" s="28">
        <f t="shared" si="514"/>
        <v>0</v>
      </c>
      <c r="AM339" s="28">
        <f t="shared" si="514"/>
        <v>6.7851500876980109E-2</v>
      </c>
      <c r="AN339" s="28">
        <f t="shared" si="514"/>
        <v>0.63058317177229628</v>
      </c>
      <c r="AO339" s="28">
        <f t="shared" si="514"/>
        <v>0</v>
      </c>
      <c r="AP339" s="28">
        <f t="shared" si="514"/>
        <v>0</v>
      </c>
      <c r="AQ339" s="28">
        <f t="shared" si="514"/>
        <v>0</v>
      </c>
      <c r="AR339" s="28">
        <f t="shared" si="514"/>
        <v>0</v>
      </c>
      <c r="AS339" s="28">
        <f t="shared" si="514"/>
        <v>0</v>
      </c>
      <c r="AT339" s="28">
        <f t="shared" si="514"/>
        <v>0</v>
      </c>
      <c r="AU339" s="28">
        <f t="shared" si="514"/>
        <v>0</v>
      </c>
      <c r="AV339" s="28">
        <f t="shared" si="515"/>
        <v>0.30156532735072356</v>
      </c>
      <c r="AW339" s="28">
        <f t="shared" si="515"/>
        <v>0</v>
      </c>
      <c r="AX339" s="28">
        <f t="shared" si="515"/>
        <v>0</v>
      </c>
      <c r="AY339" s="28">
        <f t="shared" si="515"/>
        <v>0</v>
      </c>
      <c r="AZ339" s="28">
        <f t="shared" si="515"/>
        <v>0</v>
      </c>
      <c r="BA339" s="28">
        <f t="shared" si="515"/>
        <v>0</v>
      </c>
      <c r="BB339" s="28">
        <f t="shared" si="515"/>
        <v>0</v>
      </c>
      <c r="BC339" s="28">
        <f t="shared" si="515"/>
        <v>0</v>
      </c>
      <c r="BD339" s="28">
        <f t="shared" si="515"/>
        <v>0</v>
      </c>
      <c r="BE339" s="28">
        <f t="shared" si="515"/>
        <v>0</v>
      </c>
      <c r="BF339" s="27">
        <f t="shared" si="519"/>
        <v>1</v>
      </c>
      <c r="BG339" s="520">
        <f t="shared" si="504"/>
        <v>1.0030818160192299</v>
      </c>
      <c r="BH339" s="520">
        <f t="shared" si="482"/>
        <v>1.0058892448397847</v>
      </c>
      <c r="BI339" s="520">
        <f t="shared" si="483"/>
        <v>1.0089276407487533</v>
      </c>
      <c r="BJ339" s="520">
        <f t="shared" si="484"/>
        <v>1.0124373439172154</v>
      </c>
      <c r="BK339" s="520">
        <f t="shared" si="485"/>
        <v>1.0175505572831101</v>
      </c>
      <c r="BL339" s="520">
        <f t="shared" si="486"/>
        <v>1.023302014576742</v>
      </c>
      <c r="BM339" s="520">
        <f t="shared" si="487"/>
        <v>1.0271524590875074</v>
      </c>
      <c r="BN339" s="521" t="str">
        <f t="shared" si="488"/>
        <v>Category</v>
      </c>
      <c r="BP339" s="3"/>
    </row>
    <row r="340" spans="1:68" hidden="1" outlineLevel="1" x14ac:dyDescent="0.15">
      <c r="A340" s="78" t="s">
        <v>2635</v>
      </c>
      <c r="B340" s="78" t="s">
        <v>2636</v>
      </c>
      <c r="C340" s="13" t="s">
        <v>27</v>
      </c>
      <c r="D340" s="13" t="s">
        <v>40</v>
      </c>
      <c r="E340" s="13" t="s">
        <v>112</v>
      </c>
      <c r="F340" s="14"/>
      <c r="G340" s="14"/>
      <c r="H340" s="14"/>
      <c r="I340" s="14"/>
      <c r="J340" s="14"/>
      <c r="K340" s="14"/>
      <c r="L340" s="14"/>
      <c r="M340" s="15"/>
      <c r="N340" s="670"/>
      <c r="O340" s="14"/>
      <c r="P340" s="15"/>
      <c r="Q340" s="15" t="str">
        <f>IF(ISTEXT('Incurred 2.5% cpi'!Q340),"",'Incurred 2.5% cpi'!Q340/'Incurred 2.5% cpi'!Q$17*Incurred!Q$17)</f>
        <v/>
      </c>
      <c r="R340" s="110" t="str">
        <f>IF(ISTEXT('Incurred 2.5% cpi'!R340),"",'Incurred 2.5% cpi'!R340/'Incurred 2.5% cpi'!R$17*Incurred!R$17*BG340)</f>
        <v/>
      </c>
      <c r="S340" s="102" t="str">
        <f>IF(ISTEXT('Incurred 2.5% cpi'!S340),"",'Incurred 2.5% cpi'!S340/'Incurred 2.5% cpi'!S$17*Incurred!S$17*BH340)</f>
        <v/>
      </c>
      <c r="T340" s="16" t="str">
        <f>IF(ISTEXT('Incurred 2.5% cpi'!T340),"",'Incurred 2.5% cpi'!T340/'Incurred 2.5% cpi'!T$17*Incurred!T$17*BI340)</f>
        <v/>
      </c>
      <c r="U340" s="16">
        <f>IF(ISTEXT('Incurred 2.5% cpi'!U340),"",'Incurred 2.5% cpi'!U340/'Incurred 2.5% cpi'!U$17*Incurred!U$17*BJ340)</f>
        <v>78469.767446202633</v>
      </c>
      <c r="V340" s="16">
        <f>IF(ISTEXT('Incurred 2.5% cpi'!V340),"",'Incurred 2.5% cpi'!V340/'Incurred 2.5% cpi'!V$17*Incurred!V$17*BK340)</f>
        <v>874259.33391602221</v>
      </c>
      <c r="W340" s="110">
        <f>IF(ISTEXT('Incurred 2.5% cpi'!W340),"",'Incurred 2.5% cpi'!W340/'Incurred 2.5% cpi'!W$17*Incurred!W$17*BL340)</f>
        <v>440047.36282926705</v>
      </c>
      <c r="X340" s="102" t="str">
        <f>IF(ISTEXT('Incurred 2.5% cpi'!X340),"",'Incurred 2.5% cpi'!X340/'Incurred 2.5% cpi'!X$17*Incurred!X$17*BM340)</f>
        <v/>
      </c>
      <c r="Y340" s="80">
        <f t="shared" si="510"/>
        <v>1392776.4641914919</v>
      </c>
      <c r="Z340" s="80">
        <f t="shared" si="509"/>
        <v>1392776.4641914919</v>
      </c>
      <c r="AA340" s="566">
        <f t="shared" si="520"/>
        <v>1418605.4795163563</v>
      </c>
      <c r="AB340" s="566">
        <f t="shared" si="517"/>
        <v>1418605.4795163563</v>
      </c>
      <c r="AC340" s="567">
        <f t="shared" si="518"/>
        <v>1</v>
      </c>
      <c r="AD340" s="568" t="str">
        <f t="shared" si="479"/>
        <v>2023</v>
      </c>
      <c r="AE340" s="569">
        <v>44853</v>
      </c>
      <c r="AF340" s="568">
        <v>2023</v>
      </c>
      <c r="AG340" s="569"/>
      <c r="AH340" s="566">
        <f t="shared" si="521"/>
        <v>1253840.5354968866</v>
      </c>
      <c r="AI340" s="80">
        <f t="shared" si="480"/>
        <v>440047.36282926705</v>
      </c>
      <c r="AJ340" s="571" t="s">
        <v>3037</v>
      </c>
      <c r="AK340" s="875">
        <f t="shared" si="516"/>
        <v>587549.63924349891</v>
      </c>
      <c r="AL340" s="28">
        <f t="shared" si="514"/>
        <v>0</v>
      </c>
      <c r="AM340" s="28">
        <f t="shared" si="514"/>
        <v>0</v>
      </c>
      <c r="AN340" s="28">
        <f t="shared" si="514"/>
        <v>0.24508567389371105</v>
      </c>
      <c r="AO340" s="28">
        <f t="shared" si="514"/>
        <v>0</v>
      </c>
      <c r="AP340" s="28">
        <f t="shared" si="514"/>
        <v>0</v>
      </c>
      <c r="AQ340" s="28">
        <f t="shared" si="514"/>
        <v>0</v>
      </c>
      <c r="AR340" s="28">
        <f t="shared" si="514"/>
        <v>0</v>
      </c>
      <c r="AS340" s="28">
        <f t="shared" si="514"/>
        <v>0</v>
      </c>
      <c r="AT340" s="28">
        <f t="shared" si="514"/>
        <v>0</v>
      </c>
      <c r="AU340" s="28">
        <f t="shared" si="514"/>
        <v>0</v>
      </c>
      <c r="AV340" s="28">
        <f t="shared" si="515"/>
        <v>0</v>
      </c>
      <c r="AW340" s="28">
        <f t="shared" si="515"/>
        <v>0</v>
      </c>
      <c r="AX340" s="28">
        <f t="shared" si="515"/>
        <v>0</v>
      </c>
      <c r="AY340" s="28">
        <f t="shared" si="515"/>
        <v>0</v>
      </c>
      <c r="AZ340" s="28">
        <f t="shared" si="515"/>
        <v>0.75491432610628895</v>
      </c>
      <c r="BA340" s="28">
        <f t="shared" si="515"/>
        <v>0</v>
      </c>
      <c r="BB340" s="28">
        <f t="shared" si="515"/>
        <v>0</v>
      </c>
      <c r="BC340" s="28">
        <f t="shared" si="515"/>
        <v>0</v>
      </c>
      <c r="BD340" s="28">
        <f t="shared" si="515"/>
        <v>0</v>
      </c>
      <c r="BE340" s="28">
        <f t="shared" si="515"/>
        <v>0</v>
      </c>
      <c r="BF340" s="27">
        <f t="shared" si="519"/>
        <v>1</v>
      </c>
      <c r="BG340" s="520">
        <f t="shared" si="504"/>
        <v>1.0034498951996242</v>
      </c>
      <c r="BH340" s="520">
        <f t="shared" si="482"/>
        <v>1.0065926315443261</v>
      </c>
      <c r="BI340" s="520">
        <f t="shared" si="483"/>
        <v>1.0099939207178206</v>
      </c>
      <c r="BJ340" s="520">
        <f t="shared" si="484"/>
        <v>1.0139228081132494</v>
      </c>
      <c r="BK340" s="520">
        <f t="shared" si="485"/>
        <v>1.0196467222390713</v>
      </c>
      <c r="BL340" s="520">
        <f t="shared" si="486"/>
        <v>1.0260851094706045</v>
      </c>
      <c r="BM340" s="520">
        <f t="shared" si="487"/>
        <v>1.0303954349252136</v>
      </c>
      <c r="BN340" s="521" t="str">
        <f t="shared" si="488"/>
        <v>Category</v>
      </c>
      <c r="BP340" s="3"/>
    </row>
    <row r="341" spans="1:68" hidden="1" outlineLevel="1" x14ac:dyDescent="0.15">
      <c r="A341" s="78" t="s">
        <v>2637</v>
      </c>
      <c r="B341" s="78" t="s">
        <v>2638</v>
      </c>
      <c r="C341" s="13" t="s">
        <v>27</v>
      </c>
      <c r="D341" s="13" t="s">
        <v>54</v>
      </c>
      <c r="E341" s="13" t="s">
        <v>112</v>
      </c>
      <c r="F341" s="14"/>
      <c r="G341" s="14"/>
      <c r="H341" s="14"/>
      <c r="I341" s="14"/>
      <c r="J341" s="14"/>
      <c r="K341" s="14"/>
      <c r="L341" s="14"/>
      <c r="M341" s="15"/>
      <c r="N341" s="670"/>
      <c r="O341" s="14"/>
      <c r="P341" s="15"/>
      <c r="Q341" s="15">
        <f>IF(ISTEXT('Incurred 2.5% cpi'!Q341),"",'Incurred 2.5% cpi'!Q341/'Incurred 2.5% cpi'!Q$17*Incurred!Q$17)</f>
        <v>3990.84</v>
      </c>
      <c r="R341" s="110">
        <f>IF(ISTEXT('Incurred 2.5% cpi'!R341),"",'Incurred 2.5% cpi'!R341/'Incurred 2.5% cpi'!R$17*Incurred!R$17*BG341)</f>
        <v>359276.21140914783</v>
      </c>
      <c r="S341" s="102" t="str">
        <f>IF(ISTEXT('Incurred 2.5% cpi'!S341),"",'Incurred 2.5% cpi'!S341/'Incurred 2.5% cpi'!S$17*Incurred!S$17*BH341)</f>
        <v/>
      </c>
      <c r="T341" s="16" t="str">
        <f>IF(ISTEXT('Incurred 2.5% cpi'!T341),"",'Incurred 2.5% cpi'!T341/'Incurred 2.5% cpi'!T$17*Incurred!T$17*BI341)</f>
        <v/>
      </c>
      <c r="U341" s="16" t="str">
        <f>IF(ISTEXT('Incurred 2.5% cpi'!U341),"",'Incurred 2.5% cpi'!U341/'Incurred 2.5% cpi'!U$17*Incurred!U$17*BJ341)</f>
        <v/>
      </c>
      <c r="V341" s="16" t="str">
        <f>IF(ISTEXT('Incurred 2.5% cpi'!V341),"",'Incurred 2.5% cpi'!V341/'Incurred 2.5% cpi'!V$17*Incurred!V$17*BK341)</f>
        <v/>
      </c>
      <c r="W341" s="110" t="str">
        <f>IF(ISTEXT('Incurred 2.5% cpi'!W341),"",'Incurred 2.5% cpi'!W341/'Incurred 2.5% cpi'!W$17*Incurred!W$17*BL341)</f>
        <v/>
      </c>
      <c r="X341" s="102" t="str">
        <f>IF(ISTEXT('Incurred 2.5% cpi'!X341),"",'Incurred 2.5% cpi'!X341/'Incurred 2.5% cpi'!X$17*Incurred!X$17*BM341)</f>
        <v/>
      </c>
      <c r="Y341" s="80">
        <f t="shared" si="510"/>
        <v>363267.05140914785</v>
      </c>
      <c r="Z341" s="80">
        <f t="shared" si="509"/>
        <v>363267.05140914785</v>
      </c>
      <c r="AA341" s="566">
        <f t="shared" si="520"/>
        <v>411116.2071656789</v>
      </c>
      <c r="AB341" s="566">
        <f t="shared" si="517"/>
        <v>363366.8224091478</v>
      </c>
      <c r="AC341" s="567">
        <f t="shared" si="518"/>
        <v>1.1314082128906247</v>
      </c>
      <c r="AD341" s="568" t="str">
        <f t="shared" si="479"/>
        <v>2018</v>
      </c>
      <c r="AE341" s="569">
        <v>43179</v>
      </c>
      <c r="AF341" s="568">
        <v>2018</v>
      </c>
      <c r="AG341" s="569"/>
      <c r="AH341" s="566">
        <f t="shared" si="521"/>
        <v>363366.8224091478</v>
      </c>
      <c r="AI341" s="80">
        <f t="shared" si="480"/>
        <v>359276.21140914783</v>
      </c>
      <c r="AJ341" s="571" t="s">
        <v>0</v>
      </c>
      <c r="AK341" s="875">
        <f t="shared" si="516"/>
        <v>612419.78339999984</v>
      </c>
      <c r="AL341" s="28">
        <f t="shared" si="514"/>
        <v>0</v>
      </c>
      <c r="AM341" s="28">
        <f t="shared" si="514"/>
        <v>2.9391545616094802E-2</v>
      </c>
      <c r="AN341" s="28">
        <f t="shared" si="514"/>
        <v>0.92162244705173246</v>
      </c>
      <c r="AO341" s="28">
        <f t="shared" si="514"/>
        <v>0</v>
      </c>
      <c r="AP341" s="28">
        <f t="shared" si="514"/>
        <v>0</v>
      </c>
      <c r="AQ341" s="28">
        <f t="shared" si="514"/>
        <v>0</v>
      </c>
      <c r="AR341" s="28">
        <f t="shared" si="514"/>
        <v>0</v>
      </c>
      <c r="AS341" s="28">
        <f t="shared" si="514"/>
        <v>0</v>
      </c>
      <c r="AT341" s="28">
        <f t="shared" si="514"/>
        <v>0</v>
      </c>
      <c r="AU341" s="28">
        <f t="shared" si="514"/>
        <v>0</v>
      </c>
      <c r="AV341" s="28">
        <f t="shared" si="515"/>
        <v>0</v>
      </c>
      <c r="AW341" s="28">
        <f t="shared" si="515"/>
        <v>0</v>
      </c>
      <c r="AX341" s="28">
        <f t="shared" si="515"/>
        <v>0</v>
      </c>
      <c r="AY341" s="28">
        <f t="shared" si="515"/>
        <v>0</v>
      </c>
      <c r="AZ341" s="28">
        <f t="shared" si="515"/>
        <v>0</v>
      </c>
      <c r="BA341" s="28">
        <f t="shared" si="515"/>
        <v>4.8986007332172676E-2</v>
      </c>
      <c r="BB341" s="28">
        <f t="shared" si="515"/>
        <v>0</v>
      </c>
      <c r="BC341" s="28">
        <f t="shared" si="515"/>
        <v>0</v>
      </c>
      <c r="BD341" s="28">
        <f t="shared" si="515"/>
        <v>0</v>
      </c>
      <c r="BE341" s="28">
        <f t="shared" si="515"/>
        <v>0</v>
      </c>
      <c r="BF341" s="27">
        <f t="shared" si="519"/>
        <v>1</v>
      </c>
      <c r="BG341" s="520">
        <f t="shared" si="504"/>
        <v>1.0030818160192299</v>
      </c>
      <c r="BH341" s="520">
        <f t="shared" si="482"/>
        <v>1.0058892448397847</v>
      </c>
      <c r="BI341" s="520">
        <f t="shared" si="483"/>
        <v>1.0089276407487533</v>
      </c>
      <c r="BJ341" s="520">
        <f t="shared" si="484"/>
        <v>1.0124373439172154</v>
      </c>
      <c r="BK341" s="520">
        <f t="shared" si="485"/>
        <v>1.0175505572831101</v>
      </c>
      <c r="BL341" s="520">
        <f t="shared" si="486"/>
        <v>1.023302014576742</v>
      </c>
      <c r="BM341" s="520">
        <f t="shared" si="487"/>
        <v>1.0271524590875074</v>
      </c>
      <c r="BN341" s="521" t="str">
        <f t="shared" si="488"/>
        <v>Category</v>
      </c>
      <c r="BP341" s="3"/>
    </row>
    <row r="342" spans="1:68" hidden="1" outlineLevel="1" x14ac:dyDescent="0.15">
      <c r="A342" s="78" t="s">
        <v>2639</v>
      </c>
      <c r="B342" s="13" t="s">
        <v>2640</v>
      </c>
      <c r="C342" s="13" t="s">
        <v>27</v>
      </c>
      <c r="D342" s="13" t="s">
        <v>40</v>
      </c>
      <c r="E342" s="13" t="s">
        <v>112</v>
      </c>
      <c r="F342" s="14"/>
      <c r="G342" s="14"/>
      <c r="H342" s="14"/>
      <c r="I342" s="14"/>
      <c r="J342" s="14"/>
      <c r="K342" s="14"/>
      <c r="L342" s="14"/>
      <c r="M342" s="15"/>
      <c r="N342" s="670"/>
      <c r="O342" s="14"/>
      <c r="P342" s="15"/>
      <c r="Q342" s="15" t="str">
        <f>IF(ISTEXT('Incurred 2.5% cpi'!Q342),"",'Incurred 2.5% cpi'!Q342/'Incurred 2.5% cpi'!Q$17*Incurred!Q$17)</f>
        <v/>
      </c>
      <c r="R342" s="110" t="str">
        <f>IF(ISTEXT('Incurred 2.5% cpi'!R342),"",'Incurred 2.5% cpi'!R342/'Incurred 2.5% cpi'!R$17*Incurred!R$17*BG342)</f>
        <v/>
      </c>
      <c r="S342" s="102">
        <f>IF(ISTEXT('Incurred 2.5% cpi'!S342),"",'Incurred 2.5% cpi'!S342/'Incurred 2.5% cpi'!S$17*Incurred!S$17*BH342)</f>
        <v>464552.38419734826</v>
      </c>
      <c r="T342" s="16">
        <f>IF(ISTEXT('Incurred 2.5% cpi'!T342),"",'Incurred 2.5% cpi'!T342/'Incurred 2.5% cpi'!T$17*Incurred!T$17*BI342)</f>
        <v>433788.47017189156</v>
      </c>
      <c r="U342" s="16">
        <f>IF(ISTEXT('Incurred 2.5% cpi'!U342),"",'Incurred 2.5% cpi'!U342/'Incurred 2.5% cpi'!U$17*Incurred!U$17*BJ342)</f>
        <v>443751.95559308876</v>
      </c>
      <c r="V342" s="16">
        <f>IF(ISTEXT('Incurred 2.5% cpi'!V342),"",'Incurred 2.5% cpi'!V342/'Incurred 2.5% cpi'!V$17*Incurred!V$17*BK342)</f>
        <v>457843.62697682221</v>
      </c>
      <c r="W342" s="110">
        <f>IF(ISTEXT('Incurred 2.5% cpi'!W342),"",'Incurred 2.5% cpi'!W342/'Incurred 2.5% cpi'!W$17*Incurred!W$17*BL342)</f>
        <v>371186.57565482188</v>
      </c>
      <c r="X342" s="102" t="str">
        <f>IF(ISTEXT('Incurred 2.5% cpi'!X342),"",'Incurred 2.5% cpi'!X342/'Incurred 2.5% cpi'!X$17*Incurred!X$17*BM342)</f>
        <v/>
      </c>
      <c r="Y342" s="80">
        <f t="shared" si="510"/>
        <v>2171123.0125939725</v>
      </c>
      <c r="Z342" s="80">
        <f t="shared" si="509"/>
        <v>2171123.0125939725</v>
      </c>
      <c r="AA342" s="566">
        <f t="shared" si="520"/>
        <v>2286614.8384598661</v>
      </c>
      <c r="AB342" s="566">
        <f t="shared" si="517"/>
        <v>2286614.8384598661</v>
      </c>
      <c r="AC342" s="567">
        <f t="shared" si="518"/>
        <v>1</v>
      </c>
      <c r="AD342" s="568" t="str">
        <f t="shared" si="479"/>
        <v>2023</v>
      </c>
      <c r="AE342" s="569">
        <v>44974</v>
      </c>
      <c r="AF342" s="568">
        <v>2023</v>
      </c>
      <c r="AG342" s="569"/>
      <c r="AH342" s="566">
        <f t="shared" si="521"/>
        <v>2021034.3290842958</v>
      </c>
      <c r="AI342" s="80">
        <f t="shared" si="480"/>
        <v>371186.57565482188</v>
      </c>
      <c r="AJ342" s="571" t="s">
        <v>3035</v>
      </c>
      <c r="AK342" s="875">
        <f t="shared" si="516"/>
        <v>340000</v>
      </c>
      <c r="AL342" s="28">
        <f t="shared" si="514"/>
        <v>0</v>
      </c>
      <c r="AM342" s="28">
        <f t="shared" si="514"/>
        <v>0</v>
      </c>
      <c r="AN342" s="28">
        <f t="shared" si="514"/>
        <v>0</v>
      </c>
      <c r="AO342" s="378">
        <f t="shared" si="514"/>
        <v>0</v>
      </c>
      <c r="AP342" s="28">
        <f t="shared" si="514"/>
        <v>0</v>
      </c>
      <c r="AQ342" s="28">
        <f t="shared" si="514"/>
        <v>0</v>
      </c>
      <c r="AR342" s="28">
        <f t="shared" si="514"/>
        <v>0</v>
      </c>
      <c r="AS342" s="28">
        <f t="shared" si="514"/>
        <v>0</v>
      </c>
      <c r="AT342" s="28">
        <f t="shared" si="514"/>
        <v>0</v>
      </c>
      <c r="AU342" s="28">
        <f t="shared" si="514"/>
        <v>0</v>
      </c>
      <c r="AV342" s="28">
        <f t="shared" si="515"/>
        <v>0</v>
      </c>
      <c r="AW342" s="28">
        <f t="shared" si="515"/>
        <v>0</v>
      </c>
      <c r="AX342" s="28">
        <f t="shared" si="515"/>
        <v>0</v>
      </c>
      <c r="AY342" s="28">
        <f t="shared" si="515"/>
        <v>0</v>
      </c>
      <c r="AZ342" s="28">
        <f t="shared" si="515"/>
        <v>1</v>
      </c>
      <c r="BA342" s="28">
        <f t="shared" si="515"/>
        <v>0</v>
      </c>
      <c r="BB342" s="28">
        <f t="shared" si="515"/>
        <v>0</v>
      </c>
      <c r="BC342" s="28">
        <f t="shared" si="515"/>
        <v>0</v>
      </c>
      <c r="BD342" s="28">
        <f t="shared" si="515"/>
        <v>0</v>
      </c>
      <c r="BE342" s="28">
        <f t="shared" si="515"/>
        <v>0</v>
      </c>
      <c r="BF342" s="27">
        <f t="shared" si="519"/>
        <v>1</v>
      </c>
      <c r="BG342" s="520">
        <f t="shared" si="504"/>
        <v>1.0034498951996242</v>
      </c>
      <c r="BH342" s="520">
        <f t="shared" si="482"/>
        <v>1.0065926315443261</v>
      </c>
      <c r="BI342" s="520">
        <f t="shared" si="483"/>
        <v>1.0099939207178206</v>
      </c>
      <c r="BJ342" s="520">
        <f t="shared" si="484"/>
        <v>1.0139228081132494</v>
      </c>
      <c r="BK342" s="520">
        <f t="shared" si="485"/>
        <v>1.0196467222390713</v>
      </c>
      <c r="BL342" s="520">
        <f t="shared" si="486"/>
        <v>1.0260851094706045</v>
      </c>
      <c r="BM342" s="520">
        <f t="shared" si="487"/>
        <v>1.0303954349252136</v>
      </c>
      <c r="BN342" s="521" t="str">
        <f t="shared" si="488"/>
        <v>Category</v>
      </c>
      <c r="BP342" s="3"/>
    </row>
    <row r="343" spans="1:68" hidden="1" outlineLevel="1" x14ac:dyDescent="0.15">
      <c r="A343" s="78" t="s">
        <v>2641</v>
      </c>
      <c r="B343" s="78" t="s">
        <v>2642</v>
      </c>
      <c r="C343" s="13" t="s">
        <v>27</v>
      </c>
      <c r="D343" s="13" t="s">
        <v>54</v>
      </c>
      <c r="E343" s="13" t="s">
        <v>112</v>
      </c>
      <c r="F343" s="14"/>
      <c r="G343" s="14"/>
      <c r="H343" s="14"/>
      <c r="I343" s="14"/>
      <c r="J343" s="14"/>
      <c r="K343" s="14"/>
      <c r="L343" s="14"/>
      <c r="M343" s="15"/>
      <c r="N343" s="670"/>
      <c r="O343" s="14"/>
      <c r="P343" s="15"/>
      <c r="Q343" s="15">
        <f>IF(ISTEXT('Incurred 2.5% cpi'!Q343),"",'Incurred 2.5% cpi'!Q343/'Incurred 2.5% cpi'!Q$17*Incurred!Q$17)</f>
        <v>3215.52</v>
      </c>
      <c r="R343" s="110">
        <f>IF(ISTEXT('Incurred 2.5% cpi'!R343),"",'Incurred 2.5% cpi'!R343/'Incurred 2.5% cpi'!R$17*Incurred!R$17*BG343)</f>
        <v>247273.09891425667</v>
      </c>
      <c r="S343" s="102" t="str">
        <f>IF(ISTEXT('Incurred 2.5% cpi'!S343),"",'Incurred 2.5% cpi'!S343/'Incurred 2.5% cpi'!S$17*Incurred!S$17*BH343)</f>
        <v/>
      </c>
      <c r="T343" s="16" t="str">
        <f>IF(ISTEXT('Incurred 2.5% cpi'!T343),"",'Incurred 2.5% cpi'!T343/'Incurred 2.5% cpi'!T$17*Incurred!T$17*BI343)</f>
        <v/>
      </c>
      <c r="U343" s="16" t="str">
        <f>IF(ISTEXT('Incurred 2.5% cpi'!U343),"",'Incurred 2.5% cpi'!U343/'Incurred 2.5% cpi'!U$17*Incurred!U$17*BJ343)</f>
        <v/>
      </c>
      <c r="V343" s="16" t="str">
        <f>IF(ISTEXT('Incurred 2.5% cpi'!V343),"",'Incurred 2.5% cpi'!V343/'Incurred 2.5% cpi'!V$17*Incurred!V$17*BK343)</f>
        <v/>
      </c>
      <c r="W343" s="110" t="str">
        <f>IF(ISTEXT('Incurred 2.5% cpi'!W343),"",'Incurred 2.5% cpi'!W343/'Incurred 2.5% cpi'!W$17*Incurred!W$17*BL343)</f>
        <v/>
      </c>
      <c r="X343" s="102" t="str">
        <f>IF(ISTEXT('Incurred 2.5% cpi'!X343),"",'Incurred 2.5% cpi'!X343/'Incurred 2.5% cpi'!X$17*Incurred!X$17*BM343)</f>
        <v/>
      </c>
      <c r="Y343" s="80">
        <f t="shared" si="510"/>
        <v>250488.61891425666</v>
      </c>
      <c r="Z343" s="80">
        <f t="shared" si="509"/>
        <v>250488.61891425666</v>
      </c>
      <c r="AA343" s="566">
        <f t="shared" si="520"/>
        <v>283495.83231863775</v>
      </c>
      <c r="AB343" s="566">
        <f t="shared" si="517"/>
        <v>250569.00691425669</v>
      </c>
      <c r="AC343" s="567">
        <f t="shared" si="518"/>
        <v>1.1314082128906247</v>
      </c>
      <c r="AD343" s="568" t="str">
        <f t="shared" si="479"/>
        <v>2018</v>
      </c>
      <c r="AE343" s="569">
        <v>43110</v>
      </c>
      <c r="AF343" s="568">
        <v>2018</v>
      </c>
      <c r="AG343" s="569"/>
      <c r="AH343" s="566">
        <f t="shared" si="521"/>
        <v>250569.00691425666</v>
      </c>
      <c r="AI343" s="80">
        <f t="shared" si="480"/>
        <v>247273.09891425667</v>
      </c>
      <c r="AJ343" s="571" t="s">
        <v>0</v>
      </c>
      <c r="AK343" s="875">
        <f t="shared" si="516"/>
        <v>95000.000000000044</v>
      </c>
      <c r="AL343" s="28">
        <f t="shared" si="514"/>
        <v>0</v>
      </c>
      <c r="AM343" s="28">
        <f t="shared" si="514"/>
        <v>0</v>
      </c>
      <c r="AN343" s="28">
        <f t="shared" si="514"/>
        <v>0</v>
      </c>
      <c r="AO343" s="28">
        <f t="shared" si="514"/>
        <v>0</v>
      </c>
      <c r="AP343" s="28">
        <f t="shared" si="514"/>
        <v>0</v>
      </c>
      <c r="AQ343" s="28">
        <f t="shared" si="514"/>
        <v>0</v>
      </c>
      <c r="AR343" s="28">
        <f t="shared" si="514"/>
        <v>0</v>
      </c>
      <c r="AS343" s="28">
        <f t="shared" si="514"/>
        <v>1</v>
      </c>
      <c r="AT343" s="28">
        <f t="shared" si="514"/>
        <v>0</v>
      </c>
      <c r="AU343" s="28">
        <f t="shared" si="514"/>
        <v>0</v>
      </c>
      <c r="AV343" s="28">
        <f t="shared" si="515"/>
        <v>0</v>
      </c>
      <c r="AW343" s="28">
        <f t="shared" si="515"/>
        <v>0</v>
      </c>
      <c r="AX343" s="28">
        <f t="shared" si="515"/>
        <v>0</v>
      </c>
      <c r="AY343" s="28">
        <f t="shared" si="515"/>
        <v>0</v>
      </c>
      <c r="AZ343" s="28">
        <f t="shared" si="515"/>
        <v>0</v>
      </c>
      <c r="BA343" s="28">
        <f t="shared" si="515"/>
        <v>0</v>
      </c>
      <c r="BB343" s="28">
        <f t="shared" si="515"/>
        <v>0</v>
      </c>
      <c r="BC343" s="28">
        <f t="shared" si="515"/>
        <v>0</v>
      </c>
      <c r="BD343" s="28">
        <f t="shared" si="515"/>
        <v>0</v>
      </c>
      <c r="BE343" s="28">
        <f t="shared" si="515"/>
        <v>0</v>
      </c>
      <c r="BF343" s="27">
        <f t="shared" si="519"/>
        <v>1</v>
      </c>
      <c r="BG343" s="520">
        <f t="shared" si="504"/>
        <v>1.0030818160192299</v>
      </c>
      <c r="BH343" s="520">
        <f t="shared" si="482"/>
        <v>1.0058892448397847</v>
      </c>
      <c r="BI343" s="520">
        <f t="shared" si="483"/>
        <v>1.0089276407487533</v>
      </c>
      <c r="BJ343" s="520">
        <f t="shared" si="484"/>
        <v>1.0124373439172154</v>
      </c>
      <c r="BK343" s="520">
        <f t="shared" si="485"/>
        <v>1.0175505572831101</v>
      </c>
      <c r="BL343" s="520">
        <f t="shared" si="486"/>
        <v>1.023302014576742</v>
      </c>
      <c r="BM343" s="520">
        <f t="shared" si="487"/>
        <v>1.0271524590875074</v>
      </c>
      <c r="BN343" s="521" t="str">
        <f t="shared" si="488"/>
        <v>Category</v>
      </c>
      <c r="BP343" s="3"/>
    </row>
    <row r="344" spans="1:68" hidden="1" outlineLevel="1" x14ac:dyDescent="0.15">
      <c r="A344" s="78" t="s">
        <v>2643</v>
      </c>
      <c r="B344" s="78" t="s">
        <v>2644</v>
      </c>
      <c r="C344" s="13" t="s">
        <v>27</v>
      </c>
      <c r="D344" s="13" t="s">
        <v>54</v>
      </c>
      <c r="E344" s="13" t="s">
        <v>112</v>
      </c>
      <c r="F344" s="14"/>
      <c r="G344" s="14"/>
      <c r="H344" s="14"/>
      <c r="I344" s="14"/>
      <c r="J344" s="14"/>
      <c r="K344" s="14"/>
      <c r="L344" s="14"/>
      <c r="M344" s="15"/>
      <c r="N344" s="670"/>
      <c r="O344" s="14"/>
      <c r="P344" s="15"/>
      <c r="Q344" s="15" t="str">
        <f>IF(ISTEXT('Incurred 2.5% cpi'!Q344),"",'Incurred 2.5% cpi'!Q344/'Incurred 2.5% cpi'!Q$17*Incurred!Q$17)</f>
        <v/>
      </c>
      <c r="R344" s="110">
        <f>IF(ISTEXT('Incurred 2.5% cpi'!R344),"",'Incurred 2.5% cpi'!R344/'Incurred 2.5% cpi'!R$17*Incurred!R$17*BG344)</f>
        <v>2116374.3376363064</v>
      </c>
      <c r="S344" s="102">
        <f>IF(ISTEXT('Incurred 2.5% cpi'!S344),"",'Incurred 2.5% cpi'!S344/'Incurred 2.5% cpi'!S$17*Incurred!S$17*BH344)</f>
        <v>2644173.3628576193</v>
      </c>
      <c r="T344" s="16">
        <f>IF(ISTEXT('Incurred 2.5% cpi'!T344),"",'Incurred 2.5% cpi'!T344/'Incurred 2.5% cpi'!T$17*Incurred!T$17*BI344)</f>
        <v>650082.61917410721</v>
      </c>
      <c r="U344" s="16" t="str">
        <f>IF(ISTEXT('Incurred 2.5% cpi'!U344),"",'Incurred 2.5% cpi'!U344/'Incurred 2.5% cpi'!U$17*Incurred!U$17*BJ344)</f>
        <v/>
      </c>
      <c r="V344" s="16" t="str">
        <f>IF(ISTEXT('Incurred 2.5% cpi'!V344),"",'Incurred 2.5% cpi'!V344/'Incurred 2.5% cpi'!V$17*Incurred!V$17*BK344)</f>
        <v/>
      </c>
      <c r="W344" s="110" t="str">
        <f>IF(ISTEXT('Incurred 2.5% cpi'!W344),"",'Incurred 2.5% cpi'!W344/'Incurred 2.5% cpi'!W$17*Incurred!W$17*BL344)</f>
        <v/>
      </c>
      <c r="X344" s="102" t="str">
        <f>IF(ISTEXT('Incurred 2.5% cpi'!X344),"",'Incurred 2.5% cpi'!X344/'Incurred 2.5% cpi'!X$17*Incurred!X$17*BM344)</f>
        <v/>
      </c>
      <c r="Y344" s="80">
        <f t="shared" si="510"/>
        <v>5410630.3196680332</v>
      </c>
      <c r="Z344" s="80">
        <f t="shared" si="509"/>
        <v>5410630.3196680332</v>
      </c>
      <c r="AA344" s="566">
        <f t="shared" si="520"/>
        <v>6013223.8281862093</v>
      </c>
      <c r="AB344" s="566">
        <f t="shared" si="517"/>
        <v>5583876.1045823107</v>
      </c>
      <c r="AC344" s="567">
        <f t="shared" si="518"/>
        <v>1.0768906249999999</v>
      </c>
      <c r="AD344" s="568" t="str">
        <f t="shared" si="479"/>
        <v>2020</v>
      </c>
      <c r="AE344" s="569">
        <v>43672</v>
      </c>
      <c r="AF344" s="568">
        <v>2020</v>
      </c>
      <c r="AG344" s="569"/>
      <c r="AH344" s="566">
        <f t="shared" si="521"/>
        <v>5314813.6628980953</v>
      </c>
      <c r="AI344" s="80">
        <f t="shared" si="480"/>
        <v>650082.61917410721</v>
      </c>
      <c r="AJ344" s="571" t="s">
        <v>3035</v>
      </c>
      <c r="AK344" s="875">
        <f t="shared" si="516"/>
        <v>3282320.1200036025</v>
      </c>
      <c r="AL344" s="28">
        <f t="shared" si="514"/>
        <v>0</v>
      </c>
      <c r="AM344" s="28">
        <f t="shared" si="514"/>
        <v>0</v>
      </c>
      <c r="AN344" s="28">
        <f t="shared" si="514"/>
        <v>2.2276925262219641E-2</v>
      </c>
      <c r="AO344" s="28">
        <f t="shared" si="514"/>
        <v>0</v>
      </c>
      <c r="AP344" s="28">
        <f t="shared" si="514"/>
        <v>0</v>
      </c>
      <c r="AQ344" s="28">
        <f t="shared" si="514"/>
        <v>0</v>
      </c>
      <c r="AR344" s="28">
        <f t="shared" si="514"/>
        <v>0</v>
      </c>
      <c r="AS344" s="28">
        <f t="shared" si="514"/>
        <v>0</v>
      </c>
      <c r="AT344" s="28">
        <f t="shared" si="514"/>
        <v>0</v>
      </c>
      <c r="AU344" s="28">
        <f t="shared" si="514"/>
        <v>0</v>
      </c>
      <c r="AV344" s="28">
        <f t="shared" si="515"/>
        <v>0</v>
      </c>
      <c r="AW344" s="28">
        <f t="shared" si="515"/>
        <v>0</v>
      </c>
      <c r="AX344" s="28">
        <f t="shared" si="515"/>
        <v>0</v>
      </c>
      <c r="AY344" s="28">
        <f t="shared" si="515"/>
        <v>0</v>
      </c>
      <c r="AZ344" s="28">
        <f t="shared" si="515"/>
        <v>0.97772307473778042</v>
      </c>
      <c r="BA344" s="28">
        <f t="shared" si="515"/>
        <v>0</v>
      </c>
      <c r="BB344" s="28">
        <f t="shared" si="515"/>
        <v>0</v>
      </c>
      <c r="BC344" s="28">
        <f t="shared" si="515"/>
        <v>0</v>
      </c>
      <c r="BD344" s="28">
        <f t="shared" si="515"/>
        <v>0</v>
      </c>
      <c r="BE344" s="28">
        <f t="shared" si="515"/>
        <v>0</v>
      </c>
      <c r="BF344" s="27">
        <f t="shared" si="519"/>
        <v>1</v>
      </c>
      <c r="BG344" s="520">
        <f t="shared" si="504"/>
        <v>1.0030818160192299</v>
      </c>
      <c r="BH344" s="520">
        <f t="shared" si="482"/>
        <v>1.0058892448397847</v>
      </c>
      <c r="BI344" s="520">
        <f t="shared" si="483"/>
        <v>1.0089276407487533</v>
      </c>
      <c r="BJ344" s="520">
        <f t="shared" si="484"/>
        <v>1.0124373439172154</v>
      </c>
      <c r="BK344" s="520">
        <f t="shared" si="485"/>
        <v>1.0175505572831101</v>
      </c>
      <c r="BL344" s="520">
        <f t="shared" si="486"/>
        <v>1.023302014576742</v>
      </c>
      <c r="BM344" s="520">
        <f t="shared" si="487"/>
        <v>1.0271524590875074</v>
      </c>
      <c r="BN344" s="521" t="str">
        <f t="shared" si="488"/>
        <v>Category</v>
      </c>
      <c r="BP344" s="3"/>
    </row>
    <row r="345" spans="1:68" hidden="1" outlineLevel="1" x14ac:dyDescent="0.15">
      <c r="A345" s="78" t="s">
        <v>2645</v>
      </c>
      <c r="B345" s="78" t="s">
        <v>2646</v>
      </c>
      <c r="C345" s="13" t="s">
        <v>27</v>
      </c>
      <c r="D345" s="13" t="s">
        <v>54</v>
      </c>
      <c r="E345" s="13" t="s">
        <v>112</v>
      </c>
      <c r="F345" s="14"/>
      <c r="G345" s="14"/>
      <c r="H345" s="14"/>
      <c r="I345" s="14"/>
      <c r="J345" s="14"/>
      <c r="K345" s="14"/>
      <c r="L345" s="14"/>
      <c r="M345" s="15"/>
      <c r="N345" s="670"/>
      <c r="O345" s="14"/>
      <c r="P345" s="15"/>
      <c r="Q345" s="15" t="str">
        <f>IF(ISTEXT('Incurred 2.5% cpi'!Q345),"",'Incurred 2.5% cpi'!Q345/'Incurred 2.5% cpi'!Q$17*Incurred!Q$17)</f>
        <v/>
      </c>
      <c r="R345" s="110" t="str">
        <f>IF(ISTEXT('Incurred 2.5% cpi'!R345),"",'Incurred 2.5% cpi'!R345/'Incurred 2.5% cpi'!R$17*Incurred!R$17*BG345)</f>
        <v/>
      </c>
      <c r="S345" s="102">
        <f>IF(ISTEXT('Incurred 2.5% cpi'!S345),"",'Incurred 2.5% cpi'!S345/'Incurred 2.5% cpi'!S$17*Incurred!S$17*BH345)</f>
        <v>4228096.7616556613</v>
      </c>
      <c r="T345" s="16">
        <f>IF(ISTEXT('Incurred 2.5% cpi'!T345),"",'Incurred 2.5% cpi'!T345/'Incurred 2.5% cpi'!T$17*Incurred!T$17*BI345)</f>
        <v>3625979.3880028799</v>
      </c>
      <c r="U345" s="16" t="str">
        <f>IF(ISTEXT('Incurred 2.5% cpi'!U345),"",'Incurred 2.5% cpi'!U345/'Incurred 2.5% cpi'!U$17*Incurred!U$17*BJ345)</f>
        <v/>
      </c>
      <c r="V345" s="16" t="str">
        <f>IF(ISTEXT('Incurred 2.5% cpi'!V345),"",'Incurred 2.5% cpi'!V345/'Incurred 2.5% cpi'!V$17*Incurred!V$17*BK345)</f>
        <v/>
      </c>
      <c r="W345" s="110" t="str">
        <f>IF(ISTEXT('Incurred 2.5% cpi'!W345),"",'Incurred 2.5% cpi'!W345/'Incurred 2.5% cpi'!W$17*Incurred!W$17*BL345)</f>
        <v/>
      </c>
      <c r="X345" s="102" t="str">
        <f>IF(ISTEXT('Incurred 2.5% cpi'!X345),"",'Incurred 2.5% cpi'!X345/'Incurred 2.5% cpi'!X$17*Incurred!X$17*BM345)</f>
        <v/>
      </c>
      <c r="Y345" s="80">
        <f t="shared" si="510"/>
        <v>7854076.1496585412</v>
      </c>
      <c r="Z345" s="80">
        <f t="shared" si="509"/>
        <v>7854076.1496585412</v>
      </c>
      <c r="AA345" s="566">
        <f t="shared" si="520"/>
        <v>8571810.9177088737</v>
      </c>
      <c r="AB345" s="566">
        <f t="shared" si="517"/>
        <v>7959778.5686999317</v>
      </c>
      <c r="AC345" s="567">
        <f t="shared" si="518"/>
        <v>1.0768906249999999</v>
      </c>
      <c r="AD345" s="568" t="str">
        <f t="shared" si="479"/>
        <v>2020</v>
      </c>
      <c r="AE345" s="569">
        <v>43686</v>
      </c>
      <c r="AF345" s="568">
        <v>2020</v>
      </c>
      <c r="AG345" s="569"/>
      <c r="AH345" s="566">
        <f t="shared" si="521"/>
        <v>7576231.8321950585</v>
      </c>
      <c r="AI345" s="80">
        <f t="shared" si="480"/>
        <v>3625979.3880028799</v>
      </c>
      <c r="AJ345" s="571" t="s">
        <v>3035</v>
      </c>
      <c r="AK345" s="875">
        <f t="shared" si="516"/>
        <v>1949000.0000315001</v>
      </c>
      <c r="AL345" s="28">
        <f t="shared" si="514"/>
        <v>0</v>
      </c>
      <c r="AM345" s="28">
        <f t="shared" si="514"/>
        <v>0</v>
      </c>
      <c r="AN345" s="28">
        <f t="shared" si="514"/>
        <v>0</v>
      </c>
      <c r="AO345" s="28">
        <f t="shared" si="514"/>
        <v>0</v>
      </c>
      <c r="AP345" s="28">
        <f t="shared" si="514"/>
        <v>0</v>
      </c>
      <c r="AQ345" s="28">
        <f t="shared" si="514"/>
        <v>0</v>
      </c>
      <c r="AR345" s="28">
        <f t="shared" si="514"/>
        <v>0</v>
      </c>
      <c r="AS345" s="28">
        <f t="shared" si="514"/>
        <v>0</v>
      </c>
      <c r="AT345" s="28">
        <f t="shared" si="514"/>
        <v>0</v>
      </c>
      <c r="AU345" s="28">
        <f t="shared" si="514"/>
        <v>0</v>
      </c>
      <c r="AV345" s="28">
        <f t="shared" si="515"/>
        <v>2.0010261672329239E-2</v>
      </c>
      <c r="AW345" s="28">
        <f t="shared" si="515"/>
        <v>0.97998973832767078</v>
      </c>
      <c r="AX345" s="28">
        <f t="shared" si="515"/>
        <v>0</v>
      </c>
      <c r="AY345" s="28">
        <f t="shared" si="515"/>
        <v>0</v>
      </c>
      <c r="AZ345" s="28">
        <f t="shared" si="515"/>
        <v>0</v>
      </c>
      <c r="BA345" s="28">
        <f t="shared" si="515"/>
        <v>0</v>
      </c>
      <c r="BB345" s="28">
        <f t="shared" si="515"/>
        <v>0</v>
      </c>
      <c r="BC345" s="28">
        <f t="shared" si="515"/>
        <v>0</v>
      </c>
      <c r="BD345" s="28">
        <f t="shared" si="515"/>
        <v>0</v>
      </c>
      <c r="BE345" s="28">
        <f t="shared" si="515"/>
        <v>0</v>
      </c>
      <c r="BF345" s="27">
        <f t="shared" si="519"/>
        <v>1</v>
      </c>
      <c r="BG345" s="520">
        <f t="shared" si="504"/>
        <v>1.0030818160192299</v>
      </c>
      <c r="BH345" s="520">
        <f t="shared" si="482"/>
        <v>1.0058892448397847</v>
      </c>
      <c r="BI345" s="520">
        <f t="shared" si="483"/>
        <v>1.0089276407487533</v>
      </c>
      <c r="BJ345" s="520">
        <f t="shared" si="484"/>
        <v>1.0124373439172154</v>
      </c>
      <c r="BK345" s="520">
        <f t="shared" si="485"/>
        <v>1.0175505572831101</v>
      </c>
      <c r="BL345" s="520">
        <f t="shared" si="486"/>
        <v>1.023302014576742</v>
      </c>
      <c r="BM345" s="520">
        <f t="shared" si="487"/>
        <v>1.0271524590875074</v>
      </c>
      <c r="BN345" s="521" t="str">
        <f t="shared" si="488"/>
        <v>Category</v>
      </c>
      <c r="BP345" s="3"/>
    </row>
    <row r="346" spans="1:68" hidden="1" outlineLevel="1" x14ac:dyDescent="0.15">
      <c r="A346" s="78" t="s">
        <v>2647</v>
      </c>
      <c r="B346" s="78" t="s">
        <v>2648</v>
      </c>
      <c r="C346" s="13" t="s">
        <v>27</v>
      </c>
      <c r="D346" s="13" t="s">
        <v>54</v>
      </c>
      <c r="E346" s="13" t="s">
        <v>112</v>
      </c>
      <c r="F346" s="14"/>
      <c r="G346" s="14"/>
      <c r="H346" s="14"/>
      <c r="I346" s="14"/>
      <c r="J346" s="14"/>
      <c r="K346" s="14"/>
      <c r="L346" s="14"/>
      <c r="M346" s="15"/>
      <c r="N346" s="670"/>
      <c r="O346" s="14"/>
      <c r="P346" s="15"/>
      <c r="Q346" s="15">
        <f>IF(ISTEXT('Incurred 2.5% cpi'!Q346),"",'Incurred 2.5% cpi'!Q346/'Incurred 2.5% cpi'!Q$17*Incurred!Q$17)</f>
        <v>16201.47</v>
      </c>
      <c r="R346" s="110">
        <f>IF(ISTEXT('Incurred 2.5% cpi'!R346),"",'Incurred 2.5% cpi'!R346/'Incurred 2.5% cpi'!R$17*Incurred!R$17*BG346)</f>
        <v>1331219.0376275117</v>
      </c>
      <c r="S346" s="102">
        <f>IF(ISTEXT('Incurred 2.5% cpi'!S346),"",'Incurred 2.5% cpi'!S346/'Incurred 2.5% cpi'!S$17*Incurred!S$17*BH346)</f>
        <v>1110383.0313722312</v>
      </c>
      <c r="T346" s="16">
        <f>IF(ISTEXT('Incurred 2.5% cpi'!T346),"",'Incurred 2.5% cpi'!T346/'Incurred 2.5% cpi'!T$17*Incurred!T$17*BI346)</f>
        <v>3761.2822447113522</v>
      </c>
      <c r="U346" s="16" t="str">
        <f>IF(ISTEXT('Incurred 2.5% cpi'!U346),"",'Incurred 2.5% cpi'!U346/'Incurred 2.5% cpi'!U$17*Incurred!U$17*BJ346)</f>
        <v/>
      </c>
      <c r="V346" s="16" t="str">
        <f>IF(ISTEXT('Incurred 2.5% cpi'!V346),"",'Incurred 2.5% cpi'!V346/'Incurred 2.5% cpi'!V$17*Incurred!V$17*BK346)</f>
        <v/>
      </c>
      <c r="W346" s="110" t="str">
        <f>IF(ISTEXT('Incurred 2.5% cpi'!W346),"",'Incurred 2.5% cpi'!W346/'Incurred 2.5% cpi'!W$17*Incurred!W$17*BL346)</f>
        <v/>
      </c>
      <c r="X346" s="102" t="str">
        <f>IF(ISTEXT('Incurred 2.5% cpi'!X346),"",'Incurred 2.5% cpi'!X346/'Incurred 2.5% cpi'!X$17*Incurred!X$17*BM346)</f>
        <v/>
      </c>
      <c r="Y346" s="80">
        <f t="shared" si="510"/>
        <v>2461564.821244454</v>
      </c>
      <c r="Z346" s="80">
        <f t="shared" si="509"/>
        <v>2461564.821244454</v>
      </c>
      <c r="AA346" s="566">
        <f t="shared" si="520"/>
        <v>2754646.4835997345</v>
      </c>
      <c r="AB346" s="566">
        <f t="shared" si="517"/>
        <v>2434706.1053781048</v>
      </c>
      <c r="AC346" s="567">
        <f t="shared" si="518"/>
        <v>1.1314082128906247</v>
      </c>
      <c r="AD346" s="568" t="str">
        <f t="shared" si="479"/>
        <v>2020</v>
      </c>
      <c r="AE346" s="569">
        <v>43150</v>
      </c>
      <c r="AF346" s="568">
        <v>2018</v>
      </c>
      <c r="AG346" s="569"/>
      <c r="AH346" s="566">
        <f t="shared" si="521"/>
        <v>2434706.1053781053</v>
      </c>
      <c r="AI346" s="80">
        <f t="shared" si="480"/>
        <v>3761.2822447113522</v>
      </c>
      <c r="AJ346" s="571" t="s">
        <v>0</v>
      </c>
      <c r="AK346" s="875">
        <f t="shared" si="516"/>
        <v>1110000.0000000005</v>
      </c>
      <c r="AL346" s="28">
        <f t="shared" si="514"/>
        <v>0</v>
      </c>
      <c r="AM346" s="28">
        <f t="shared" si="514"/>
        <v>0</v>
      </c>
      <c r="AN346" s="28">
        <f t="shared" si="514"/>
        <v>0</v>
      </c>
      <c r="AO346" s="28">
        <f t="shared" si="514"/>
        <v>0</v>
      </c>
      <c r="AP346" s="28">
        <f t="shared" si="514"/>
        <v>0</v>
      </c>
      <c r="AQ346" s="28">
        <f t="shared" si="514"/>
        <v>0</v>
      </c>
      <c r="AR346" s="28">
        <f t="shared" si="514"/>
        <v>0</v>
      </c>
      <c r="AS346" s="28">
        <f t="shared" si="514"/>
        <v>0</v>
      </c>
      <c r="AT346" s="28">
        <f t="shared" si="514"/>
        <v>0</v>
      </c>
      <c r="AU346" s="28">
        <f t="shared" si="514"/>
        <v>0.86486486486486491</v>
      </c>
      <c r="AV346" s="28">
        <f t="shared" si="515"/>
        <v>0</v>
      </c>
      <c r="AW346" s="28">
        <f t="shared" si="515"/>
        <v>0.13513513513513511</v>
      </c>
      <c r="AX346" s="28">
        <f t="shared" si="515"/>
        <v>0</v>
      </c>
      <c r="AY346" s="28">
        <f t="shared" si="515"/>
        <v>0</v>
      </c>
      <c r="AZ346" s="28">
        <f t="shared" si="515"/>
        <v>0</v>
      </c>
      <c r="BA346" s="28">
        <f t="shared" si="515"/>
        <v>0</v>
      </c>
      <c r="BB346" s="28">
        <f t="shared" si="515"/>
        <v>0</v>
      </c>
      <c r="BC346" s="28">
        <f t="shared" si="515"/>
        <v>0</v>
      </c>
      <c r="BD346" s="28">
        <f t="shared" si="515"/>
        <v>0</v>
      </c>
      <c r="BE346" s="28">
        <f t="shared" si="515"/>
        <v>0</v>
      </c>
      <c r="BF346" s="27">
        <f t="shared" si="519"/>
        <v>1</v>
      </c>
      <c r="BG346" s="520">
        <f t="shared" si="504"/>
        <v>1.0030818160192299</v>
      </c>
      <c r="BH346" s="520">
        <f t="shared" si="482"/>
        <v>1.0058892448397847</v>
      </c>
      <c r="BI346" s="520">
        <f t="shared" si="483"/>
        <v>1.0089276407487533</v>
      </c>
      <c r="BJ346" s="520">
        <f t="shared" si="484"/>
        <v>1.0124373439172154</v>
      </c>
      <c r="BK346" s="520">
        <f t="shared" si="485"/>
        <v>1.0175505572831101</v>
      </c>
      <c r="BL346" s="520">
        <f t="shared" si="486"/>
        <v>1.023302014576742</v>
      </c>
      <c r="BM346" s="520">
        <f t="shared" si="487"/>
        <v>1.0271524590875074</v>
      </c>
      <c r="BN346" s="521" t="str">
        <f t="shared" si="488"/>
        <v>Category</v>
      </c>
      <c r="BP346" s="3"/>
    </row>
    <row r="347" spans="1:68" hidden="1" outlineLevel="1" x14ac:dyDescent="0.15">
      <c r="A347" s="78" t="s">
        <v>2650</v>
      </c>
      <c r="B347" s="78" t="s">
        <v>2651</v>
      </c>
      <c r="C347" s="13" t="s">
        <v>27</v>
      </c>
      <c r="D347" s="13" t="s">
        <v>54</v>
      </c>
      <c r="E347" s="13" t="s">
        <v>112</v>
      </c>
      <c r="F347" s="14"/>
      <c r="G347" s="14"/>
      <c r="H347" s="14"/>
      <c r="I347" s="14"/>
      <c r="J347" s="14"/>
      <c r="K347" s="14"/>
      <c r="L347" s="14"/>
      <c r="M347" s="15"/>
      <c r="N347" s="670"/>
      <c r="O347" s="14"/>
      <c r="P347" s="15"/>
      <c r="Q347" s="15" t="str">
        <f>IF(ISTEXT('Incurred 2.5% cpi'!Q347),"",'Incurred 2.5% cpi'!Q347/'Incurred 2.5% cpi'!Q$17*Incurred!Q$17)</f>
        <v/>
      </c>
      <c r="R347" s="110" t="str">
        <f>IF(ISTEXT('Incurred 2.5% cpi'!R347),"",'Incurred 2.5% cpi'!R347/'Incurred 2.5% cpi'!R$17*Incurred!R$17*BG347)</f>
        <v/>
      </c>
      <c r="S347" s="102">
        <f>IF(ISTEXT('Incurred 2.5% cpi'!S347),"",'Incurred 2.5% cpi'!S347/'Incurred 2.5% cpi'!S$17*Incurred!S$17*BH347)</f>
        <v>1632133.4070524124</v>
      </c>
      <c r="T347" s="16">
        <f>IF(ISTEXT('Incurred 2.5% cpi'!T347),"",'Incurred 2.5% cpi'!T347/'Incurred 2.5% cpi'!T$17*Incurred!T$17*BI347)</f>
        <v>2088721.3702346112</v>
      </c>
      <c r="U347" s="16" t="str">
        <f>IF(ISTEXT('Incurred 2.5% cpi'!U347),"",'Incurred 2.5% cpi'!U347/'Incurred 2.5% cpi'!U$17*Incurred!U$17*BJ347)</f>
        <v/>
      </c>
      <c r="V347" s="16" t="str">
        <f>IF(ISTEXT('Incurred 2.5% cpi'!V347),"",'Incurred 2.5% cpi'!V347/'Incurred 2.5% cpi'!V$17*Incurred!V$17*BK347)</f>
        <v/>
      </c>
      <c r="W347" s="110" t="str">
        <f>IF(ISTEXT('Incurred 2.5% cpi'!W347),"",'Incurred 2.5% cpi'!W347/'Incurred 2.5% cpi'!W$17*Incurred!W$17*BL347)</f>
        <v/>
      </c>
      <c r="X347" s="102" t="str">
        <f>IF(ISTEXT('Incurred 2.5% cpi'!X347),"",'Incurred 2.5% cpi'!X347/'Incurred 2.5% cpi'!X$17*Incurred!X$17*BM347)</f>
        <v/>
      </c>
      <c r="Y347" s="80">
        <f t="shared" si="510"/>
        <v>3720854.7772870236</v>
      </c>
      <c r="Z347" s="80">
        <f t="shared" ref="Z347:Z354" si="522">-SUMIFS(F347:W347,F347:W347,"&lt;0")+SUMIFS(F347:W347,F347:W347,"&gt;0")</f>
        <v>3720854.7772870236</v>
      </c>
      <c r="AA347" s="566">
        <f t="shared" si="520"/>
        <v>4050894.3557669595</v>
      </c>
      <c r="AB347" s="566">
        <f t="shared" si="517"/>
        <v>3761658.1124633341</v>
      </c>
      <c r="AC347" s="567">
        <f t="shared" si="518"/>
        <v>1.0768906249999999</v>
      </c>
      <c r="AD347" s="568" t="str">
        <f t="shared" si="479"/>
        <v>2020</v>
      </c>
      <c r="AE347" s="569">
        <v>43748</v>
      </c>
      <c r="AF347" s="568">
        <v>2020</v>
      </c>
      <c r="AG347" s="569"/>
      <c r="AH347" s="566">
        <f t="shared" si="521"/>
        <v>3580400.3449978195</v>
      </c>
      <c r="AI347" s="80">
        <f t="shared" si="480"/>
        <v>2088721.3702346112</v>
      </c>
      <c r="AJ347" s="571" t="s">
        <v>3035</v>
      </c>
      <c r="AK347" s="875">
        <f t="shared" si="516"/>
        <v>2166899.9999999991</v>
      </c>
      <c r="AL347" s="28">
        <f t="shared" si="514"/>
        <v>0</v>
      </c>
      <c r="AM347" s="28">
        <f t="shared" si="514"/>
        <v>0</v>
      </c>
      <c r="AN347" s="28">
        <f t="shared" si="514"/>
        <v>0</v>
      </c>
      <c r="AO347" s="28">
        <f t="shared" si="514"/>
        <v>0</v>
      </c>
      <c r="AP347" s="28">
        <f t="shared" si="514"/>
        <v>0</v>
      </c>
      <c r="AQ347" s="28">
        <f t="shared" si="514"/>
        <v>0</v>
      </c>
      <c r="AR347" s="28">
        <f t="shared" si="514"/>
        <v>0</v>
      </c>
      <c r="AS347" s="28">
        <f t="shared" si="514"/>
        <v>0</v>
      </c>
      <c r="AT347" s="28">
        <f t="shared" si="514"/>
        <v>0</v>
      </c>
      <c r="AU347" s="28">
        <f t="shared" si="514"/>
        <v>0</v>
      </c>
      <c r="AV347" s="28">
        <f t="shared" si="515"/>
        <v>0</v>
      </c>
      <c r="AW347" s="28">
        <f t="shared" si="515"/>
        <v>1</v>
      </c>
      <c r="AX347" s="28">
        <f t="shared" si="515"/>
        <v>0</v>
      </c>
      <c r="AY347" s="28">
        <f t="shared" si="515"/>
        <v>0</v>
      </c>
      <c r="AZ347" s="28">
        <f t="shared" si="515"/>
        <v>0</v>
      </c>
      <c r="BA347" s="28">
        <f t="shared" si="515"/>
        <v>0</v>
      </c>
      <c r="BB347" s="28">
        <f t="shared" si="515"/>
        <v>0</v>
      </c>
      <c r="BC347" s="28">
        <f t="shared" si="515"/>
        <v>0</v>
      </c>
      <c r="BD347" s="28">
        <f t="shared" si="515"/>
        <v>0</v>
      </c>
      <c r="BE347" s="28">
        <f t="shared" si="515"/>
        <v>0</v>
      </c>
      <c r="BF347" s="27">
        <f t="shared" si="519"/>
        <v>1</v>
      </c>
      <c r="BG347" s="520">
        <f t="shared" si="504"/>
        <v>1.0030818160192299</v>
      </c>
      <c r="BH347" s="520">
        <f t="shared" si="482"/>
        <v>1.0058892448397847</v>
      </c>
      <c r="BI347" s="520">
        <f t="shared" si="483"/>
        <v>1.0089276407487533</v>
      </c>
      <c r="BJ347" s="520">
        <f t="shared" si="484"/>
        <v>1.0124373439172154</v>
      </c>
      <c r="BK347" s="520">
        <f t="shared" si="485"/>
        <v>1.0175505572831101</v>
      </c>
      <c r="BL347" s="520">
        <f t="shared" si="486"/>
        <v>1.023302014576742</v>
      </c>
      <c r="BM347" s="520">
        <f t="shared" si="487"/>
        <v>1.0271524590875074</v>
      </c>
      <c r="BN347" s="521" t="str">
        <f t="shared" si="488"/>
        <v>Category</v>
      </c>
      <c r="BP347" s="3"/>
    </row>
    <row r="348" spans="1:68" hidden="1" outlineLevel="1" x14ac:dyDescent="0.15">
      <c r="A348" s="78" t="s">
        <v>2652</v>
      </c>
      <c r="B348" s="78" t="s">
        <v>2653</v>
      </c>
      <c r="C348" s="13" t="s">
        <v>27</v>
      </c>
      <c r="D348" s="13" t="s">
        <v>54</v>
      </c>
      <c r="E348" s="13" t="s">
        <v>112</v>
      </c>
      <c r="F348" s="14"/>
      <c r="G348" s="14"/>
      <c r="H348" s="14"/>
      <c r="I348" s="14"/>
      <c r="J348" s="14"/>
      <c r="K348" s="14"/>
      <c r="L348" s="14"/>
      <c r="M348" s="15"/>
      <c r="N348" s="670"/>
      <c r="O348" s="14"/>
      <c r="P348" s="15"/>
      <c r="Q348" s="15" t="str">
        <f>IF(ISTEXT('Incurred 2.5% cpi'!Q348),"",'Incurred 2.5% cpi'!Q348/'Incurred 2.5% cpi'!Q$17*Incurred!Q$17)</f>
        <v/>
      </c>
      <c r="R348" s="110" t="str">
        <f>IF(ISTEXT('Incurred 2.5% cpi'!R348),"",'Incurred 2.5% cpi'!R348/'Incurred 2.5% cpi'!R$17*Incurred!R$17*BG348)</f>
        <v/>
      </c>
      <c r="S348" s="102" t="str">
        <f>IF(ISTEXT('Incurred 2.5% cpi'!S348),"",'Incurred 2.5% cpi'!S348/'Incurred 2.5% cpi'!S$17*Incurred!S$17*BH348)</f>
        <v/>
      </c>
      <c r="T348" s="16" t="str">
        <f>IF(ISTEXT('Incurred 2.5% cpi'!T348),"",'Incurred 2.5% cpi'!T348/'Incurred 2.5% cpi'!T$17*Incurred!T$17*BI348)</f>
        <v/>
      </c>
      <c r="U348" s="16">
        <f>IF(ISTEXT('Incurred 2.5% cpi'!U348),"",'Incurred 2.5% cpi'!U348/'Incurred 2.5% cpi'!U$17*Incurred!U$17*BJ348)</f>
        <v>292810.15291443741</v>
      </c>
      <c r="V348" s="16">
        <f>IF(ISTEXT('Incurred 2.5% cpi'!V348),"",'Incurred 2.5% cpi'!V348/'Incurred 2.5% cpi'!V$17*Incurred!V$17*BK348)</f>
        <v>3094514.0579186524</v>
      </c>
      <c r="W348" s="110">
        <f>IF(ISTEXT('Incurred 2.5% cpi'!W348),"",'Incurred 2.5% cpi'!W348/'Incurred 2.5% cpi'!W$17*Incurred!W$17*BL348)</f>
        <v>1535183.7560033598</v>
      </c>
      <c r="X348" s="102" t="str">
        <f>IF(ISTEXT('Incurred 2.5% cpi'!X348),"",'Incurred 2.5% cpi'!X348/'Incurred 2.5% cpi'!X$17*Incurred!X$17*BM348)</f>
        <v/>
      </c>
      <c r="Y348" s="80">
        <f t="shared" si="510"/>
        <v>4922507.9668364497</v>
      </c>
      <c r="Z348" s="80">
        <f t="shared" si="522"/>
        <v>4922507.9668364497</v>
      </c>
      <c r="AA348" s="566">
        <f t="shared" si="520"/>
        <v>5014694.3322757091</v>
      </c>
      <c r="AB348" s="566">
        <f t="shared" si="517"/>
        <v>5014694.3322757091</v>
      </c>
      <c r="AC348" s="567">
        <f t="shared" si="518"/>
        <v>1</v>
      </c>
      <c r="AD348" s="568" t="str">
        <f t="shared" si="479"/>
        <v>2023</v>
      </c>
      <c r="AE348" s="569">
        <v>44853</v>
      </c>
      <c r="AF348" s="568">
        <v>2023</v>
      </c>
      <c r="AG348" s="569"/>
      <c r="AH348" s="566">
        <f t="shared" si="521"/>
        <v>4432259.0866330303</v>
      </c>
      <c r="AI348" s="80">
        <f t="shared" si="480"/>
        <v>1535183.7560033598</v>
      </c>
      <c r="AJ348" s="571" t="s">
        <v>3037</v>
      </c>
      <c r="AK348" s="875">
        <f t="shared" si="481"/>
        <v>0</v>
      </c>
      <c r="AL348" s="28">
        <f t="shared" ref="AL348:BA353" si="523">IF($AK348=0,VLOOKUP(MID($A348,4,5),ProjectSplits,AL$23,FALSE),IF(ISNA(VLOOKUP($A348,Estimates,AL$22,FALSE)),VLOOKUP(MID($A348,4,5),ProjectSplits,AL$23,FALSE),VLOOKUP($A348,Estimates,AL$22,FALSE)))</f>
        <v>0</v>
      </c>
      <c r="AM348" s="28">
        <f t="shared" si="523"/>
        <v>0</v>
      </c>
      <c r="AN348" s="28">
        <f t="shared" si="523"/>
        <v>9.8997133515637617E-3</v>
      </c>
      <c r="AO348" s="28">
        <f t="shared" si="523"/>
        <v>0</v>
      </c>
      <c r="AP348" s="28">
        <f t="shared" si="523"/>
        <v>0</v>
      </c>
      <c r="AQ348" s="28">
        <f t="shared" si="523"/>
        <v>0</v>
      </c>
      <c r="AR348" s="28">
        <f t="shared" si="523"/>
        <v>0</v>
      </c>
      <c r="AS348" s="28">
        <f t="shared" si="523"/>
        <v>0</v>
      </c>
      <c r="AT348" s="28">
        <f t="shared" si="523"/>
        <v>0</v>
      </c>
      <c r="AU348" s="28">
        <f t="shared" si="523"/>
        <v>0.79697883928314239</v>
      </c>
      <c r="AV348" s="28">
        <f t="shared" si="523"/>
        <v>0</v>
      </c>
      <c r="AW348" s="28">
        <f t="shared" si="523"/>
        <v>0.1331291827838956</v>
      </c>
      <c r="AX348" s="28">
        <f t="shared" si="523"/>
        <v>0</v>
      </c>
      <c r="AY348" s="28">
        <f t="shared" si="523"/>
        <v>0</v>
      </c>
      <c r="AZ348" s="28">
        <f t="shared" si="523"/>
        <v>5.0092551223795675E-2</v>
      </c>
      <c r="BA348" s="28">
        <f t="shared" si="523"/>
        <v>6.5998089050683913E-3</v>
      </c>
      <c r="BB348" s="28">
        <f t="shared" ref="AV348:BE353" si="524">IF($AK348=0,VLOOKUP(MID($A348,4,5),ProjectSplits,BB$23,FALSE),IF(ISNA(VLOOKUP($A348,Estimates,BB$22,FALSE)),VLOOKUP(MID($A348,4,5),ProjectSplits,BB$23,FALSE),VLOOKUP($A348,Estimates,BB$22,FALSE)))</f>
        <v>3.2999044525341965E-3</v>
      </c>
      <c r="BC348" s="28">
        <f t="shared" si="524"/>
        <v>0</v>
      </c>
      <c r="BD348" s="28">
        <f t="shared" si="524"/>
        <v>0</v>
      </c>
      <c r="BE348" s="28">
        <f t="shared" si="524"/>
        <v>0</v>
      </c>
      <c r="BF348" s="27">
        <f t="shared" si="519"/>
        <v>1</v>
      </c>
      <c r="BG348" s="520">
        <f t="shared" si="504"/>
        <v>1.0030818160192299</v>
      </c>
      <c r="BH348" s="520">
        <f t="shared" si="482"/>
        <v>1.0058892448397847</v>
      </c>
      <c r="BI348" s="520">
        <f t="shared" si="483"/>
        <v>1.0089276407487533</v>
      </c>
      <c r="BJ348" s="520">
        <f t="shared" si="484"/>
        <v>1.0124373439172154</v>
      </c>
      <c r="BK348" s="520">
        <f t="shared" si="485"/>
        <v>1.0175505572831101</v>
      </c>
      <c r="BL348" s="520">
        <f t="shared" si="486"/>
        <v>1.023302014576742</v>
      </c>
      <c r="BM348" s="520">
        <f t="shared" si="487"/>
        <v>1.0271524590875074</v>
      </c>
      <c r="BN348" s="521" t="str">
        <f t="shared" si="488"/>
        <v>Category</v>
      </c>
      <c r="BP348" s="3"/>
    </row>
    <row r="349" spans="1:68" hidden="1" outlineLevel="1" x14ac:dyDescent="0.15">
      <c r="A349" s="78" t="s">
        <v>2654</v>
      </c>
      <c r="B349" s="78" t="s">
        <v>2655</v>
      </c>
      <c r="C349" s="13" t="s">
        <v>27</v>
      </c>
      <c r="D349" s="13" t="s">
        <v>54</v>
      </c>
      <c r="E349" s="13" t="s">
        <v>112</v>
      </c>
      <c r="F349" s="14"/>
      <c r="G349" s="14"/>
      <c r="H349" s="14"/>
      <c r="I349" s="14"/>
      <c r="J349" s="14"/>
      <c r="K349" s="14"/>
      <c r="L349" s="14"/>
      <c r="M349" s="15"/>
      <c r="N349" s="670"/>
      <c r="O349" s="14"/>
      <c r="P349" s="15"/>
      <c r="Q349" s="15" t="str">
        <f>IF(ISTEXT('Incurred 2.5% cpi'!Q349),"",'Incurred 2.5% cpi'!Q349/'Incurred 2.5% cpi'!Q$17*Incurred!Q$17)</f>
        <v/>
      </c>
      <c r="R349" s="110" t="str">
        <f>IF(ISTEXT('Incurred 2.5% cpi'!R349),"",'Incurred 2.5% cpi'!R349/'Incurred 2.5% cpi'!R$17*Incurred!R$17*BG349)</f>
        <v/>
      </c>
      <c r="S349" s="102">
        <f>IF(ISTEXT('Incurred 2.5% cpi'!S349),"",'Incurred 2.5% cpi'!S349/'Incurred 2.5% cpi'!S$17*Incurred!S$17*BH349)</f>
        <v>41864.808603458383</v>
      </c>
      <c r="T349" s="16">
        <f>IF(ISTEXT('Incurred 2.5% cpi'!T349),"",'Incurred 2.5% cpi'!T349/'Incurred 2.5% cpi'!T$17*Incurred!T$17*BI349)</f>
        <v>1348898.8850012699</v>
      </c>
      <c r="U349" s="16">
        <f>IF(ISTEXT('Incurred 2.5% cpi'!U349),"",'Incurred 2.5% cpi'!U349/'Incurred 2.5% cpi'!U$17*Incurred!U$17*BJ349)</f>
        <v>3179956.3540108306</v>
      </c>
      <c r="V349" s="16">
        <f>IF(ISTEXT('Incurred 2.5% cpi'!V349),"",'Incurred 2.5% cpi'!V349/'Incurred 2.5% cpi'!V$17*Incurred!V$17*BK349)</f>
        <v>144059.17067005538</v>
      </c>
      <c r="W349" s="110" t="str">
        <f>IF(ISTEXT('Incurred 2.5% cpi'!W349),"",'Incurred 2.5% cpi'!W349/'Incurred 2.5% cpi'!W$17*Incurred!W$17*BL349)</f>
        <v/>
      </c>
      <c r="X349" s="102" t="str">
        <f>IF(ISTEXT('Incurred 2.5% cpi'!X349),"",'Incurred 2.5% cpi'!X349/'Incurred 2.5% cpi'!X$17*Incurred!X$17*BM349)</f>
        <v/>
      </c>
      <c r="Y349" s="80">
        <f t="shared" si="510"/>
        <v>4714779.2182856146</v>
      </c>
      <c r="Z349" s="80">
        <f t="shared" si="522"/>
        <v>4714779.2182856146</v>
      </c>
      <c r="AA349" s="566">
        <f t="shared" si="520"/>
        <v>4987429.7731003016</v>
      </c>
      <c r="AB349" s="566">
        <f t="shared" si="517"/>
        <v>4747107.4580371706</v>
      </c>
      <c r="AC349" s="567">
        <f t="shared" si="518"/>
        <v>1.0506249999999999</v>
      </c>
      <c r="AD349" s="568" t="str">
        <f t="shared" si="479"/>
        <v>2022</v>
      </c>
      <c r="AE349" s="569">
        <v>44337</v>
      </c>
      <c r="AF349" s="568">
        <v>2021</v>
      </c>
      <c r="AG349" s="569"/>
      <c r="AH349" s="566">
        <f t="shared" si="521"/>
        <v>4408161.1891060621</v>
      </c>
      <c r="AI349" s="80">
        <f t="shared" si="480"/>
        <v>144059.17067005538</v>
      </c>
      <c r="AJ349" s="571" t="s">
        <v>3037</v>
      </c>
      <c r="AK349" s="875">
        <f>IF(ISNA(VLOOKUP(LEFT($A349,8),Estimates,72,FALSE)),0,VLOOKUP(LEFT($A349,8),Estimates,72,FALSE))</f>
        <v>3030390.7715632184</v>
      </c>
      <c r="AL349" s="28">
        <f t="shared" si="523"/>
        <v>0</v>
      </c>
      <c r="AM349" s="28">
        <f t="shared" si="523"/>
        <v>0</v>
      </c>
      <c r="AN349" s="28">
        <f t="shared" si="523"/>
        <v>9.89971335156376E-3</v>
      </c>
      <c r="AO349" s="28">
        <f t="shared" si="523"/>
        <v>0</v>
      </c>
      <c r="AP349" s="28">
        <f t="shared" si="523"/>
        <v>0</v>
      </c>
      <c r="AQ349" s="28">
        <f t="shared" si="523"/>
        <v>0</v>
      </c>
      <c r="AR349" s="28">
        <f t="shared" si="523"/>
        <v>0</v>
      </c>
      <c r="AS349" s="28">
        <f t="shared" si="523"/>
        <v>0</v>
      </c>
      <c r="AT349" s="28">
        <f t="shared" si="523"/>
        <v>0</v>
      </c>
      <c r="AU349" s="28">
        <f t="shared" si="523"/>
        <v>0.79697883928314239</v>
      </c>
      <c r="AV349" s="28">
        <f t="shared" si="524"/>
        <v>0</v>
      </c>
      <c r="AW349" s="28">
        <f t="shared" si="524"/>
        <v>0.13312918278389554</v>
      </c>
      <c r="AX349" s="28">
        <f t="shared" si="524"/>
        <v>0</v>
      </c>
      <c r="AY349" s="28">
        <f t="shared" si="524"/>
        <v>0</v>
      </c>
      <c r="AZ349" s="28">
        <f t="shared" si="524"/>
        <v>5.0092551223795655E-2</v>
      </c>
      <c r="BA349" s="28">
        <f t="shared" si="524"/>
        <v>6.5998089050683922E-3</v>
      </c>
      <c r="BB349" s="28">
        <f t="shared" si="524"/>
        <v>3.2999044525341961E-3</v>
      </c>
      <c r="BC349" s="28">
        <f t="shared" si="524"/>
        <v>0</v>
      </c>
      <c r="BD349" s="28">
        <f t="shared" si="524"/>
        <v>0</v>
      </c>
      <c r="BE349" s="28">
        <f t="shared" si="524"/>
        <v>0</v>
      </c>
      <c r="BF349" s="27">
        <f t="shared" si="519"/>
        <v>0.99999999999999989</v>
      </c>
      <c r="BG349" s="520">
        <f t="shared" si="504"/>
        <v>1.0030818160192299</v>
      </c>
      <c r="BH349" s="520">
        <f t="shared" si="482"/>
        <v>1.0058892448397847</v>
      </c>
      <c r="BI349" s="520">
        <f t="shared" si="483"/>
        <v>1.0089276407487533</v>
      </c>
      <c r="BJ349" s="520">
        <f t="shared" si="484"/>
        <v>1.0124373439172154</v>
      </c>
      <c r="BK349" s="520">
        <f t="shared" si="485"/>
        <v>1.0175505572831101</v>
      </c>
      <c r="BL349" s="520">
        <f t="shared" si="486"/>
        <v>1.023302014576742</v>
      </c>
      <c r="BM349" s="520">
        <f t="shared" si="487"/>
        <v>1.0271524590875074</v>
      </c>
      <c r="BN349" s="521" t="str">
        <f t="shared" si="488"/>
        <v>Category</v>
      </c>
      <c r="BP349" s="3"/>
    </row>
    <row r="350" spans="1:68" hidden="1" outlineLevel="1" x14ac:dyDescent="0.15">
      <c r="A350" s="511" t="s">
        <v>2745</v>
      </c>
      <c r="B350" s="512" t="s">
        <v>115</v>
      </c>
      <c r="C350" s="512" t="s">
        <v>27</v>
      </c>
      <c r="D350" s="512" t="s">
        <v>40</v>
      </c>
      <c r="E350" s="511" t="s">
        <v>29</v>
      </c>
      <c r="F350" s="510"/>
      <c r="G350" s="510"/>
      <c r="H350" s="510"/>
      <c r="I350" s="510"/>
      <c r="J350" s="510"/>
      <c r="K350" s="510"/>
      <c r="L350" s="510"/>
      <c r="M350" s="529"/>
      <c r="N350" s="672"/>
      <c r="O350" s="510"/>
      <c r="P350" s="513"/>
      <c r="Q350" s="513">
        <f>IF(ISTEXT('Incurred 2.5% cpi'!Q350),"",'Incurred 2.5% cpi'!Q350/'Incurred 2.5% cpi'!Q$17*Incurred!Q$17)</f>
        <v>31714256.320805699</v>
      </c>
      <c r="R350" s="514">
        <f>IF(ISTEXT('Incurred 2.5% cpi'!R350),"",'Incurred 2.5% cpi'!R350/'Incurred 2.5% cpi'!R$17*Incurred!R$17*BG350)</f>
        <v>7526150.3333048439</v>
      </c>
      <c r="S350" s="515" t="str">
        <f>IF(ISTEXT('Incurred 2.5% cpi'!S350),"",'Incurred 2.5% cpi'!S350/'Incurred 2.5% cpi'!S$17*Incurred!S$17*BH350)</f>
        <v/>
      </c>
      <c r="T350" s="513" t="str">
        <f>IF(ISTEXT('Incurred 2.5% cpi'!T350),"",'Incurred 2.5% cpi'!T350/'Incurred 2.5% cpi'!T$17*Incurred!T$17*BI350)</f>
        <v/>
      </c>
      <c r="U350" s="513" t="str">
        <f>IF(ISTEXT('Incurred 2.5% cpi'!U350),"",'Incurred 2.5% cpi'!U350/'Incurred 2.5% cpi'!U$17*Incurred!U$17*BJ350)</f>
        <v/>
      </c>
      <c r="V350" s="513" t="str">
        <f>IF(ISTEXT('Incurred 2.5% cpi'!V350),"",'Incurred 2.5% cpi'!V350/'Incurred 2.5% cpi'!V$17*Incurred!V$17*BK350)</f>
        <v/>
      </c>
      <c r="W350" s="514" t="str">
        <f>IF(ISTEXT('Incurred 2.5% cpi'!W350),"",'Incurred 2.5% cpi'!W350/'Incurred 2.5% cpi'!W$17*Incurred!W$17*BL350)</f>
        <v/>
      </c>
      <c r="X350" s="515" t="str">
        <f>IF(ISTEXT('Incurred 2.5% cpi'!X350),"",'Incurred 2.5% cpi'!X350/'Incurred 2.5% cpi'!X$17*Incurred!X$17*BM350)</f>
        <v/>
      </c>
      <c r="Y350" s="80">
        <f t="shared" si="510"/>
        <v>39240406.654110543</v>
      </c>
      <c r="Z350" s="80">
        <f t="shared" ref="Z350:Z353" si="525">-SUMIFS(F350:W350,F350:W350,"&lt;0")+SUMIFS(F350:W350,F350:W350,"&gt;0")</f>
        <v>39240406.654110543</v>
      </c>
      <c r="AA350" s="566">
        <f t="shared" ref="AA350:AA353" si="526">IF(ROUND(Y350,0)=0,0,SUMPRODUCT($F$20:$W$20,F350:W350))</f>
        <v>45293962.617305532</v>
      </c>
      <c r="AB350" s="566">
        <f t="shared" ref="AB350:AB353" si="527">IF(AC350="","",AA350/AC350)</f>
        <v>40033263.062130682</v>
      </c>
      <c r="AC350" s="567">
        <f t="shared" ref="AC350:AC353" si="528">IF(AF350="","",IF(AF350&lt;AD350,INDEX($F$20:$W$20,1,MATCH(TEXT(AF350,"000"),$F$24:$W$24)),INDEX($F$20:$W$20,1,MATCH(AD350,$F$24:$W$24))))</f>
        <v>1.1314082128906247</v>
      </c>
      <c r="AD350" s="568" t="str">
        <f t="shared" si="479"/>
        <v>2018</v>
      </c>
      <c r="AE350" s="569">
        <v>43420</v>
      </c>
      <c r="AF350" s="568">
        <v>2018</v>
      </c>
      <c r="AG350" s="569"/>
      <c r="AH350" s="566">
        <f t="shared" ref="AH350:AH353" si="529">IF(ROUND(Y350,0)=0,0,SUMPRODUCT($F$19:$W$19,F350:W350))</f>
        <v>40033263.062130682</v>
      </c>
      <c r="AI350" s="80">
        <f t="shared" si="480"/>
        <v>7526150.3333048439</v>
      </c>
      <c r="AJ350" s="571" t="s">
        <v>3036</v>
      </c>
      <c r="AK350" s="875">
        <f>IF(ISNA(VLOOKUP(LEFT($A350,8),Estimates,72,FALSE)),0,VLOOKUP(LEFT($A350,8),Estimates,72,FALSE))</f>
        <v>55413255.620694734</v>
      </c>
      <c r="AL350" s="876">
        <f t="shared" ref="AL350:BE350" si="530">VLOOKUP(LEFT($A350,8),Estimates,AL$22,FALSE)</f>
        <v>0</v>
      </c>
      <c r="AM350" s="876">
        <f t="shared" si="530"/>
        <v>2.0736493800065814E-2</v>
      </c>
      <c r="AN350" s="876">
        <f t="shared" si="530"/>
        <v>0.14009851116809655</v>
      </c>
      <c r="AO350" s="876">
        <f t="shared" si="530"/>
        <v>0</v>
      </c>
      <c r="AP350" s="876">
        <f t="shared" si="530"/>
        <v>1.1730045324340205E-3</v>
      </c>
      <c r="AQ350" s="876">
        <f t="shared" si="530"/>
        <v>0</v>
      </c>
      <c r="AR350" s="876">
        <f t="shared" si="530"/>
        <v>0</v>
      </c>
      <c r="AS350" s="876">
        <f t="shared" si="530"/>
        <v>0</v>
      </c>
      <c r="AT350" s="876">
        <f t="shared" si="530"/>
        <v>0</v>
      </c>
      <c r="AU350" s="876">
        <f t="shared" si="530"/>
        <v>0.32336100731679684</v>
      </c>
      <c r="AV350" s="876">
        <f t="shared" si="530"/>
        <v>3.9093173208885737E-2</v>
      </c>
      <c r="AW350" s="876">
        <f t="shared" si="530"/>
        <v>0.15870496759294167</v>
      </c>
      <c r="AX350" s="876">
        <f t="shared" si="530"/>
        <v>1.1525852303274063E-2</v>
      </c>
      <c r="AY350" s="876">
        <f t="shared" si="530"/>
        <v>0</v>
      </c>
      <c r="AZ350" s="876">
        <f t="shared" si="530"/>
        <v>0.21744896686091472</v>
      </c>
      <c r="BA350" s="876">
        <f t="shared" si="530"/>
        <v>4.6810083070830268E-2</v>
      </c>
      <c r="BB350" s="876">
        <f t="shared" si="530"/>
        <v>4.104794014576036E-2</v>
      </c>
      <c r="BC350" s="876">
        <f t="shared" si="530"/>
        <v>0</v>
      </c>
      <c r="BD350" s="876">
        <f t="shared" si="530"/>
        <v>0</v>
      </c>
      <c r="BE350" s="876">
        <f t="shared" si="530"/>
        <v>0</v>
      </c>
      <c r="BF350" s="27">
        <f t="shared" si="519"/>
        <v>1</v>
      </c>
      <c r="BG350" s="520">
        <f t="shared" ref="BG350:BG372" si="531">1+IF(ISNA(VLOOKUP(LEFT($A350,8),ProjLabEsc,7,FALSE)),VLOOKUP($D350,CatLabEsc,4,FALSE),VLOOKUP(LEFT($A350,8),ProjLabEsc,7,FALSE))*Labesc18*LabIn</f>
        <v>1.0034498951996242</v>
      </c>
      <c r="BH350" s="520">
        <f t="shared" ref="BH350:BH372" si="532">1+IF(ISNA(VLOOKUP(LEFT($A350,8),ProjLabEsc,7,FALSE)),VLOOKUP($D350,CatLabEsc,4,FALSE),VLOOKUP(LEFT($A350,8),ProjLabEsc,7,FALSE))*LabEsc19*LabIn</f>
        <v>1.0065926315443261</v>
      </c>
      <c r="BI350" s="520">
        <f t="shared" ref="BI350:BI372" si="533">1+IF(ISNA(VLOOKUP(LEFT($A350,8),ProjLabEsc,7,FALSE)),VLOOKUP($D350,CatLabEsc,4,FALSE),VLOOKUP(LEFT($A350,8),ProjLabEsc,7,FALSE))*LabEsc20*LabIn</f>
        <v>1.0099939207178206</v>
      </c>
      <c r="BJ350" s="520">
        <f t="shared" ref="BJ350:BJ372" si="534">1+IF(ISNA(VLOOKUP(LEFT($A350,8),ProjLabEsc,7,FALSE)),VLOOKUP($D350,CatLabEsc,4,FALSE),VLOOKUP(LEFT($A350,8),ProjLabEsc,7,FALSE))*LabEsc21*LabIn</f>
        <v>1.0139228081132494</v>
      </c>
      <c r="BK350" s="520">
        <f t="shared" ref="BK350:BK372" si="535">1+IF(ISNA(VLOOKUP(LEFT($A350,8),ProjLabEsc,7,FALSE)),VLOOKUP($D350,CatLabEsc,4,FALSE),VLOOKUP(LEFT($A350,8),ProjLabEsc,7,FALSE))*LabEsc22*LabIn</f>
        <v>1.0196467222390713</v>
      </c>
      <c r="BL350" s="520">
        <f t="shared" ref="BL350:BL372" si="536">1+IF(ISNA(VLOOKUP(LEFT($A350,8),ProjLabEsc,7,FALSE)),VLOOKUP($D350,CatLabEsc,4,FALSE),VLOOKUP(LEFT($A350,8),ProjLabEsc,7,FALSE))*LabEsc23*LabIn</f>
        <v>1.0260851094706045</v>
      </c>
      <c r="BM350" s="520">
        <f t="shared" ref="BM350:BM372" si="537">1+IF(ISNA(VLOOKUP(LEFT($A350,8),ProjLabEsc,7,FALSE)),VLOOKUP($D350,CatLabEsc,4,FALSE),VLOOKUP(LEFT($A350,8),ProjLabEsc,7,FALSE))*LabEsc24*LabIn</f>
        <v>1.0303954349252136</v>
      </c>
      <c r="BN350" s="521" t="str">
        <f t="shared" ref="BN350:BN372" si="538">IF(ISNA(VLOOKUP(LEFT($A350,8),ProjLabEsc,7,FALSE)),"Category","Project")</f>
        <v>Category</v>
      </c>
      <c r="BP350" s="3"/>
    </row>
    <row r="351" spans="1:68" hidden="1" outlineLevel="1" x14ac:dyDescent="0.15">
      <c r="A351" s="511" t="s">
        <v>2746</v>
      </c>
      <c r="B351" s="512" t="s">
        <v>359</v>
      </c>
      <c r="C351" s="512" t="s">
        <v>27</v>
      </c>
      <c r="D351" s="512" t="s">
        <v>40</v>
      </c>
      <c r="E351" s="511" t="s">
        <v>29</v>
      </c>
      <c r="F351" s="510"/>
      <c r="G351" s="510"/>
      <c r="H351" s="510"/>
      <c r="I351" s="510"/>
      <c r="J351" s="510"/>
      <c r="K351" s="510"/>
      <c r="L351" s="510"/>
      <c r="M351" s="529"/>
      <c r="N351" s="672"/>
      <c r="O351" s="510"/>
      <c r="P351" s="513"/>
      <c r="Q351" s="513">
        <f>IF(ISTEXT('Incurred 2.5% cpi'!Q351),"",'Incurred 2.5% cpi'!Q351/'Incurred 2.5% cpi'!Q$17*Incurred!Q$17)</f>
        <v>7659944.3399999999</v>
      </c>
      <c r="R351" s="514">
        <f>IF(ISTEXT('Incurred 2.5% cpi'!R351),"",'Incurred 2.5% cpi'!R351/'Incurred 2.5% cpi'!R$17*Incurred!R$17*BG351)</f>
        <v>4411985.3973099431</v>
      </c>
      <c r="S351" s="515" t="str">
        <f>IF(ISTEXT('Incurred 2.5% cpi'!S351),"",'Incurred 2.5% cpi'!S351/'Incurred 2.5% cpi'!S$17*Incurred!S$17*BH351)</f>
        <v/>
      </c>
      <c r="T351" s="513" t="str">
        <f>IF(ISTEXT('Incurred 2.5% cpi'!T351),"",'Incurred 2.5% cpi'!T351/'Incurred 2.5% cpi'!T$17*Incurred!T$17*BI351)</f>
        <v/>
      </c>
      <c r="U351" s="513" t="str">
        <f>IF(ISTEXT('Incurred 2.5% cpi'!U351),"",'Incurred 2.5% cpi'!U351/'Incurred 2.5% cpi'!U$17*Incurred!U$17*BJ351)</f>
        <v/>
      </c>
      <c r="V351" s="513" t="str">
        <f>IF(ISTEXT('Incurred 2.5% cpi'!V351),"",'Incurred 2.5% cpi'!V351/'Incurred 2.5% cpi'!V$17*Incurred!V$17*BK351)</f>
        <v/>
      </c>
      <c r="W351" s="514" t="str">
        <f>IF(ISTEXT('Incurred 2.5% cpi'!W351),"",'Incurred 2.5% cpi'!W351/'Incurred 2.5% cpi'!W$17*Incurred!W$17*BL351)</f>
        <v/>
      </c>
      <c r="X351" s="515" t="str">
        <f>IF(ISTEXT('Incurred 2.5% cpi'!X351),"",'Incurred 2.5% cpi'!X351/'Incurred 2.5% cpi'!X$17*Incurred!X$17*BM351)</f>
        <v/>
      </c>
      <c r="Y351" s="80">
        <f t="shared" si="510"/>
        <v>12071929.737309944</v>
      </c>
      <c r="Z351" s="80">
        <f t="shared" si="525"/>
        <v>12071929.737309944</v>
      </c>
      <c r="AA351" s="566">
        <f t="shared" si="526"/>
        <v>13874943.548645057</v>
      </c>
      <c r="AB351" s="566">
        <f t="shared" si="527"/>
        <v>12263428.345809942</v>
      </c>
      <c r="AC351" s="567">
        <f t="shared" si="528"/>
        <v>1.1314082128906247</v>
      </c>
      <c r="AD351" s="568" t="str">
        <f t="shared" si="479"/>
        <v>2018</v>
      </c>
      <c r="AE351" s="569">
        <v>43174</v>
      </c>
      <c r="AF351" s="568">
        <v>2018</v>
      </c>
      <c r="AG351" s="569"/>
      <c r="AH351" s="566">
        <f t="shared" si="529"/>
        <v>12263428.345809942</v>
      </c>
      <c r="AI351" s="80">
        <f t="shared" si="480"/>
        <v>4411985.3973099431</v>
      </c>
      <c r="AJ351" s="571" t="s">
        <v>3036</v>
      </c>
      <c r="AK351" s="875">
        <f>IF(ISNA(VLOOKUP(LEFT($A351,8),Estimates,72,FALSE)),0,VLOOKUP(LEFT($A351,8),Estimates,72,FALSE))</f>
        <v>49095474.99999994</v>
      </c>
      <c r="AL351" s="28">
        <f t="shared" si="523"/>
        <v>0</v>
      </c>
      <c r="AM351" s="28">
        <f t="shared" si="523"/>
        <v>0</v>
      </c>
      <c r="AN351" s="28">
        <f t="shared" si="523"/>
        <v>0</v>
      </c>
      <c r="AO351" s="28">
        <f t="shared" si="523"/>
        <v>0</v>
      </c>
      <c r="AP351" s="28">
        <f t="shared" si="523"/>
        <v>0</v>
      </c>
      <c r="AQ351" s="28">
        <f t="shared" si="523"/>
        <v>0</v>
      </c>
      <c r="AR351" s="28">
        <f t="shared" si="523"/>
        <v>0</v>
      </c>
      <c r="AS351" s="28">
        <f t="shared" si="523"/>
        <v>0</v>
      </c>
      <c r="AT351" s="28">
        <f t="shared" si="523"/>
        <v>0</v>
      </c>
      <c r="AU351" s="28">
        <f t="shared" si="523"/>
        <v>1</v>
      </c>
      <c r="AV351" s="28">
        <f t="shared" si="524"/>
        <v>0</v>
      </c>
      <c r="AW351" s="28">
        <f t="shared" si="524"/>
        <v>0</v>
      </c>
      <c r="AX351" s="28">
        <f t="shared" si="524"/>
        <v>0</v>
      </c>
      <c r="AY351" s="28">
        <f t="shared" si="524"/>
        <v>0</v>
      </c>
      <c r="AZ351" s="28">
        <f t="shared" si="524"/>
        <v>0</v>
      </c>
      <c r="BA351" s="28">
        <f t="shared" si="524"/>
        <v>0</v>
      </c>
      <c r="BB351" s="28">
        <f t="shared" si="524"/>
        <v>0</v>
      </c>
      <c r="BC351" s="28">
        <f t="shared" si="524"/>
        <v>0</v>
      </c>
      <c r="BD351" s="28">
        <f t="shared" si="524"/>
        <v>0</v>
      </c>
      <c r="BE351" s="28">
        <f t="shared" si="524"/>
        <v>0</v>
      </c>
      <c r="BF351" s="27">
        <f t="shared" si="519"/>
        <v>1</v>
      </c>
      <c r="BG351" s="520">
        <f t="shared" si="531"/>
        <v>1.0034498951996242</v>
      </c>
      <c r="BH351" s="520">
        <f t="shared" si="532"/>
        <v>1.0065926315443261</v>
      </c>
      <c r="BI351" s="520">
        <f t="shared" si="533"/>
        <v>1.0099939207178206</v>
      </c>
      <c r="BJ351" s="520">
        <f t="shared" si="534"/>
        <v>1.0139228081132494</v>
      </c>
      <c r="BK351" s="520">
        <f t="shared" si="535"/>
        <v>1.0196467222390713</v>
      </c>
      <c r="BL351" s="520">
        <f t="shared" si="536"/>
        <v>1.0260851094706045</v>
      </c>
      <c r="BM351" s="520">
        <f t="shared" si="537"/>
        <v>1.0303954349252136</v>
      </c>
      <c r="BN351" s="521" t="str">
        <f t="shared" si="538"/>
        <v>Category</v>
      </c>
      <c r="BP351" s="3"/>
    </row>
    <row r="352" spans="1:68" hidden="1" outlineLevel="1" x14ac:dyDescent="0.15">
      <c r="A352" s="511" t="s">
        <v>2747</v>
      </c>
      <c r="B352" s="512" t="s">
        <v>115</v>
      </c>
      <c r="C352" s="512" t="s">
        <v>27</v>
      </c>
      <c r="D352" s="512" t="s">
        <v>40</v>
      </c>
      <c r="E352" s="511" t="s">
        <v>29</v>
      </c>
      <c r="F352" s="510"/>
      <c r="G352" s="510"/>
      <c r="H352" s="510"/>
      <c r="I352" s="510"/>
      <c r="J352" s="510"/>
      <c r="K352" s="510"/>
      <c r="L352" s="510"/>
      <c r="M352" s="529"/>
      <c r="N352" s="672"/>
      <c r="O352" s="510"/>
      <c r="P352" s="513"/>
      <c r="Q352" s="513" t="str">
        <f>IF(ISTEXT('Incurred 2.5% cpi'!Q352),"",'Incurred 2.5% cpi'!Q352/'Incurred 2.5% cpi'!Q$17*Incurred!Q$17)</f>
        <v/>
      </c>
      <c r="R352" s="514">
        <f>IF(ISTEXT('Incurred 2.5% cpi'!R352),"",'Incurred 2.5% cpi'!R352/'Incurred 2.5% cpi'!R$17*Incurred!R$17*BG352)</f>
        <v>4070664.7007297357</v>
      </c>
      <c r="S352" s="515">
        <f>IF(ISTEXT('Incurred 2.5% cpi'!S352),"",'Incurred 2.5% cpi'!S352/'Incurred 2.5% cpi'!S$17*Incurred!S$17*BH352)</f>
        <v>4236037.7720359033</v>
      </c>
      <c r="T352" s="513">
        <f>IF(ISTEXT('Incurred 2.5% cpi'!T352),"",'Incurred 2.5% cpi'!T352/'Incurred 2.5% cpi'!T$17*Incurred!T$17*BI352)</f>
        <v>142192.06482783283</v>
      </c>
      <c r="U352" s="513" t="str">
        <f>IF(ISTEXT('Incurred 2.5% cpi'!U352),"",'Incurred 2.5% cpi'!U352/'Incurred 2.5% cpi'!U$17*Incurred!U$17*BJ352)</f>
        <v/>
      </c>
      <c r="V352" s="513" t="str">
        <f>IF(ISTEXT('Incurred 2.5% cpi'!V352),"",'Incurred 2.5% cpi'!V352/'Incurred 2.5% cpi'!V$17*Incurred!V$17*BK352)</f>
        <v/>
      </c>
      <c r="W352" s="514" t="str">
        <f>IF(ISTEXT('Incurred 2.5% cpi'!W352),"",'Incurred 2.5% cpi'!W352/'Incurred 2.5% cpi'!W$17*Incurred!W$17*BL352)</f>
        <v/>
      </c>
      <c r="X352" s="515" t="str">
        <f>IF(ISTEXT('Incurred 2.5% cpi'!X352),"",'Incurred 2.5% cpi'!X352/'Incurred 2.5% cpi'!X$17*Incurred!X$17*BM352)</f>
        <v/>
      </c>
      <c r="Y352" s="80">
        <f t="shared" si="510"/>
        <v>8448894.5375934727</v>
      </c>
      <c r="Z352" s="80">
        <f t="shared" si="525"/>
        <v>8448894.5375934727</v>
      </c>
      <c r="AA352" s="566">
        <f t="shared" si="526"/>
        <v>9434501.8738397006</v>
      </c>
      <c r="AB352" s="566">
        <f t="shared" si="527"/>
        <v>8547193.0559695736</v>
      </c>
      <c r="AC352" s="567">
        <f t="shared" si="528"/>
        <v>1.1038128906249998</v>
      </c>
      <c r="AD352" s="568" t="str">
        <f t="shared" si="479"/>
        <v>2020</v>
      </c>
      <c r="AE352" s="569">
        <v>43420</v>
      </c>
      <c r="AF352" s="568">
        <v>2019</v>
      </c>
      <c r="AG352" s="569"/>
      <c r="AH352" s="566">
        <f t="shared" si="529"/>
        <v>8338724.9326532427</v>
      </c>
      <c r="AI352" s="80">
        <f t="shared" si="480"/>
        <v>142192.06482783283</v>
      </c>
      <c r="AJ352" s="571" t="s">
        <v>3036</v>
      </c>
      <c r="AK352" s="875">
        <f>IF(ISNA(VLOOKUP(LEFT($A352,8),Estimates,72,FALSE)),0,VLOOKUP(LEFT($A352,8),Estimates,72,FALSE))</f>
        <v>55413255.620694734</v>
      </c>
      <c r="AL352" s="876">
        <f t="shared" ref="AL352:BE352" si="539">VLOOKUP(LEFT($A352,8),Estimates,AL$22,FALSE)</f>
        <v>0</v>
      </c>
      <c r="AM352" s="876">
        <f t="shared" si="539"/>
        <v>2.0736493800065814E-2</v>
      </c>
      <c r="AN352" s="876">
        <f t="shared" si="539"/>
        <v>0.14009851116809655</v>
      </c>
      <c r="AO352" s="876">
        <f t="shared" si="539"/>
        <v>0</v>
      </c>
      <c r="AP352" s="876">
        <f t="shared" si="539"/>
        <v>1.1730045324340205E-3</v>
      </c>
      <c r="AQ352" s="876">
        <f t="shared" si="539"/>
        <v>0</v>
      </c>
      <c r="AR352" s="876">
        <f t="shared" si="539"/>
        <v>0</v>
      </c>
      <c r="AS352" s="876">
        <f t="shared" si="539"/>
        <v>0</v>
      </c>
      <c r="AT352" s="876">
        <f t="shared" si="539"/>
        <v>0</v>
      </c>
      <c r="AU352" s="876">
        <f t="shared" si="539"/>
        <v>0.32336100731679684</v>
      </c>
      <c r="AV352" s="876">
        <f t="shared" si="539"/>
        <v>3.9093173208885737E-2</v>
      </c>
      <c r="AW352" s="876">
        <f t="shared" si="539"/>
        <v>0.15870496759294167</v>
      </c>
      <c r="AX352" s="876">
        <f t="shared" si="539"/>
        <v>1.1525852303274063E-2</v>
      </c>
      <c r="AY352" s="876">
        <f t="shared" si="539"/>
        <v>0</v>
      </c>
      <c r="AZ352" s="876">
        <f t="shared" si="539"/>
        <v>0.21744896686091472</v>
      </c>
      <c r="BA352" s="876">
        <f t="shared" si="539"/>
        <v>4.6810083070830268E-2</v>
      </c>
      <c r="BB352" s="876">
        <f t="shared" si="539"/>
        <v>4.104794014576036E-2</v>
      </c>
      <c r="BC352" s="876">
        <f t="shared" si="539"/>
        <v>0</v>
      </c>
      <c r="BD352" s="876">
        <f t="shared" si="539"/>
        <v>0</v>
      </c>
      <c r="BE352" s="876">
        <f t="shared" si="539"/>
        <v>0</v>
      </c>
      <c r="BF352" s="27">
        <f t="shared" si="519"/>
        <v>1</v>
      </c>
      <c r="BG352" s="520">
        <f t="shared" si="531"/>
        <v>1.0034498951996242</v>
      </c>
      <c r="BH352" s="520">
        <f t="shared" si="532"/>
        <v>1.0065926315443261</v>
      </c>
      <c r="BI352" s="520">
        <f t="shared" si="533"/>
        <v>1.0099939207178206</v>
      </c>
      <c r="BJ352" s="520">
        <f t="shared" si="534"/>
        <v>1.0139228081132494</v>
      </c>
      <c r="BK352" s="520">
        <f t="shared" si="535"/>
        <v>1.0196467222390713</v>
      </c>
      <c r="BL352" s="520">
        <f t="shared" si="536"/>
        <v>1.0260851094706045</v>
      </c>
      <c r="BM352" s="520">
        <f t="shared" si="537"/>
        <v>1.0303954349252136</v>
      </c>
      <c r="BN352" s="521" t="str">
        <f t="shared" si="538"/>
        <v>Category</v>
      </c>
      <c r="BP352" s="3"/>
    </row>
    <row r="353" spans="1:68" hidden="1" outlineLevel="1" x14ac:dyDescent="0.15">
      <c r="A353" s="511" t="s">
        <v>2748</v>
      </c>
      <c r="B353" s="512" t="s">
        <v>359</v>
      </c>
      <c r="C353" s="512" t="s">
        <v>27</v>
      </c>
      <c r="D353" s="512" t="s">
        <v>40</v>
      </c>
      <c r="E353" s="511" t="s">
        <v>29</v>
      </c>
      <c r="F353" s="510"/>
      <c r="G353" s="510"/>
      <c r="H353" s="510"/>
      <c r="I353" s="510"/>
      <c r="J353" s="510"/>
      <c r="K353" s="510"/>
      <c r="L353" s="510"/>
      <c r="M353" s="529"/>
      <c r="N353" s="672"/>
      <c r="O353" s="510"/>
      <c r="P353" s="513"/>
      <c r="Q353" s="513" t="str">
        <f>IF(ISTEXT('Incurred 2.5% cpi'!Q353),"",'Incurred 2.5% cpi'!Q353/'Incurred 2.5% cpi'!Q$17*Incurred!Q$17)</f>
        <v/>
      </c>
      <c r="R353" s="514" t="str">
        <f>IF(ISTEXT('Incurred 2.5% cpi'!R353),"",'Incurred 2.5% cpi'!R353/'Incurred 2.5% cpi'!R$17*Incurred!R$17*BG353)</f>
        <v/>
      </c>
      <c r="S353" s="515">
        <f>IF(ISTEXT('Incurred 2.5% cpi'!S353),"",'Incurred 2.5% cpi'!S353/'Incurred 2.5% cpi'!S$17*Incurred!S$17*BH353)</f>
        <v>311158.10551558208</v>
      </c>
      <c r="T353" s="513" t="str">
        <f>IF(ISTEXT('Incurred 2.5% cpi'!T353),"",'Incurred 2.5% cpi'!T353/'Incurred 2.5% cpi'!T$17*Incurred!T$17*BI353)</f>
        <v/>
      </c>
      <c r="U353" s="513" t="str">
        <f>IF(ISTEXT('Incurred 2.5% cpi'!U353),"",'Incurred 2.5% cpi'!U353/'Incurred 2.5% cpi'!U$17*Incurred!U$17*BJ353)</f>
        <v/>
      </c>
      <c r="V353" s="513" t="str">
        <f>IF(ISTEXT('Incurred 2.5% cpi'!V353),"",'Incurred 2.5% cpi'!V353/'Incurred 2.5% cpi'!V$17*Incurred!V$17*BK353)</f>
        <v/>
      </c>
      <c r="W353" s="514" t="str">
        <f>IF(ISTEXT('Incurred 2.5% cpi'!W353),"",'Incurred 2.5% cpi'!W353/'Incurred 2.5% cpi'!W$17*Incurred!W$17*BL353)</f>
        <v/>
      </c>
      <c r="X353" s="515" t="str">
        <f>IF(ISTEXT('Incurred 2.5% cpi'!X353),"",'Incurred 2.5% cpi'!X353/'Incurred 2.5% cpi'!X$17*Incurred!X$17*BM353)</f>
        <v/>
      </c>
      <c r="Y353" s="80">
        <f t="shared" si="510"/>
        <v>311158.10551558208</v>
      </c>
      <c r="Z353" s="80">
        <f t="shared" si="525"/>
        <v>311158.10551558208</v>
      </c>
      <c r="AA353" s="566">
        <f t="shared" si="526"/>
        <v>343460.32789055334</v>
      </c>
      <c r="AB353" s="566">
        <f t="shared" si="527"/>
        <v>311158.10551558208</v>
      </c>
      <c r="AC353" s="567">
        <f t="shared" si="528"/>
        <v>1.1038128906249998</v>
      </c>
      <c r="AD353" s="568" t="str">
        <f t="shared" si="479"/>
        <v>2019</v>
      </c>
      <c r="AE353" s="569">
        <v>43174</v>
      </c>
      <c r="AF353" s="568">
        <v>2019</v>
      </c>
      <c r="AG353" s="569"/>
      <c r="AH353" s="566">
        <f t="shared" si="529"/>
        <v>303568.88342983619</v>
      </c>
      <c r="AI353" s="80">
        <f t="shared" si="480"/>
        <v>311158.10551558208</v>
      </c>
      <c r="AJ353" s="571" t="s">
        <v>3036</v>
      </c>
      <c r="AK353" s="875">
        <f>IF(ISNA(VLOOKUP(LEFT($A353,8),Estimates,72,FALSE)),0,VLOOKUP(LEFT($A353,8),Estimates,72,FALSE))</f>
        <v>49095474.99999994</v>
      </c>
      <c r="AL353" s="28">
        <f t="shared" si="523"/>
        <v>0</v>
      </c>
      <c r="AM353" s="28">
        <f t="shared" si="523"/>
        <v>0</v>
      </c>
      <c r="AN353" s="28">
        <f t="shared" si="523"/>
        <v>0</v>
      </c>
      <c r="AO353" s="28">
        <f t="shared" si="523"/>
        <v>0</v>
      </c>
      <c r="AP353" s="28">
        <f t="shared" si="523"/>
        <v>0</v>
      </c>
      <c r="AQ353" s="28">
        <f t="shared" si="523"/>
        <v>0</v>
      </c>
      <c r="AR353" s="28">
        <f t="shared" si="523"/>
        <v>0</v>
      </c>
      <c r="AS353" s="28">
        <f t="shared" si="523"/>
        <v>0</v>
      </c>
      <c r="AT353" s="28">
        <f t="shared" si="523"/>
        <v>0</v>
      </c>
      <c r="AU353" s="28">
        <f t="shared" si="523"/>
        <v>1</v>
      </c>
      <c r="AV353" s="28">
        <f t="shared" si="524"/>
        <v>0</v>
      </c>
      <c r="AW353" s="28">
        <f t="shared" si="524"/>
        <v>0</v>
      </c>
      <c r="AX353" s="28">
        <f t="shared" si="524"/>
        <v>0</v>
      </c>
      <c r="AY353" s="28">
        <f t="shared" si="524"/>
        <v>0</v>
      </c>
      <c r="AZ353" s="28">
        <f t="shared" si="524"/>
        <v>0</v>
      </c>
      <c r="BA353" s="28">
        <f t="shared" si="524"/>
        <v>0</v>
      </c>
      <c r="BB353" s="28">
        <f t="shared" si="524"/>
        <v>0</v>
      </c>
      <c r="BC353" s="28">
        <f t="shared" si="524"/>
        <v>0</v>
      </c>
      <c r="BD353" s="28">
        <f t="shared" si="524"/>
        <v>0</v>
      </c>
      <c r="BE353" s="28">
        <f t="shared" si="524"/>
        <v>0</v>
      </c>
      <c r="BF353" s="27">
        <f t="shared" si="519"/>
        <v>1</v>
      </c>
      <c r="BG353" s="520">
        <f t="shared" si="531"/>
        <v>1.0034498951996242</v>
      </c>
      <c r="BH353" s="520">
        <f t="shared" si="532"/>
        <v>1.0065926315443261</v>
      </c>
      <c r="BI353" s="520">
        <f t="shared" si="533"/>
        <v>1.0099939207178206</v>
      </c>
      <c r="BJ353" s="520">
        <f t="shared" si="534"/>
        <v>1.0139228081132494</v>
      </c>
      <c r="BK353" s="520">
        <f t="shared" si="535"/>
        <v>1.0196467222390713</v>
      </c>
      <c r="BL353" s="520">
        <f t="shared" si="536"/>
        <v>1.0260851094706045</v>
      </c>
      <c r="BM353" s="520">
        <f t="shared" si="537"/>
        <v>1.0303954349252136</v>
      </c>
      <c r="BN353" s="521" t="str">
        <f t="shared" si="538"/>
        <v>Category</v>
      </c>
      <c r="BP353" s="3"/>
    </row>
    <row r="354" spans="1:68" hidden="1" outlineLevel="1" x14ac:dyDescent="0.15">
      <c r="A354" s="511" t="s">
        <v>2750</v>
      </c>
      <c r="B354" s="512" t="s">
        <v>568</v>
      </c>
      <c r="C354" s="512" t="s">
        <v>27</v>
      </c>
      <c r="D354" s="512" t="s">
        <v>41</v>
      </c>
      <c r="E354" s="512" t="s">
        <v>112</v>
      </c>
      <c r="F354" s="510"/>
      <c r="G354" s="510"/>
      <c r="H354" s="510"/>
      <c r="I354" s="510"/>
      <c r="J354" s="510"/>
      <c r="K354" s="510"/>
      <c r="L354" s="510"/>
      <c r="M354" s="529"/>
      <c r="N354" s="672"/>
      <c r="O354" s="510"/>
      <c r="P354" s="516"/>
      <c r="Q354" s="516" t="str">
        <f>IF(ISTEXT('Incurred 2.5% cpi'!Q354),"",'Incurred 2.5% cpi'!Q354/'Incurred 2.5% cpi'!Q$17*Incurred!Q$17)</f>
        <v/>
      </c>
      <c r="R354" s="514" t="str">
        <f>IF(ISTEXT('Incurred 2.5% cpi'!R354),"",'Incurred 2.5% cpi'!R354/'Incurred 2.5% cpi'!R$17*Incurred!R$17*BG354)</f>
        <v/>
      </c>
      <c r="S354" s="515">
        <f>IF(ISTEXT('Incurred 2.5% cpi'!S354),"",'Incurred 2.5% cpi'!S354/'Incurred 2.5% cpi'!S$17*Incurred!S$17*BH354)</f>
        <v>3688147.2072523702</v>
      </c>
      <c r="T354" s="513">
        <f>IF(ISTEXT('Incurred 2.5% cpi'!T354),"",'Incurred 2.5% cpi'!T354/'Incurred 2.5% cpi'!T$17*Incurred!T$17*BI354)</f>
        <v>6744668.9796447782</v>
      </c>
      <c r="U354" s="513" t="str">
        <f>IF(ISTEXT('Incurred 2.5% cpi'!U354),"",'Incurred 2.5% cpi'!U354/'Incurred 2.5% cpi'!U$17*Incurred!U$17*BJ354)</f>
        <v/>
      </c>
      <c r="V354" s="513" t="str">
        <f>IF(ISTEXT('Incurred 2.5% cpi'!V354),"",'Incurred 2.5% cpi'!V354/'Incurred 2.5% cpi'!V$17*Incurred!V$17*BK354)</f>
        <v/>
      </c>
      <c r="W354" s="514" t="str">
        <f>IF(ISTEXT('Incurred 2.5% cpi'!W354),"",'Incurred 2.5% cpi'!W354/'Incurred 2.5% cpi'!W$17*Incurred!W$17*BL354)</f>
        <v/>
      </c>
      <c r="X354" s="515" t="str">
        <f>IF(ISTEXT('Incurred 2.5% cpi'!X354),"",'Incurred 2.5% cpi'!X354/'Incurred 2.5% cpi'!X$17*Incurred!X$17*BM354)</f>
        <v/>
      </c>
      <c r="Y354" s="80">
        <f t="shared" si="510"/>
        <v>10432816.186897147</v>
      </c>
      <c r="Z354" s="80">
        <f t="shared" si="522"/>
        <v>10432816.186897147</v>
      </c>
      <c r="AA354" s="566">
        <f t="shared" ref="AA354:AA359" si="540">IF(ROUND(Y354,0)=0,0,SUMPRODUCT($F$20:$W$20,F354:W354))</f>
        <v>11334295.222795535</v>
      </c>
      <c r="AB354" s="566">
        <f t="shared" ref="AB354:AB359" si="541">IF(AC354="","",AA354/AC354)</f>
        <v>10525019.867078457</v>
      </c>
      <c r="AC354" s="567">
        <f t="shared" ref="AC354:AC359" si="542">IF(AF354="","",IF(AF354&lt;AD354,INDEX($F$20:$W$20,1,MATCH(TEXT(AF354,"000"),$F$24:$W$24)),INDEX($F$20:$W$20,1,MATCH(AD354,$F$24:$W$24))))</f>
        <v>1.0768906249999999</v>
      </c>
      <c r="AD354" s="568" t="str">
        <f t="shared" si="479"/>
        <v>2020</v>
      </c>
      <c r="AE354" s="569">
        <v>44978</v>
      </c>
      <c r="AF354" s="568">
        <v>2020</v>
      </c>
      <c r="AG354" s="569"/>
      <c r="AH354" s="566">
        <f t="shared" ref="AH354:AH359" si="543">IF(ROUND(Y354,0)=0,0,SUMPRODUCT($F$19:$W$19,F354:W354))</f>
        <v>10017865.429699901</v>
      </c>
      <c r="AI354" s="80">
        <f t="shared" si="480"/>
        <v>6744668.9796447782</v>
      </c>
      <c r="AJ354" s="571" t="s">
        <v>3035</v>
      </c>
      <c r="AK354" s="875">
        <f t="shared" ref="AK354:AK372" si="544">IF(ISNA(VLOOKUP(LEFT($A354,8),Estimates,71,FALSE)),0,VLOOKUP(LEFT($A354,8),Estimates,71,FALSE))</f>
        <v>0</v>
      </c>
      <c r="AL354" s="28">
        <f t="shared" ref="AL354:AU372" si="545">IF($AK354=0,VLOOKUP(MID($A354,4,5),ProjectSplits,AL$23,FALSE),IF(ISNA(VLOOKUP(LEFT($A354,8),Estimates,AL$22,FALSE)),VLOOKUP(MID($A354,4,5),ProjectSplits,AL$23,FALSE),VLOOKUP(LEFT($A354,8),Estimates,AL$22,FALSE)))</f>
        <v>0</v>
      </c>
      <c r="AM354" s="28">
        <f t="shared" si="545"/>
        <v>0</v>
      </c>
      <c r="AN354" s="28">
        <f t="shared" si="545"/>
        <v>0</v>
      </c>
      <c r="AO354" s="28">
        <f t="shared" si="545"/>
        <v>0</v>
      </c>
      <c r="AP354" s="28">
        <f t="shared" si="545"/>
        <v>0</v>
      </c>
      <c r="AQ354" s="28">
        <f t="shared" si="545"/>
        <v>0</v>
      </c>
      <c r="AR354" s="28">
        <f t="shared" si="545"/>
        <v>0</v>
      </c>
      <c r="AS354" s="28">
        <f t="shared" si="545"/>
        <v>0</v>
      </c>
      <c r="AT354" s="28">
        <f t="shared" si="545"/>
        <v>0</v>
      </c>
      <c r="AU354" s="28">
        <f t="shared" si="545"/>
        <v>0</v>
      </c>
      <c r="AV354" s="28">
        <f t="shared" ref="AV354:BE372" si="546">IF($AK354=0,VLOOKUP(MID($A354,4,5),ProjectSplits,AV$23,FALSE),IF(ISNA(VLOOKUP(LEFT($A354,8),Estimates,AV$22,FALSE)),VLOOKUP(MID($A354,4,5),ProjectSplits,AV$23,FALSE),VLOOKUP(LEFT($A354,8),Estimates,AV$22,FALSE)))</f>
        <v>0</v>
      </c>
      <c r="AW354" s="28">
        <f t="shared" si="546"/>
        <v>0</v>
      </c>
      <c r="AX354" s="28">
        <f t="shared" si="546"/>
        <v>0</v>
      </c>
      <c r="AY354" s="28">
        <f t="shared" si="546"/>
        <v>0</v>
      </c>
      <c r="AZ354" s="28">
        <f t="shared" si="546"/>
        <v>0</v>
      </c>
      <c r="BA354" s="28">
        <f t="shared" si="546"/>
        <v>0</v>
      </c>
      <c r="BB354" s="28">
        <f t="shared" si="546"/>
        <v>0</v>
      </c>
      <c r="BC354" s="28">
        <f t="shared" si="546"/>
        <v>0</v>
      </c>
      <c r="BD354" s="28">
        <f t="shared" si="546"/>
        <v>0</v>
      </c>
      <c r="BE354" s="28">
        <f t="shared" si="546"/>
        <v>1</v>
      </c>
      <c r="BF354" s="27">
        <f t="shared" ref="BF354:BF359" si="547">SUM(AL354:BE354)</f>
        <v>1</v>
      </c>
      <c r="BG354" s="520">
        <f t="shared" si="531"/>
        <v>1.0029392094402594</v>
      </c>
      <c r="BH354" s="520">
        <f t="shared" si="532"/>
        <v>1.0056167285526079</v>
      </c>
      <c r="BI354" s="520">
        <f t="shared" si="533"/>
        <v>1.0085145270854086</v>
      </c>
      <c r="BJ354" s="520">
        <f t="shared" si="534"/>
        <v>1.0118618238159349</v>
      </c>
      <c r="BK354" s="520">
        <f t="shared" si="535"/>
        <v>1.0167384306287106</v>
      </c>
      <c r="BL354" s="520">
        <f t="shared" si="536"/>
        <v>1.0222237475545779</v>
      </c>
      <c r="BM354" s="520">
        <f t="shared" si="537"/>
        <v>1.0258960183146164</v>
      </c>
      <c r="BN354" s="521" t="str">
        <f t="shared" si="538"/>
        <v>Project</v>
      </c>
      <c r="BP354" s="3"/>
    </row>
    <row r="355" spans="1:68" hidden="1" outlineLevel="1" x14ac:dyDescent="0.15">
      <c r="A355" s="511" t="s">
        <v>2751</v>
      </c>
      <c r="B355" s="512" t="s">
        <v>568</v>
      </c>
      <c r="C355" s="512" t="s">
        <v>27</v>
      </c>
      <c r="D355" s="512" t="s">
        <v>41</v>
      </c>
      <c r="E355" s="512" t="s">
        <v>112</v>
      </c>
      <c r="F355" s="510"/>
      <c r="G355" s="510"/>
      <c r="H355" s="510"/>
      <c r="I355" s="510"/>
      <c r="J355" s="510"/>
      <c r="K355" s="510"/>
      <c r="L355" s="510"/>
      <c r="M355" s="529"/>
      <c r="N355" s="672"/>
      <c r="O355" s="510"/>
      <c r="P355" s="516"/>
      <c r="Q355" s="516" t="str">
        <f>IF(ISTEXT('Incurred 2.5% cpi'!Q355),"",'Incurred 2.5% cpi'!Q355/'Incurred 2.5% cpi'!Q$17*Incurred!Q$17)</f>
        <v/>
      </c>
      <c r="R355" s="514" t="str">
        <f>IF(ISTEXT('Incurred 2.5% cpi'!R355),"",'Incurred 2.5% cpi'!R355/'Incurred 2.5% cpi'!R$17*Incurred!R$17*BG355)</f>
        <v/>
      </c>
      <c r="S355" s="515" t="str">
        <f>IF(ISTEXT('Incurred 2.5% cpi'!S355),"",'Incurred 2.5% cpi'!S355/'Incurred 2.5% cpi'!S$17*Incurred!S$17*BH355)</f>
        <v/>
      </c>
      <c r="T355" s="513">
        <f>IF(ISTEXT('Incurred 2.5% cpi'!T355),"",'Incurred 2.5% cpi'!T355/'Incurred 2.5% cpi'!T$17*Incurred!T$17*BI355)</f>
        <v>7819432.6562504871</v>
      </c>
      <c r="U355" s="513">
        <f>IF(ISTEXT('Incurred 2.5% cpi'!U355),"",'Incurred 2.5% cpi'!U355/'Incurred 2.5% cpi'!U$17*Incurred!U$17*BJ355)</f>
        <v>5303610.3439045791</v>
      </c>
      <c r="V355" s="513" t="str">
        <f>IF(ISTEXT('Incurred 2.5% cpi'!V355),"",'Incurred 2.5% cpi'!V355/'Incurred 2.5% cpi'!V$17*Incurred!V$17*BK355)</f>
        <v/>
      </c>
      <c r="W355" s="514" t="str">
        <f>IF(ISTEXT('Incurred 2.5% cpi'!W355),"",'Incurred 2.5% cpi'!W355/'Incurred 2.5% cpi'!W$17*Incurred!W$17*BL355)</f>
        <v/>
      </c>
      <c r="X355" s="515" t="str">
        <f>IF(ISTEXT('Incurred 2.5% cpi'!X355),"",'Incurred 2.5% cpi'!X355/'Incurred 2.5% cpi'!X$17*Incurred!X$17*BM355)</f>
        <v/>
      </c>
      <c r="Y355" s="80">
        <f t="shared" si="510"/>
        <v>13123043.000155065</v>
      </c>
      <c r="Z355" s="80">
        <f t="shared" ref="Z355:Z367" si="548">-SUMIFS(F355:W355,F355:W355,"&lt;0")+SUMIFS(F355:W355,F355:W355,"&gt;0")</f>
        <v>13123043.000155065</v>
      </c>
      <c r="AA355" s="566">
        <f t="shared" si="540"/>
        <v>13992779.337899745</v>
      </c>
      <c r="AB355" s="566">
        <f t="shared" si="541"/>
        <v>13318528.816561328</v>
      </c>
      <c r="AC355" s="567">
        <f t="shared" si="542"/>
        <v>1.0506249999999999</v>
      </c>
      <c r="AD355" s="568" t="str">
        <f t="shared" si="479"/>
        <v>2021</v>
      </c>
      <c r="AE355" s="569">
        <v>44978</v>
      </c>
      <c r="AF355" s="568">
        <v>2021</v>
      </c>
      <c r="AG355" s="569"/>
      <c r="AH355" s="566">
        <f t="shared" si="543"/>
        <v>12367578.013376549</v>
      </c>
      <c r="AI355" s="80">
        <f t="shared" si="480"/>
        <v>5303610.3439045791</v>
      </c>
      <c r="AJ355" s="571" t="s">
        <v>3035</v>
      </c>
      <c r="AK355" s="875">
        <f t="shared" si="544"/>
        <v>0</v>
      </c>
      <c r="AL355" s="28">
        <f t="shared" si="545"/>
        <v>0</v>
      </c>
      <c r="AM355" s="28">
        <f t="shared" si="545"/>
        <v>0</v>
      </c>
      <c r="AN355" s="28">
        <f t="shared" si="545"/>
        <v>0</v>
      </c>
      <c r="AO355" s="28">
        <f t="shared" si="545"/>
        <v>0</v>
      </c>
      <c r="AP355" s="28">
        <f t="shared" si="545"/>
        <v>0</v>
      </c>
      <c r="AQ355" s="28">
        <f t="shared" si="545"/>
        <v>0</v>
      </c>
      <c r="AR355" s="28">
        <f t="shared" si="545"/>
        <v>0</v>
      </c>
      <c r="AS355" s="28">
        <f t="shared" si="545"/>
        <v>0</v>
      </c>
      <c r="AT355" s="28">
        <f t="shared" si="545"/>
        <v>0</v>
      </c>
      <c r="AU355" s="28">
        <f t="shared" si="545"/>
        <v>0</v>
      </c>
      <c r="AV355" s="28">
        <f t="shared" si="546"/>
        <v>0</v>
      </c>
      <c r="AW355" s="28">
        <f t="shared" si="546"/>
        <v>0</v>
      </c>
      <c r="AX355" s="28">
        <f t="shared" si="546"/>
        <v>0</v>
      </c>
      <c r="AY355" s="28">
        <f t="shared" si="546"/>
        <v>0</v>
      </c>
      <c r="AZ355" s="28">
        <f t="shared" si="546"/>
        <v>0</v>
      </c>
      <c r="BA355" s="28">
        <f t="shared" si="546"/>
        <v>0</v>
      </c>
      <c r="BB355" s="28">
        <f t="shared" si="546"/>
        <v>0</v>
      </c>
      <c r="BC355" s="28">
        <f t="shared" si="546"/>
        <v>0</v>
      </c>
      <c r="BD355" s="28">
        <f t="shared" si="546"/>
        <v>0</v>
      </c>
      <c r="BE355" s="28">
        <f t="shared" si="546"/>
        <v>1</v>
      </c>
      <c r="BF355" s="27">
        <f t="shared" si="547"/>
        <v>1</v>
      </c>
      <c r="BG355" s="520">
        <f t="shared" si="531"/>
        <v>1.0029392094402594</v>
      </c>
      <c r="BH355" s="520">
        <f t="shared" si="532"/>
        <v>1.0056167285526079</v>
      </c>
      <c r="BI355" s="520">
        <f t="shared" si="533"/>
        <v>1.0085145270854086</v>
      </c>
      <c r="BJ355" s="520">
        <f t="shared" si="534"/>
        <v>1.0118618238159349</v>
      </c>
      <c r="BK355" s="520">
        <f t="shared" si="535"/>
        <v>1.0167384306287106</v>
      </c>
      <c r="BL355" s="520">
        <f t="shared" si="536"/>
        <v>1.0222237475545779</v>
      </c>
      <c r="BM355" s="520">
        <f t="shared" si="537"/>
        <v>1.0258960183146164</v>
      </c>
      <c r="BN355" s="521" t="str">
        <f t="shared" si="538"/>
        <v>Project</v>
      </c>
      <c r="BP355" s="3"/>
    </row>
    <row r="356" spans="1:68" hidden="1" outlineLevel="1" x14ac:dyDescent="0.15">
      <c r="A356" s="511" t="s">
        <v>2752</v>
      </c>
      <c r="B356" s="512" t="s">
        <v>568</v>
      </c>
      <c r="C356" s="512" t="s">
        <v>27</v>
      </c>
      <c r="D356" s="512" t="s">
        <v>41</v>
      </c>
      <c r="E356" s="512" t="s">
        <v>112</v>
      </c>
      <c r="F356" s="510"/>
      <c r="G356" s="510"/>
      <c r="H356" s="510"/>
      <c r="I356" s="510"/>
      <c r="J356" s="510"/>
      <c r="K356" s="510"/>
      <c r="L356" s="510"/>
      <c r="M356" s="529"/>
      <c r="N356" s="672"/>
      <c r="O356" s="510"/>
      <c r="P356" s="516"/>
      <c r="Q356" s="516" t="str">
        <f>IF(ISTEXT('Incurred 2.5% cpi'!Q356),"",'Incurred 2.5% cpi'!Q356/'Incurred 2.5% cpi'!Q$17*Incurred!Q$17)</f>
        <v/>
      </c>
      <c r="R356" s="514" t="str">
        <f>IF(ISTEXT('Incurred 2.5% cpi'!R356),"",'Incurred 2.5% cpi'!R356/'Incurred 2.5% cpi'!R$17*Incurred!R$17*BG356)</f>
        <v/>
      </c>
      <c r="S356" s="515" t="str">
        <f>IF(ISTEXT('Incurred 2.5% cpi'!S356),"",'Incurred 2.5% cpi'!S356/'Incurred 2.5% cpi'!S$17*Incurred!S$17*BH356)</f>
        <v/>
      </c>
      <c r="T356" s="513" t="str">
        <f>IF(ISTEXT('Incurred 2.5% cpi'!T356),"",'Incurred 2.5% cpi'!T356/'Incurred 2.5% cpi'!T$17*Incurred!T$17*BI356)</f>
        <v/>
      </c>
      <c r="U356" s="513">
        <f>IF(ISTEXT('Incurred 2.5% cpi'!U356),"",'Incurred 2.5% cpi'!U356/'Incurred 2.5% cpi'!U$17*Incurred!U$17*BJ356)</f>
        <v>9449139.0901709497</v>
      </c>
      <c r="V356" s="513">
        <f>IF(ISTEXT('Incurred 2.5% cpi'!V356),"",'Incurred 2.5% cpi'!V356/'Incurred 2.5% cpi'!V$17*Incurred!V$17*BK356)</f>
        <v>9704541.8249577004</v>
      </c>
      <c r="W356" s="514" t="str">
        <f>IF(ISTEXT('Incurred 2.5% cpi'!W356),"",'Incurred 2.5% cpi'!W356/'Incurred 2.5% cpi'!W$17*Incurred!W$17*BL356)</f>
        <v/>
      </c>
      <c r="X356" s="515" t="str">
        <f>IF(ISTEXT('Incurred 2.5% cpi'!X356),"",'Incurred 2.5% cpi'!X356/'Incurred 2.5% cpi'!X$17*Incurred!X$17*BM356)</f>
        <v/>
      </c>
      <c r="Y356" s="80">
        <f t="shared" si="510"/>
        <v>19153680.915128648</v>
      </c>
      <c r="Z356" s="80">
        <f t="shared" si="548"/>
        <v>19153680.915128648</v>
      </c>
      <c r="AA356" s="566">
        <f t="shared" si="540"/>
        <v>19874657.127192497</v>
      </c>
      <c r="AB356" s="566">
        <f t="shared" si="541"/>
        <v>19389909.392382927</v>
      </c>
      <c r="AC356" s="567">
        <f t="shared" si="542"/>
        <v>1.0249999999999999</v>
      </c>
      <c r="AD356" s="568" t="str">
        <f t="shared" si="479"/>
        <v>2022</v>
      </c>
      <c r="AE356" s="569">
        <v>44978</v>
      </c>
      <c r="AF356" s="568">
        <v>2022</v>
      </c>
      <c r="AG356" s="569"/>
      <c r="AH356" s="566">
        <f t="shared" si="543"/>
        <v>17566300.916638136</v>
      </c>
      <c r="AI356" s="80">
        <f t="shared" ref="AI356:AI359" si="549">IF(ROUND(Z356,0)=0,0,LOOKUP(2,1/(F356:W356&lt;&gt;""),F356:W356))</f>
        <v>9704541.8249577004</v>
      </c>
      <c r="AJ356" s="571" t="s">
        <v>3035</v>
      </c>
      <c r="AK356" s="875">
        <f t="shared" si="544"/>
        <v>0</v>
      </c>
      <c r="AL356" s="28">
        <f t="shared" si="545"/>
        <v>0</v>
      </c>
      <c r="AM356" s="28">
        <f t="shared" si="545"/>
        <v>0</v>
      </c>
      <c r="AN356" s="28">
        <f t="shared" si="545"/>
        <v>0</v>
      </c>
      <c r="AO356" s="28">
        <f t="shared" si="545"/>
        <v>0</v>
      </c>
      <c r="AP356" s="28">
        <f t="shared" si="545"/>
        <v>0</v>
      </c>
      <c r="AQ356" s="28">
        <f t="shared" si="545"/>
        <v>0</v>
      </c>
      <c r="AR356" s="28">
        <f t="shared" si="545"/>
        <v>0</v>
      </c>
      <c r="AS356" s="28">
        <f t="shared" si="545"/>
        <v>0</v>
      </c>
      <c r="AT356" s="28">
        <f t="shared" si="545"/>
        <v>0</v>
      </c>
      <c r="AU356" s="28">
        <f t="shared" si="545"/>
        <v>0</v>
      </c>
      <c r="AV356" s="28">
        <f t="shared" si="546"/>
        <v>0</v>
      </c>
      <c r="AW356" s="28">
        <f t="shared" si="546"/>
        <v>0</v>
      </c>
      <c r="AX356" s="28">
        <f t="shared" si="546"/>
        <v>0</v>
      </c>
      <c r="AY356" s="28">
        <f t="shared" si="546"/>
        <v>0</v>
      </c>
      <c r="AZ356" s="28">
        <f t="shared" si="546"/>
        <v>0</v>
      </c>
      <c r="BA356" s="28">
        <f t="shared" si="546"/>
        <v>0</v>
      </c>
      <c r="BB356" s="28">
        <f t="shared" si="546"/>
        <v>0</v>
      </c>
      <c r="BC356" s="28">
        <f t="shared" si="546"/>
        <v>0</v>
      </c>
      <c r="BD356" s="28">
        <f t="shared" si="546"/>
        <v>0</v>
      </c>
      <c r="BE356" s="28">
        <f t="shared" si="546"/>
        <v>1</v>
      </c>
      <c r="BF356" s="27">
        <f t="shared" si="547"/>
        <v>1</v>
      </c>
      <c r="BG356" s="520">
        <f t="shared" si="531"/>
        <v>1.0029392094402594</v>
      </c>
      <c r="BH356" s="520">
        <f t="shared" si="532"/>
        <v>1.0056167285526079</v>
      </c>
      <c r="BI356" s="520">
        <f t="shared" si="533"/>
        <v>1.0085145270854086</v>
      </c>
      <c r="BJ356" s="520">
        <f t="shared" si="534"/>
        <v>1.0118618238159349</v>
      </c>
      <c r="BK356" s="520">
        <f t="shared" si="535"/>
        <v>1.0167384306287106</v>
      </c>
      <c r="BL356" s="520">
        <f t="shared" si="536"/>
        <v>1.0222237475545779</v>
      </c>
      <c r="BM356" s="520">
        <f t="shared" si="537"/>
        <v>1.0258960183146164</v>
      </c>
      <c r="BN356" s="521" t="str">
        <f t="shared" si="538"/>
        <v>Project</v>
      </c>
      <c r="BP356" s="3"/>
    </row>
    <row r="357" spans="1:68" hidden="1" outlineLevel="1" x14ac:dyDescent="0.15">
      <c r="A357" s="511" t="s">
        <v>2753</v>
      </c>
      <c r="B357" s="512" t="s">
        <v>570</v>
      </c>
      <c r="C357" s="512" t="s">
        <v>27</v>
      </c>
      <c r="D357" s="512" t="s">
        <v>41</v>
      </c>
      <c r="E357" s="512" t="s">
        <v>112</v>
      </c>
      <c r="F357" s="510"/>
      <c r="G357" s="510"/>
      <c r="H357" s="510"/>
      <c r="I357" s="510"/>
      <c r="J357" s="510"/>
      <c r="K357" s="510"/>
      <c r="L357" s="510"/>
      <c r="M357" s="529"/>
      <c r="N357" s="672"/>
      <c r="O357" s="510"/>
      <c r="P357" s="516"/>
      <c r="Q357" s="516" t="str">
        <f>IF(ISTEXT('Incurred 2.5% cpi'!Q357),"",'Incurred 2.5% cpi'!Q357/'Incurred 2.5% cpi'!Q$17*Incurred!Q$17)</f>
        <v/>
      </c>
      <c r="R357" s="514" t="str">
        <f>IF(ISTEXT('Incurred 2.5% cpi'!R357),"",'Incurred 2.5% cpi'!R357/'Incurred 2.5% cpi'!R$17*Incurred!R$17*BG357)</f>
        <v/>
      </c>
      <c r="S357" s="515" t="str">
        <f>IF(ISTEXT('Incurred 2.5% cpi'!S357),"",'Incurred 2.5% cpi'!S357/'Incurred 2.5% cpi'!S$17*Incurred!S$17*BH357)</f>
        <v/>
      </c>
      <c r="T357" s="513" t="str">
        <f>IF(ISTEXT('Incurred 2.5% cpi'!T357),"",'Incurred 2.5% cpi'!T357/'Incurred 2.5% cpi'!T$17*Incurred!T$17*BI357)</f>
        <v/>
      </c>
      <c r="U357" s="513">
        <f>IF(ISTEXT('Incurred 2.5% cpi'!U357),"",'Incurred 2.5% cpi'!U357/'Incurred 2.5% cpi'!U$17*Incurred!U$17*BJ357)</f>
        <v>453472.55402505829</v>
      </c>
      <c r="V357" s="513">
        <f>IF(ISTEXT('Incurred 2.5% cpi'!V357),"",'Incurred 2.5% cpi'!V357/'Incurred 2.5% cpi'!V$17*Incurred!V$17*BK357)</f>
        <v>5913770.0353570646</v>
      </c>
      <c r="W357" s="514" t="str">
        <f>IF(ISTEXT('Incurred 2.5% cpi'!W357),"",'Incurred 2.5% cpi'!W357/'Incurred 2.5% cpi'!W$17*Incurred!W$17*BL357)</f>
        <v/>
      </c>
      <c r="X357" s="515" t="str">
        <f>IF(ISTEXT('Incurred 2.5% cpi'!X357),"",'Incurred 2.5% cpi'!X357/'Incurred 2.5% cpi'!X$17*Incurred!X$17*BM357)</f>
        <v/>
      </c>
      <c r="Y357" s="80">
        <f t="shared" si="510"/>
        <v>6367242.5893821232</v>
      </c>
      <c r="Z357" s="80">
        <f t="shared" si="548"/>
        <v>6367242.5893821232</v>
      </c>
      <c r="AA357" s="566">
        <f t="shared" si="540"/>
        <v>6538043.8883135673</v>
      </c>
      <c r="AB357" s="566">
        <f t="shared" si="541"/>
        <v>6378579.4032327496</v>
      </c>
      <c r="AC357" s="567">
        <f t="shared" si="542"/>
        <v>1.0249999999999999</v>
      </c>
      <c r="AD357" s="568" t="str">
        <f t="shared" ref="AD357:AD359" si="550">IF(AI357=0,"",INDEX($F$24:$W$24,1,MATCH(AI357,F357:W357,0)))</f>
        <v>2022</v>
      </c>
      <c r="AE357" s="569">
        <v>44908</v>
      </c>
      <c r="AF357" s="568">
        <v>2022</v>
      </c>
      <c r="AG357" s="569"/>
      <c r="AH357" s="566">
        <f t="shared" si="543"/>
        <v>5778678.1232651463</v>
      </c>
      <c r="AI357" s="80">
        <f t="shared" si="549"/>
        <v>5913770.0353570646</v>
      </c>
      <c r="AJ357" s="571" t="s">
        <v>3035</v>
      </c>
      <c r="AK357" s="875">
        <f t="shared" si="544"/>
        <v>0</v>
      </c>
      <c r="AL357" s="28">
        <f t="shared" si="545"/>
        <v>0</v>
      </c>
      <c r="AM357" s="28">
        <f t="shared" si="545"/>
        <v>0</v>
      </c>
      <c r="AN357" s="28">
        <f t="shared" si="545"/>
        <v>0</v>
      </c>
      <c r="AO357" s="28">
        <f t="shared" si="545"/>
        <v>0</v>
      </c>
      <c r="AP357" s="28">
        <f t="shared" si="545"/>
        <v>0</v>
      </c>
      <c r="AQ357" s="28">
        <f t="shared" si="545"/>
        <v>0</v>
      </c>
      <c r="AR357" s="28">
        <f t="shared" si="545"/>
        <v>0</v>
      </c>
      <c r="AS357" s="28">
        <f t="shared" si="545"/>
        <v>0</v>
      </c>
      <c r="AT357" s="28">
        <f t="shared" si="545"/>
        <v>0</v>
      </c>
      <c r="AU357" s="28">
        <f t="shared" si="545"/>
        <v>0</v>
      </c>
      <c r="AV357" s="28">
        <f t="shared" si="546"/>
        <v>0</v>
      </c>
      <c r="AW357" s="28">
        <f t="shared" si="546"/>
        <v>0</v>
      </c>
      <c r="AX357" s="28">
        <f t="shared" si="546"/>
        <v>0</v>
      </c>
      <c r="AY357" s="28">
        <f t="shared" si="546"/>
        <v>0</v>
      </c>
      <c r="AZ357" s="28">
        <f t="shared" si="546"/>
        <v>0</v>
      </c>
      <c r="BA357" s="28">
        <f t="shared" si="546"/>
        <v>0</v>
      </c>
      <c r="BB357" s="28">
        <f t="shared" si="546"/>
        <v>0</v>
      </c>
      <c r="BC357" s="28">
        <f t="shared" si="546"/>
        <v>0</v>
      </c>
      <c r="BD357" s="28">
        <f t="shared" si="546"/>
        <v>0</v>
      </c>
      <c r="BE357" s="28">
        <f t="shared" si="546"/>
        <v>1</v>
      </c>
      <c r="BF357" s="27">
        <f t="shared" si="547"/>
        <v>1</v>
      </c>
      <c r="BG357" s="520">
        <f t="shared" si="531"/>
        <v>1.0043960733921258</v>
      </c>
      <c r="BH357" s="520">
        <f t="shared" si="532"/>
        <v>1.0084007456572179</v>
      </c>
      <c r="BI357" s="520">
        <f t="shared" si="533"/>
        <v>1.0127348821945115</v>
      </c>
      <c r="BJ357" s="520">
        <f t="shared" si="534"/>
        <v>1.0177413175614709</v>
      </c>
      <c r="BK357" s="520">
        <f t="shared" si="535"/>
        <v>1.0250350888592423</v>
      </c>
      <c r="BL357" s="520">
        <f t="shared" si="536"/>
        <v>1.0332392867142461</v>
      </c>
      <c r="BM357" s="520">
        <f t="shared" si="537"/>
        <v>1.0387317744409668</v>
      </c>
      <c r="BN357" s="521" t="str">
        <f t="shared" si="538"/>
        <v>Project</v>
      </c>
      <c r="BP357" s="3"/>
    </row>
    <row r="358" spans="1:68" hidden="1" outlineLevel="1" x14ac:dyDescent="0.15">
      <c r="A358" s="511" t="s">
        <v>2754</v>
      </c>
      <c r="B358" s="512" t="s">
        <v>568</v>
      </c>
      <c r="C358" s="512" t="s">
        <v>27</v>
      </c>
      <c r="D358" s="512" t="s">
        <v>41</v>
      </c>
      <c r="E358" s="512" t="s">
        <v>112</v>
      </c>
      <c r="F358" s="510"/>
      <c r="G358" s="510"/>
      <c r="H358" s="510"/>
      <c r="I358" s="510"/>
      <c r="J358" s="510"/>
      <c r="K358" s="510"/>
      <c r="L358" s="510"/>
      <c r="M358" s="529"/>
      <c r="N358" s="672"/>
      <c r="O358" s="510"/>
      <c r="P358" s="516"/>
      <c r="Q358" s="516" t="str">
        <f>IF(ISTEXT('Incurred 2.5% cpi'!Q358),"",'Incurred 2.5% cpi'!Q358/'Incurred 2.5% cpi'!Q$17*Incurred!Q$17)</f>
        <v/>
      </c>
      <c r="R358" s="514" t="str">
        <f>IF(ISTEXT('Incurred 2.5% cpi'!R358),"",'Incurred 2.5% cpi'!R358/'Incurred 2.5% cpi'!R$17*Incurred!R$17*BG358)</f>
        <v/>
      </c>
      <c r="S358" s="515" t="str">
        <f>IF(ISTEXT('Incurred 2.5% cpi'!S358),"",'Incurred 2.5% cpi'!S358/'Incurred 2.5% cpi'!S$17*Incurred!S$17*BH358)</f>
        <v/>
      </c>
      <c r="T358" s="513" t="str">
        <f>IF(ISTEXT('Incurred 2.5% cpi'!T358),"",'Incurred 2.5% cpi'!T358/'Incurred 2.5% cpi'!T$17*Incurred!T$17*BI358)</f>
        <v/>
      </c>
      <c r="U358" s="513" t="str">
        <f>IF(ISTEXT('Incurred 2.5% cpi'!U358),"",'Incurred 2.5% cpi'!U358/'Incurred 2.5% cpi'!U$17*Incurred!U$17*BJ358)</f>
        <v/>
      </c>
      <c r="V358" s="513">
        <f>IF(ISTEXT('Incurred 2.5% cpi'!V358),"",'Incurred 2.5% cpi'!V358/'Incurred 2.5% cpi'!V$17*Incurred!V$17*BK358)</f>
        <v>5506629.1253415057</v>
      </c>
      <c r="W358" s="514">
        <f>IF(ISTEXT('Incurred 2.5% cpi'!W358),"",'Incurred 2.5% cpi'!W358/'Incurred 2.5% cpi'!W$17*Incurred!W$17*BL358)</f>
        <v>12521121.08187261</v>
      </c>
      <c r="X358" s="515" t="str">
        <f>IF(ISTEXT('Incurred 2.5% cpi'!X358),"",'Incurred 2.5% cpi'!X358/'Incurred 2.5% cpi'!X$17*Incurred!X$17*BM358)</f>
        <v/>
      </c>
      <c r="Y358" s="80">
        <f t="shared" si="510"/>
        <v>18027750.207214117</v>
      </c>
      <c r="Z358" s="80">
        <f t="shared" si="548"/>
        <v>18027750.207214117</v>
      </c>
      <c r="AA358" s="566">
        <f t="shared" si="540"/>
        <v>18165415.935347654</v>
      </c>
      <c r="AB358" s="566">
        <f t="shared" si="541"/>
        <v>18165415.935347654</v>
      </c>
      <c r="AC358" s="567">
        <f t="shared" si="542"/>
        <v>1</v>
      </c>
      <c r="AD358" s="568" t="str">
        <f t="shared" si="550"/>
        <v>2023</v>
      </c>
      <c r="AE358" s="569">
        <v>44978</v>
      </c>
      <c r="AF358" s="568">
        <v>2023</v>
      </c>
      <c r="AG358" s="569"/>
      <c r="AH358" s="566">
        <f t="shared" si="543"/>
        <v>16055580.76066727</v>
      </c>
      <c r="AI358" s="80">
        <f t="shared" si="549"/>
        <v>12521121.08187261</v>
      </c>
      <c r="AJ358" s="571" t="s">
        <v>3035</v>
      </c>
      <c r="AK358" s="875">
        <f t="shared" si="544"/>
        <v>0</v>
      </c>
      <c r="AL358" s="28">
        <f t="shared" si="545"/>
        <v>0</v>
      </c>
      <c r="AM358" s="28">
        <f t="shared" si="545"/>
        <v>0</v>
      </c>
      <c r="AN358" s="28">
        <f t="shared" si="545"/>
        <v>0</v>
      </c>
      <c r="AO358" s="28">
        <f t="shared" si="545"/>
        <v>0</v>
      </c>
      <c r="AP358" s="28">
        <f t="shared" si="545"/>
        <v>0</v>
      </c>
      <c r="AQ358" s="28">
        <f t="shared" si="545"/>
        <v>0</v>
      </c>
      <c r="AR358" s="28">
        <f t="shared" si="545"/>
        <v>0</v>
      </c>
      <c r="AS358" s="28">
        <f t="shared" si="545"/>
        <v>0</v>
      </c>
      <c r="AT358" s="28">
        <f t="shared" si="545"/>
        <v>0</v>
      </c>
      <c r="AU358" s="28">
        <f t="shared" si="545"/>
        <v>0</v>
      </c>
      <c r="AV358" s="28">
        <f t="shared" si="546"/>
        <v>0</v>
      </c>
      <c r="AW358" s="28">
        <f t="shared" si="546"/>
        <v>0</v>
      </c>
      <c r="AX358" s="28">
        <f t="shared" si="546"/>
        <v>0</v>
      </c>
      <c r="AY358" s="28">
        <f t="shared" si="546"/>
        <v>0</v>
      </c>
      <c r="AZ358" s="28">
        <f t="shared" si="546"/>
        <v>0</v>
      </c>
      <c r="BA358" s="28">
        <f t="shared" si="546"/>
        <v>0</v>
      </c>
      <c r="BB358" s="28">
        <f t="shared" si="546"/>
        <v>0</v>
      </c>
      <c r="BC358" s="28">
        <f t="shared" si="546"/>
        <v>0</v>
      </c>
      <c r="BD358" s="28">
        <f t="shared" si="546"/>
        <v>0</v>
      </c>
      <c r="BE358" s="28">
        <f t="shared" si="546"/>
        <v>1</v>
      </c>
      <c r="BF358" s="27">
        <f t="shared" si="547"/>
        <v>1</v>
      </c>
      <c r="BG358" s="520">
        <f t="shared" si="531"/>
        <v>1.0029392094402594</v>
      </c>
      <c r="BH358" s="520">
        <f t="shared" si="532"/>
        <v>1.0056167285526079</v>
      </c>
      <c r="BI358" s="520">
        <f t="shared" si="533"/>
        <v>1.0085145270854086</v>
      </c>
      <c r="BJ358" s="520">
        <f t="shared" si="534"/>
        <v>1.0118618238159349</v>
      </c>
      <c r="BK358" s="520">
        <f t="shared" si="535"/>
        <v>1.0167384306287106</v>
      </c>
      <c r="BL358" s="520">
        <f t="shared" si="536"/>
        <v>1.0222237475545779</v>
      </c>
      <c r="BM358" s="520">
        <f t="shared" si="537"/>
        <v>1.0258960183146164</v>
      </c>
      <c r="BN358" s="521" t="str">
        <f t="shared" si="538"/>
        <v>Project</v>
      </c>
      <c r="BP358" s="3"/>
    </row>
    <row r="359" spans="1:68" hidden="1" outlineLevel="1" x14ac:dyDescent="0.15">
      <c r="A359" s="511" t="s">
        <v>2755</v>
      </c>
      <c r="B359" s="512" t="s">
        <v>570</v>
      </c>
      <c r="C359" s="512" t="s">
        <v>27</v>
      </c>
      <c r="D359" s="512" t="s">
        <v>41</v>
      </c>
      <c r="E359" s="512" t="s">
        <v>112</v>
      </c>
      <c r="F359" s="510"/>
      <c r="G359" s="510"/>
      <c r="H359" s="510"/>
      <c r="I359" s="510"/>
      <c r="J359" s="510"/>
      <c r="K359" s="510"/>
      <c r="L359" s="510"/>
      <c r="M359" s="529"/>
      <c r="N359" s="672"/>
      <c r="O359" s="510"/>
      <c r="P359" s="516"/>
      <c r="Q359" s="516" t="str">
        <f>IF(ISTEXT('Incurred 2.5% cpi'!Q359),"",'Incurred 2.5% cpi'!Q359/'Incurred 2.5% cpi'!Q$17*Incurred!Q$17)</f>
        <v/>
      </c>
      <c r="R359" s="514" t="str">
        <f>IF(ISTEXT('Incurred 2.5% cpi'!R359),"",'Incurred 2.5% cpi'!R359/'Incurred 2.5% cpi'!R$17*Incurred!R$17*BG359)</f>
        <v/>
      </c>
      <c r="S359" s="515" t="str">
        <f>IF(ISTEXT('Incurred 2.5% cpi'!S359),"",'Incurred 2.5% cpi'!S359/'Incurred 2.5% cpi'!S$17*Incurred!S$17*BH359)</f>
        <v/>
      </c>
      <c r="T359" s="513" t="str">
        <f>IF(ISTEXT('Incurred 2.5% cpi'!T359),"",'Incurred 2.5% cpi'!T359/'Incurred 2.5% cpi'!T$17*Incurred!T$17*BI359)</f>
        <v/>
      </c>
      <c r="U359" s="513" t="str">
        <f>IF(ISTEXT('Incurred 2.5% cpi'!U359),"",'Incurred 2.5% cpi'!U359/'Incurred 2.5% cpi'!U$17*Incurred!U$17*BJ359)</f>
        <v/>
      </c>
      <c r="V359" s="513">
        <f>IF(ISTEXT('Incurred 2.5% cpi'!V359),"",'Incurred 2.5% cpi'!V359/'Incurred 2.5% cpi'!V$17*Incurred!V$17*BK359)</f>
        <v>16399.310878943648</v>
      </c>
      <c r="W359" s="514">
        <f>IF(ISTEXT('Incurred 2.5% cpi'!W359),"",'Incurred 2.5% cpi'!W359/'Incurred 2.5% cpi'!W$17*Incurred!W$17*BL359)</f>
        <v>3712071.1530471547</v>
      </c>
      <c r="X359" s="515" t="str">
        <f>IF(ISTEXT('Incurred 2.5% cpi'!X359),"",'Incurred 2.5% cpi'!X359/'Incurred 2.5% cpi'!X$17*Incurred!X$17*BM359)</f>
        <v/>
      </c>
      <c r="Y359" s="80">
        <f t="shared" si="510"/>
        <v>3728470.4639260983</v>
      </c>
      <c r="Z359" s="80">
        <f t="shared" si="548"/>
        <v>3728470.4639260983</v>
      </c>
      <c r="AA359" s="566">
        <f t="shared" si="540"/>
        <v>3728880.4466980719</v>
      </c>
      <c r="AB359" s="566">
        <f t="shared" si="541"/>
        <v>3728880.4466980719</v>
      </c>
      <c r="AC359" s="567">
        <f t="shared" si="542"/>
        <v>1</v>
      </c>
      <c r="AD359" s="568" t="str">
        <f t="shared" si="550"/>
        <v>2023</v>
      </c>
      <c r="AE359" s="569">
        <v>44908</v>
      </c>
      <c r="AF359" s="568">
        <v>2023</v>
      </c>
      <c r="AG359" s="569"/>
      <c r="AH359" s="566">
        <f t="shared" si="543"/>
        <v>3295786.9707973823</v>
      </c>
      <c r="AI359" s="80">
        <f t="shared" si="549"/>
        <v>3712071.1530471547</v>
      </c>
      <c r="AJ359" s="571" t="s">
        <v>3035</v>
      </c>
      <c r="AK359" s="875">
        <f t="shared" si="544"/>
        <v>0</v>
      </c>
      <c r="AL359" s="28">
        <f t="shared" si="545"/>
        <v>0</v>
      </c>
      <c r="AM359" s="28">
        <f t="shared" si="545"/>
        <v>0</v>
      </c>
      <c r="AN359" s="28">
        <f t="shared" si="545"/>
        <v>0</v>
      </c>
      <c r="AO359" s="28">
        <f t="shared" si="545"/>
        <v>0</v>
      </c>
      <c r="AP359" s="28">
        <f t="shared" si="545"/>
        <v>0</v>
      </c>
      <c r="AQ359" s="28">
        <f t="shared" si="545"/>
        <v>0</v>
      </c>
      <c r="AR359" s="28">
        <f t="shared" si="545"/>
        <v>0</v>
      </c>
      <c r="AS359" s="28">
        <f t="shared" si="545"/>
        <v>0</v>
      </c>
      <c r="AT359" s="28">
        <f t="shared" si="545"/>
        <v>0</v>
      </c>
      <c r="AU359" s="28">
        <f t="shared" si="545"/>
        <v>0</v>
      </c>
      <c r="AV359" s="28">
        <f t="shared" si="546"/>
        <v>0</v>
      </c>
      <c r="AW359" s="28">
        <f t="shared" si="546"/>
        <v>0</v>
      </c>
      <c r="AX359" s="28">
        <f t="shared" si="546"/>
        <v>0</v>
      </c>
      <c r="AY359" s="28">
        <f t="shared" si="546"/>
        <v>0</v>
      </c>
      <c r="AZ359" s="28">
        <f t="shared" si="546"/>
        <v>0</v>
      </c>
      <c r="BA359" s="28">
        <f t="shared" si="546"/>
        <v>0</v>
      </c>
      <c r="BB359" s="28">
        <f t="shared" si="546"/>
        <v>0</v>
      </c>
      <c r="BC359" s="28">
        <f t="shared" si="546"/>
        <v>0</v>
      </c>
      <c r="BD359" s="28">
        <f t="shared" si="546"/>
        <v>0</v>
      </c>
      <c r="BE359" s="28">
        <f t="shared" si="546"/>
        <v>1</v>
      </c>
      <c r="BF359" s="27">
        <f t="shared" si="547"/>
        <v>1</v>
      </c>
      <c r="BG359" s="520">
        <f t="shared" si="531"/>
        <v>1.0043960733921258</v>
      </c>
      <c r="BH359" s="520">
        <f t="shared" si="532"/>
        <v>1.0084007456572179</v>
      </c>
      <c r="BI359" s="520">
        <f t="shared" si="533"/>
        <v>1.0127348821945115</v>
      </c>
      <c r="BJ359" s="520">
        <f t="shared" si="534"/>
        <v>1.0177413175614709</v>
      </c>
      <c r="BK359" s="520">
        <f t="shared" si="535"/>
        <v>1.0250350888592423</v>
      </c>
      <c r="BL359" s="520">
        <f t="shared" si="536"/>
        <v>1.0332392867142461</v>
      </c>
      <c r="BM359" s="520">
        <f t="shared" si="537"/>
        <v>1.0387317744409668</v>
      </c>
      <c r="BN359" s="521" t="str">
        <f t="shared" si="538"/>
        <v>Project</v>
      </c>
      <c r="BP359" s="3"/>
    </row>
    <row r="360" spans="1:68" hidden="1" outlineLevel="1" x14ac:dyDescent="0.15">
      <c r="A360" s="517" t="s">
        <v>2976</v>
      </c>
      <c r="B360" s="512" t="s">
        <v>325</v>
      </c>
      <c r="C360" s="512" t="s">
        <v>27</v>
      </c>
      <c r="D360" s="512" t="s">
        <v>40</v>
      </c>
      <c r="E360" s="512" t="s">
        <v>29</v>
      </c>
      <c r="F360" s="510"/>
      <c r="G360" s="510"/>
      <c r="H360" s="510"/>
      <c r="I360" s="510"/>
      <c r="J360" s="510"/>
      <c r="K360" s="510"/>
      <c r="L360" s="510"/>
      <c r="M360" s="529"/>
      <c r="N360" s="672"/>
      <c r="O360" s="510"/>
      <c r="P360" s="516"/>
      <c r="Q360" s="516" t="str">
        <f>IF(ISTEXT('Incurred 2.5% cpi'!Q360),"",'Incurred 2.5% cpi'!Q360/'Incurred 2.5% cpi'!Q$17*Incurred!Q$17)</f>
        <v/>
      </c>
      <c r="R360" s="514">
        <f>IF(ISTEXT('Incurred 2.5% cpi'!R360),"",'Incurred 2.5% cpi'!R360/'Incurred 2.5% cpi'!R$17*Incurred!R$17*BG360)</f>
        <v>3432572.8232458602</v>
      </c>
      <c r="S360" s="515">
        <f>IF(ISTEXT('Incurred 2.5% cpi'!S360),"",'Incurred 2.5% cpi'!S360/'Incurred 2.5% cpi'!S$17*Incurred!S$17*BH360)</f>
        <v>70097.460048831141</v>
      </c>
      <c r="T360" s="513" t="str">
        <f>IF(ISTEXT('Incurred 2.5% cpi'!T360),"",'Incurred 2.5% cpi'!T360/'Incurred 2.5% cpi'!T$17*Incurred!T$17*BI360)</f>
        <v/>
      </c>
      <c r="U360" s="513" t="str">
        <f>IF(ISTEXT('Incurred 2.5% cpi'!U360),"",'Incurred 2.5% cpi'!U360/'Incurred 2.5% cpi'!U$17*Incurred!U$17*BJ360)</f>
        <v/>
      </c>
      <c r="V360" s="513" t="str">
        <f>IF(ISTEXT('Incurred 2.5% cpi'!V360),"",'Incurred 2.5% cpi'!V360/'Incurred 2.5% cpi'!V$17*Incurred!V$17*BK360)</f>
        <v/>
      </c>
      <c r="W360" s="514" t="str">
        <f>IF(ISTEXT('Incurred 2.5% cpi'!W360),"",'Incurred 2.5% cpi'!W360/'Incurred 2.5% cpi'!W$17*Incurred!W$17*BL360)</f>
        <v/>
      </c>
      <c r="X360" s="515" t="str">
        <f>IF(ISTEXT('Incurred 2.5% cpi'!X360),"",'Incurred 2.5% cpi'!X360/'Incurred 2.5% cpi'!X$17*Incurred!X$17*BM360)</f>
        <v/>
      </c>
      <c r="Y360" s="80">
        <f t="shared" si="510"/>
        <v>3502670.2832946912</v>
      </c>
      <c r="Z360" s="80">
        <f t="shared" si="548"/>
        <v>3502670.2832946912</v>
      </c>
      <c r="AA360" s="566">
        <f t="shared" ref="AA360" si="551">IF(ROUND(Y360,0)=0,0,SUMPRODUCT($F$20:$W$20,F360:W360))</f>
        <v>3961015.5635674954</v>
      </c>
      <c r="AB360" s="566">
        <f t="shared" ref="AB360" si="552">IF(AC360="","",AA360/AC360)</f>
        <v>3500960.5891471589</v>
      </c>
      <c r="AC360" s="567">
        <f t="shared" ref="AC360" si="553">IF(AF360="","",IF(AF360&lt;AD360,INDEX($F$20:$W$20,1,MATCH(TEXT(AF360,"000"),$F$24:$W$24)),INDEX($F$20:$W$20,1,MATCH(AD360,$F$24:$W$24))))</f>
        <v>1.1314082128906247</v>
      </c>
      <c r="AD360" s="568" t="str">
        <f t="shared" ref="AD360" si="554">IF(AI360=0,"",INDEX($F$24:$W$24,1,MATCH(AI360,F360:W360,0)))</f>
        <v>2019</v>
      </c>
      <c r="AE360" s="569">
        <v>42863</v>
      </c>
      <c r="AF360" s="568">
        <v>2018</v>
      </c>
      <c r="AG360" s="569"/>
      <c r="AH360" s="566">
        <f t="shared" ref="AH360" si="555">IF(ROUND(Y360,0)=0,0,SUMPRODUCT($F$19:$W$19,F360:W360))</f>
        <v>3500960.5891471589</v>
      </c>
      <c r="AI360" s="80">
        <f t="shared" ref="AI360" si="556">IF(ROUND(Z360,0)=0,0,LOOKUP(2,1/(F360:W360&lt;&gt;""),F360:W360))</f>
        <v>70097.460048831141</v>
      </c>
      <c r="AJ360" s="571" t="s">
        <v>0</v>
      </c>
      <c r="AK360" s="875">
        <f>IF(ISNA(VLOOKUP(LEFT($A360,8),Estimates,72,FALSE)),0,VLOOKUP(LEFT($A360,8),Estimates,72,FALSE))</f>
        <v>8237319.3731999993</v>
      </c>
      <c r="AL360" s="876">
        <f t="shared" ref="AL360:BE360" si="557">VLOOKUP(LEFT($A360,8),Estimates,AL$22,FALSE)</f>
        <v>0</v>
      </c>
      <c r="AM360" s="876">
        <f t="shared" si="557"/>
        <v>0.11751392769222635</v>
      </c>
      <c r="AN360" s="876">
        <f t="shared" si="557"/>
        <v>0.52638483510875078</v>
      </c>
      <c r="AO360" s="876">
        <f t="shared" si="557"/>
        <v>0.3412905937757601</v>
      </c>
      <c r="AP360" s="876">
        <f t="shared" si="557"/>
        <v>0</v>
      </c>
      <c r="AQ360" s="876">
        <f t="shared" si="557"/>
        <v>0</v>
      </c>
      <c r="AR360" s="876">
        <f t="shared" si="557"/>
        <v>0</v>
      </c>
      <c r="AS360" s="876">
        <f t="shared" si="557"/>
        <v>0</v>
      </c>
      <c r="AT360" s="876">
        <f t="shared" si="557"/>
        <v>0</v>
      </c>
      <c r="AU360" s="876">
        <f t="shared" si="557"/>
        <v>0</v>
      </c>
      <c r="AV360" s="876">
        <f t="shared" si="557"/>
        <v>0</v>
      </c>
      <c r="AW360" s="876">
        <f t="shared" si="557"/>
        <v>0</v>
      </c>
      <c r="AX360" s="876">
        <f t="shared" si="557"/>
        <v>0</v>
      </c>
      <c r="AY360" s="876">
        <f t="shared" si="557"/>
        <v>0</v>
      </c>
      <c r="AZ360" s="876">
        <f t="shared" si="557"/>
        <v>1.4810643423262822E-2</v>
      </c>
      <c r="BA360" s="876">
        <f t="shared" si="557"/>
        <v>0</v>
      </c>
      <c r="BB360" s="876">
        <f t="shared" si="557"/>
        <v>0</v>
      </c>
      <c r="BC360" s="876">
        <f t="shared" si="557"/>
        <v>0</v>
      </c>
      <c r="BD360" s="876">
        <f t="shared" si="557"/>
        <v>0</v>
      </c>
      <c r="BE360" s="876">
        <f t="shared" si="557"/>
        <v>0</v>
      </c>
      <c r="BF360" s="27">
        <f t="shared" ref="BF360" si="558">SUM(AL360:BD360)</f>
        <v>1</v>
      </c>
      <c r="BG360" s="520">
        <f t="shared" si="531"/>
        <v>1.0034498951996242</v>
      </c>
      <c r="BH360" s="520">
        <f t="shared" si="532"/>
        <v>1.0065926315443261</v>
      </c>
      <c r="BI360" s="520">
        <f t="shared" si="533"/>
        <v>1.0099939207178206</v>
      </c>
      <c r="BJ360" s="520">
        <f t="shared" si="534"/>
        <v>1.0139228081132494</v>
      </c>
      <c r="BK360" s="520">
        <f t="shared" si="535"/>
        <v>1.0196467222390713</v>
      </c>
      <c r="BL360" s="520">
        <f t="shared" si="536"/>
        <v>1.0260851094706045</v>
      </c>
      <c r="BM360" s="520">
        <f t="shared" si="537"/>
        <v>1.0303954349252136</v>
      </c>
      <c r="BN360" s="521" t="str">
        <f t="shared" si="538"/>
        <v>Category</v>
      </c>
      <c r="BP360" s="3"/>
    </row>
    <row r="361" spans="1:68" hidden="1" outlineLevel="1" x14ac:dyDescent="0.15">
      <c r="A361" s="517" t="s">
        <v>3111</v>
      </c>
      <c r="B361" s="512" t="s">
        <v>2613</v>
      </c>
      <c r="C361" s="512" t="s">
        <v>27</v>
      </c>
      <c r="D361" s="512" t="s">
        <v>54</v>
      </c>
      <c r="E361" s="512" t="s">
        <v>29</v>
      </c>
      <c r="F361" s="510"/>
      <c r="G361" s="510"/>
      <c r="H361" s="510"/>
      <c r="I361" s="510"/>
      <c r="J361" s="510"/>
      <c r="K361" s="510"/>
      <c r="L361" s="510"/>
      <c r="M361" s="529"/>
      <c r="N361" s="672"/>
      <c r="O361" s="510"/>
      <c r="P361" s="516"/>
      <c r="Q361" s="516" t="str">
        <f>IF(ISTEXT('Incurred 2.5% cpi'!Q361),"",'Incurred 2.5% cpi'!Q361/'Incurred 2.5% cpi'!Q$17*Incurred!Q$17)</f>
        <v/>
      </c>
      <c r="R361" s="514">
        <f>IF(ISTEXT('Incurred 2.5% cpi'!R361),"",'Incurred 2.5% cpi'!R361/'Incurred 2.5% cpi'!R$17*Incurred!R$17*BG361)</f>
        <v>645411.94484566431</v>
      </c>
      <c r="S361" s="515">
        <f>IF(ISTEXT('Incurred 2.5% cpi'!S361),"",'Incurred 2.5% cpi'!S361/'Incurred 2.5% cpi'!S$17*Incurred!S$17*BH361)</f>
        <v>565119.64253268426</v>
      </c>
      <c r="T361" s="513">
        <f>IF(ISTEXT('Incurred 2.5% cpi'!T361),"",'Incurred 2.5% cpi'!T361/'Incurred 2.5% cpi'!T$17*Incurred!T$17*BI361)</f>
        <v>1671.7931007206842</v>
      </c>
      <c r="U361" s="513">
        <f>IF(ISTEXT('Incurred 2.5% cpi'!U361),"",'Incurred 2.5% cpi'!U361/'Incurred 2.5% cpi'!U$17*Incurred!U$17*BJ361)</f>
        <v>0</v>
      </c>
      <c r="V361" s="513">
        <f>IF(ISTEXT('Incurred 2.5% cpi'!V361),"",'Incurred 2.5% cpi'!V361/'Incurred 2.5% cpi'!V$17*Incurred!V$17*BK361)</f>
        <v>0</v>
      </c>
      <c r="W361" s="514">
        <f>IF(ISTEXT('Incurred 2.5% cpi'!W361),"",'Incurred 2.5% cpi'!W361/'Incurred 2.5% cpi'!W$17*Incurred!W$17*BL361)</f>
        <v>0</v>
      </c>
      <c r="X361" s="515"/>
      <c r="Y361" s="80">
        <f t="shared" ref="Y361" si="559">SUM(F361:W361)</f>
        <v>1212203.3804790694</v>
      </c>
      <c r="Z361" s="80">
        <f t="shared" ref="Z361" si="560">-SUMIFS(F361:W361,F361:W361,"&lt;0")+SUMIFS(F361:W361,F361:W361,"&gt;0")</f>
        <v>1212203.3804790694</v>
      </c>
      <c r="AA361" s="566">
        <f t="shared" ref="AA361" si="561">IF(ROUND(Y361,0)=0,0,SUMPRODUCT($F$20:$W$20,F361:W361))</f>
        <v>1355811.0595861699</v>
      </c>
      <c r="AB361" s="566">
        <f t="shared" ref="AB361" si="562">IF(AC361="","",AA361/AC361)</f>
        <v>1228297.9036587297</v>
      </c>
      <c r="AC361" s="567">
        <f t="shared" ref="AC361" si="563">IF(AF361="","",IF(AF361&lt;AD361,INDEX($F$20:$W$20,1,MATCH(TEXT(AF361,"000"),$F$24:$W$24)),INDEX($F$20:$W$20,1,MATCH(AD361,$F$24:$W$24))))</f>
        <v>1.1038128906249998</v>
      </c>
      <c r="AD361" s="568" t="str">
        <f t="shared" ref="AD361" si="564">IF(AI361=0,"",INDEX($F$24:$W$24,1,MATCH(AI361,F361:W361,0)))</f>
        <v/>
      </c>
      <c r="AE361" s="569">
        <v>43229</v>
      </c>
      <c r="AF361" s="568">
        <v>2019</v>
      </c>
      <c r="AG361" s="569"/>
      <c r="AH361" s="566">
        <f t="shared" ref="AH361" si="565">IF(ROUND(Y361,0)=0,0,SUMPRODUCT($F$19:$W$19,F361:W361))</f>
        <v>1198339.4182036389</v>
      </c>
      <c r="AI361" s="80">
        <f t="shared" ref="AI361" si="566">IF(ROUND(Z361,0)=0,0,LOOKUP(2,1/(F361:W361&lt;&gt;""),F361:W361))</f>
        <v>0</v>
      </c>
      <c r="AJ361" s="571" t="s">
        <v>0</v>
      </c>
      <c r="AK361" s="875">
        <f>IF(ISNA(VLOOKUP(LEFT($A361,8),Estimates,72,FALSE)),0,VLOOKUP(LEFT($A361,8),Estimates,72,FALSE))</f>
        <v>1860929.1815088</v>
      </c>
      <c r="AL361" s="28">
        <f t="shared" si="545"/>
        <v>0</v>
      </c>
      <c r="AM361" s="28">
        <f t="shared" si="545"/>
        <v>5.373659620884777E-3</v>
      </c>
      <c r="AN361" s="28">
        <f t="shared" si="545"/>
        <v>0</v>
      </c>
      <c r="AO361" s="28">
        <f t="shared" si="545"/>
        <v>0</v>
      </c>
      <c r="AP361" s="28">
        <f t="shared" si="545"/>
        <v>0</v>
      </c>
      <c r="AQ361" s="28">
        <f t="shared" si="545"/>
        <v>0</v>
      </c>
      <c r="AR361" s="28">
        <f t="shared" si="545"/>
        <v>0</v>
      </c>
      <c r="AS361" s="28">
        <f t="shared" si="545"/>
        <v>0</v>
      </c>
      <c r="AT361" s="28">
        <f t="shared" si="545"/>
        <v>0</v>
      </c>
      <c r="AU361" s="28">
        <f t="shared" si="545"/>
        <v>0</v>
      </c>
      <c r="AV361" s="28">
        <f t="shared" si="546"/>
        <v>0</v>
      </c>
      <c r="AW361" s="28">
        <f t="shared" si="546"/>
        <v>0.99462634037911524</v>
      </c>
      <c r="AX361" s="28">
        <f t="shared" si="546"/>
        <v>0</v>
      </c>
      <c r="AY361" s="28">
        <f t="shared" si="546"/>
        <v>0</v>
      </c>
      <c r="AZ361" s="28">
        <f t="shared" si="546"/>
        <v>0</v>
      </c>
      <c r="BA361" s="28">
        <f t="shared" si="546"/>
        <v>0</v>
      </c>
      <c r="BB361" s="28">
        <f t="shared" si="546"/>
        <v>0</v>
      </c>
      <c r="BC361" s="28">
        <f t="shared" si="546"/>
        <v>0</v>
      </c>
      <c r="BD361" s="28">
        <f t="shared" si="546"/>
        <v>0</v>
      </c>
      <c r="BE361" s="28">
        <f t="shared" si="546"/>
        <v>0</v>
      </c>
      <c r="BF361" s="27">
        <f t="shared" ref="BF361" si="567">SUM(AL361:BD361)</f>
        <v>1</v>
      </c>
      <c r="BG361" s="520">
        <f t="shared" si="531"/>
        <v>1.0030818160192299</v>
      </c>
      <c r="BH361" s="520">
        <f t="shared" si="532"/>
        <v>1.0058892448397847</v>
      </c>
      <c r="BI361" s="520">
        <f t="shared" si="533"/>
        <v>1.0089276407487533</v>
      </c>
      <c r="BJ361" s="520">
        <f t="shared" si="534"/>
        <v>1.0124373439172154</v>
      </c>
      <c r="BK361" s="520">
        <f t="shared" si="535"/>
        <v>1.0175505572831101</v>
      </c>
      <c r="BL361" s="520">
        <f t="shared" si="536"/>
        <v>1.023302014576742</v>
      </c>
      <c r="BM361" s="520">
        <f t="shared" si="537"/>
        <v>1.0271524590875074</v>
      </c>
      <c r="BN361" s="521" t="str">
        <f t="shared" si="538"/>
        <v>Category</v>
      </c>
      <c r="BP361" s="3"/>
    </row>
    <row r="362" spans="1:68" hidden="1" outlineLevel="1" x14ac:dyDescent="0.15">
      <c r="A362" s="517" t="s">
        <v>3136</v>
      </c>
      <c r="B362" s="512" t="s">
        <v>3137</v>
      </c>
      <c r="C362" s="512" t="s">
        <v>27</v>
      </c>
      <c r="D362" s="512" t="s">
        <v>40</v>
      </c>
      <c r="E362" s="512"/>
      <c r="F362" s="510"/>
      <c r="G362" s="510"/>
      <c r="H362" s="510"/>
      <c r="I362" s="510"/>
      <c r="J362" s="510"/>
      <c r="K362" s="510"/>
      <c r="L362" s="510"/>
      <c r="M362" s="529"/>
      <c r="N362" s="672"/>
      <c r="O362" s="510"/>
      <c r="P362" s="516"/>
      <c r="Q362" s="516"/>
      <c r="R362" s="514">
        <f>IF(ISTEXT('Incurred 2.5% cpi'!R362),"",'Incurred 2.5% cpi'!R362/'Incurred 2.5% cpi'!R$17*Incurred!R$17*BG362)</f>
        <v>0</v>
      </c>
      <c r="S362" s="515">
        <f>IF(ISTEXT('Incurred 2.5% cpi'!S362),"",'Incurred 2.5% cpi'!S362/'Incurred 2.5% cpi'!S$17*Incurred!S$17*BH362)</f>
        <v>0</v>
      </c>
      <c r="T362" s="513">
        <f>IF(ISTEXT('Incurred 2.5% cpi'!T362),"",'Incurred 2.5% cpi'!T362/'Incurred 2.5% cpi'!T$17*Incurred!T$17*BI362)</f>
        <v>292729.84672014345</v>
      </c>
      <c r="U362" s="513" t="str">
        <f>IF(ISTEXT('Incurred 2.5% cpi'!U362),"",'Incurred 2.5% cpi'!U362/'Incurred 2.5% cpi'!U$17*Incurred!U$17*BJ362)</f>
        <v/>
      </c>
      <c r="V362" s="513" t="str">
        <f>IF(ISTEXT('Incurred 2.5% cpi'!V362),"",'Incurred 2.5% cpi'!V362/'Incurred 2.5% cpi'!V$17*Incurred!V$17*BK362)</f>
        <v/>
      </c>
      <c r="W362" s="514" t="str">
        <f>IF(ISTEXT('Incurred 2.5% cpi'!W362),"",'Incurred 2.5% cpi'!W362/'Incurred 2.5% cpi'!W$17*Incurred!W$17*BL362)</f>
        <v/>
      </c>
      <c r="X362" s="515"/>
      <c r="Y362" s="80">
        <f t="shared" ref="Y362:Y365" si="568">SUM(F362:W362)</f>
        <v>292729.84672014345</v>
      </c>
      <c r="Z362" s="80">
        <f t="shared" ref="Z362:Z365" si="569">-SUMIFS(F362:W362,F362:W362,"&lt;0")+SUMIFS(F362:W362,F362:W362,"&gt;0")</f>
        <v>292729.84672014345</v>
      </c>
      <c r="AA362" s="566">
        <f t="shared" ref="AA362:AA365" si="570">IF(ROUND(Y362,0)=0,0,SUMPRODUCT($F$20:$W$20,F362:W362))</f>
        <v>315238.02759060945</v>
      </c>
      <c r="AB362" s="566">
        <f t="shared" ref="AB362:AB365" si="571">IF(AC362="","",AA362/AC362)</f>
        <v>292729.84672014345</v>
      </c>
      <c r="AC362" s="567">
        <f t="shared" ref="AC362:AC365" si="572">IF(AF362="","",IF(AF362&lt;AD362,INDEX($F$20:$W$20,1,MATCH(TEXT(AF362,"000"),$F$24:$W$24)),INDEX($F$20:$W$20,1,MATCH(AD362,$F$24:$W$24))))</f>
        <v>1.0768906249999999</v>
      </c>
      <c r="AD362" s="568" t="str">
        <f t="shared" ref="AD362:AD365" si="573">IF(AI362=0,"",INDEX($F$24:$W$24,1,MATCH(AI362,F362:W362,0)))</f>
        <v>2020</v>
      </c>
      <c r="AE362" s="569">
        <v>44012</v>
      </c>
      <c r="AF362" s="568">
        <v>2020</v>
      </c>
      <c r="AG362" s="569"/>
      <c r="AH362" s="566">
        <f t="shared" ref="AH362:AH365" si="574">IF(ROUND(Y362,0)=0,0,SUMPRODUCT($F$19:$W$19,F362:W362))</f>
        <v>278624.48230352742</v>
      </c>
      <c r="AI362" s="80">
        <f t="shared" ref="AI362:AI365" si="575">IF(ROUND(Z362,0)=0,0,LOOKUP(2,1/(F362:W362&lt;&gt;""),F362:W362))</f>
        <v>292729.84672014345</v>
      </c>
      <c r="AJ362" s="571" t="s">
        <v>0</v>
      </c>
      <c r="AK362" s="875">
        <f>IF(ISNA(VLOOKUP(LEFT($A362,8),Estimates,72,FALSE)),0,VLOOKUP(LEFT($A362,8),Estimates,72,FALSE))</f>
        <v>1999024.1811125001</v>
      </c>
      <c r="AL362" s="28">
        <f t="shared" si="545"/>
        <v>0</v>
      </c>
      <c r="AM362" s="28">
        <f t="shared" si="545"/>
        <v>0.56420380507469547</v>
      </c>
      <c r="AN362" s="28">
        <f t="shared" si="545"/>
        <v>0.40690709966665639</v>
      </c>
      <c r="AO362" s="28">
        <f t="shared" si="545"/>
        <v>0</v>
      </c>
      <c r="AP362" s="28">
        <f t="shared" si="545"/>
        <v>0</v>
      </c>
      <c r="AQ362" s="28">
        <f t="shared" si="545"/>
        <v>0</v>
      </c>
      <c r="AR362" s="28">
        <f t="shared" si="545"/>
        <v>0</v>
      </c>
      <c r="AS362" s="28">
        <f t="shared" si="545"/>
        <v>0</v>
      </c>
      <c r="AT362" s="28">
        <f t="shared" si="545"/>
        <v>0</v>
      </c>
      <c r="AU362" s="28">
        <f t="shared" si="545"/>
        <v>0</v>
      </c>
      <c r="AV362" s="28">
        <f t="shared" si="546"/>
        <v>0</v>
      </c>
      <c r="AW362" s="28">
        <f t="shared" si="546"/>
        <v>0</v>
      </c>
      <c r="AX362" s="28">
        <f t="shared" si="546"/>
        <v>2.8889095258648089E-2</v>
      </c>
      <c r="AY362" s="28">
        <f t="shared" si="546"/>
        <v>0</v>
      </c>
      <c r="AZ362" s="28">
        <f t="shared" si="546"/>
        <v>0</v>
      </c>
      <c r="BA362" s="28">
        <f t="shared" si="546"/>
        <v>0</v>
      </c>
      <c r="BB362" s="28">
        <f t="shared" si="546"/>
        <v>0</v>
      </c>
      <c r="BC362" s="28">
        <f t="shared" si="546"/>
        <v>0</v>
      </c>
      <c r="BD362" s="28">
        <f t="shared" si="546"/>
        <v>0</v>
      </c>
      <c r="BE362" s="28">
        <f t="shared" si="546"/>
        <v>0</v>
      </c>
      <c r="BF362" s="27">
        <f t="shared" ref="BF362:BF365" si="576">SUM(AL362:BD362)</f>
        <v>1</v>
      </c>
      <c r="BG362" s="809">
        <f t="shared" ref="BG362:BI362" si="577">IF(LabIn=0,1,BN391)</f>
        <v>1.0027028436666743</v>
      </c>
      <c r="BH362" s="809">
        <f t="shared" si="577"/>
        <v>1.0057162232795445</v>
      </c>
      <c r="BI362" s="809">
        <f t="shared" si="577"/>
        <v>1.0094257605469787</v>
      </c>
      <c r="BJ362" s="809">
        <f t="shared" ref="BJ362" si="578">IF(LabIn=0,1,BQ391)</f>
        <v>1.01363571439179</v>
      </c>
      <c r="BK362" s="809">
        <f t="shared" ref="BK362" si="579">IF(LabIn=0,1,BR391)</f>
        <v>1.0188321539769705</v>
      </c>
      <c r="BL362" s="809">
        <f t="shared" ref="BL362" si="580">IF(LabIn=0,1,BS391)</f>
        <v>1.0244391938863653</v>
      </c>
      <c r="BM362" s="520">
        <f t="shared" si="537"/>
        <v>1.0238135085356714</v>
      </c>
      <c r="BN362" s="521" t="s">
        <v>3148</v>
      </c>
      <c r="BP362" s="3"/>
    </row>
    <row r="363" spans="1:68" hidden="1" outlineLevel="1" x14ac:dyDescent="0.15">
      <c r="A363" s="517" t="s">
        <v>3138</v>
      </c>
      <c r="B363" s="512" t="s">
        <v>3137</v>
      </c>
      <c r="C363" s="512" t="s">
        <v>27</v>
      </c>
      <c r="D363" s="512" t="s">
        <v>40</v>
      </c>
      <c r="E363" s="512"/>
      <c r="F363" s="510"/>
      <c r="G363" s="510"/>
      <c r="H363" s="510"/>
      <c r="I363" s="510"/>
      <c r="J363" s="510"/>
      <c r="K363" s="510"/>
      <c r="L363" s="510"/>
      <c r="M363" s="529"/>
      <c r="N363" s="672"/>
      <c r="O363" s="510"/>
      <c r="P363" s="516"/>
      <c r="Q363" s="516"/>
      <c r="R363" s="514">
        <f>IF(ISTEXT('Incurred 2.5% cpi'!R363),"",'Incurred 2.5% cpi'!R363/'Incurred 2.5% cpi'!R$17*Incurred!R$17*BG363)</f>
        <v>0</v>
      </c>
      <c r="S363" s="515">
        <f>IF(ISTEXT('Incurred 2.5% cpi'!S363),"",'Incurred 2.5% cpi'!S363/'Incurred 2.5% cpi'!S$17*Incurred!S$17*BH363)</f>
        <v>0</v>
      </c>
      <c r="T363" s="513">
        <f>IF(ISTEXT('Incurred 2.5% cpi'!T363),"",'Incurred 2.5% cpi'!T363/'Incurred 2.5% cpi'!T$17*Incurred!T$17*BI363)</f>
        <v>0</v>
      </c>
      <c r="U363" s="513">
        <f>IF(ISTEXT('Incurred 2.5% cpi'!U363),"",'Incurred 2.5% cpi'!U363/'Incurred 2.5% cpi'!U$17*Incurred!U$17*BJ363)</f>
        <v>709545.31430132454</v>
      </c>
      <c r="V363" s="513" t="str">
        <f>IF(ISTEXT('Incurred 2.5% cpi'!V363),"",'Incurred 2.5% cpi'!V363/'Incurred 2.5% cpi'!V$17*Incurred!V$17*BK363)</f>
        <v/>
      </c>
      <c r="W363" s="514" t="str">
        <f>IF(ISTEXT('Incurred 2.5% cpi'!W363),"",'Incurred 2.5% cpi'!W363/'Incurred 2.5% cpi'!W$17*Incurred!W$17*BL363)</f>
        <v/>
      </c>
      <c r="X363" s="515"/>
      <c r="Y363" s="80">
        <f t="shared" si="568"/>
        <v>709545.31430132454</v>
      </c>
      <c r="Z363" s="80">
        <f t="shared" si="569"/>
        <v>709545.31430132454</v>
      </c>
      <c r="AA363" s="566">
        <f t="shared" si="570"/>
        <v>745466.04583782901</v>
      </c>
      <c r="AB363" s="566">
        <f t="shared" si="571"/>
        <v>709545.31430132454</v>
      </c>
      <c r="AC363" s="567">
        <f t="shared" si="572"/>
        <v>1.0506249999999999</v>
      </c>
      <c r="AD363" s="568" t="str">
        <f t="shared" si="573"/>
        <v>2021</v>
      </c>
      <c r="AE363" s="569">
        <v>44377</v>
      </c>
      <c r="AF363" s="568">
        <v>2021</v>
      </c>
      <c r="AG363" s="569"/>
      <c r="AH363" s="566">
        <f t="shared" si="574"/>
        <v>658883.36088107806</v>
      </c>
      <c r="AI363" s="80">
        <f t="shared" si="575"/>
        <v>709545.31430132454</v>
      </c>
      <c r="AJ363" s="571" t="s">
        <v>0</v>
      </c>
      <c r="AK363" s="875">
        <f>IF(ISNA(VLOOKUP(LEFT($A363,8),Estimates,72,FALSE)),0,VLOOKUP(LEFT($A363,8),Estimates,72,FALSE))</f>
        <v>1999024.1811125001</v>
      </c>
      <c r="AL363" s="28">
        <f t="shared" si="545"/>
        <v>0</v>
      </c>
      <c r="AM363" s="28">
        <f t="shared" si="545"/>
        <v>0.56420380507469547</v>
      </c>
      <c r="AN363" s="28">
        <f t="shared" si="545"/>
        <v>0.40690709966665639</v>
      </c>
      <c r="AO363" s="28">
        <f t="shared" si="545"/>
        <v>0</v>
      </c>
      <c r="AP363" s="28">
        <f t="shared" si="545"/>
        <v>0</v>
      </c>
      <c r="AQ363" s="28">
        <f t="shared" si="545"/>
        <v>0</v>
      </c>
      <c r="AR363" s="28">
        <f t="shared" si="545"/>
        <v>0</v>
      </c>
      <c r="AS363" s="28">
        <f t="shared" si="545"/>
        <v>0</v>
      </c>
      <c r="AT363" s="28">
        <f t="shared" si="545"/>
        <v>0</v>
      </c>
      <c r="AU363" s="28">
        <f t="shared" si="545"/>
        <v>0</v>
      </c>
      <c r="AV363" s="28">
        <f t="shared" si="546"/>
        <v>0</v>
      </c>
      <c r="AW363" s="28">
        <f t="shared" si="546"/>
        <v>0</v>
      </c>
      <c r="AX363" s="28">
        <f t="shared" si="546"/>
        <v>2.8889095258648089E-2</v>
      </c>
      <c r="AY363" s="28">
        <f t="shared" si="546"/>
        <v>0</v>
      </c>
      <c r="AZ363" s="28">
        <f t="shared" si="546"/>
        <v>0</v>
      </c>
      <c r="BA363" s="28">
        <f t="shared" si="546"/>
        <v>0</v>
      </c>
      <c r="BB363" s="28">
        <f t="shared" si="546"/>
        <v>0</v>
      </c>
      <c r="BC363" s="28">
        <f t="shared" si="546"/>
        <v>0</v>
      </c>
      <c r="BD363" s="28">
        <f t="shared" si="546"/>
        <v>0</v>
      </c>
      <c r="BE363" s="28">
        <f t="shared" si="546"/>
        <v>0</v>
      </c>
      <c r="BF363" s="27">
        <f t="shared" si="576"/>
        <v>1</v>
      </c>
      <c r="BG363" s="809">
        <f t="shared" ref="BG363:BI364" si="581">IF(LabIn=0,1,BN391)</f>
        <v>1.0027028436666743</v>
      </c>
      <c r="BH363" s="809">
        <f t="shared" si="581"/>
        <v>1.0057162232795445</v>
      </c>
      <c r="BI363" s="809">
        <f t="shared" si="581"/>
        <v>1.0094257605469787</v>
      </c>
      <c r="BJ363" s="809">
        <f t="shared" ref="BJ363:BJ364" si="582">IF(LabIn=0,1,BQ391)</f>
        <v>1.01363571439179</v>
      </c>
      <c r="BK363" s="809">
        <f t="shared" ref="BK363:BK364" si="583">IF(LabIn=0,1,BR391)</f>
        <v>1.0188321539769705</v>
      </c>
      <c r="BL363" s="809">
        <f t="shared" ref="BL363:BL364" si="584">IF(LabIn=0,1,BS391)</f>
        <v>1.0244391938863653</v>
      </c>
      <c r="BM363" s="520">
        <f t="shared" si="537"/>
        <v>1.0238135085356714</v>
      </c>
      <c r="BN363" s="521" t="s">
        <v>3148</v>
      </c>
      <c r="BP363" s="3"/>
    </row>
    <row r="364" spans="1:68" hidden="1" outlineLevel="1" x14ac:dyDescent="0.15">
      <c r="A364" s="517" t="s">
        <v>3139</v>
      </c>
      <c r="B364" s="512" t="s">
        <v>3059</v>
      </c>
      <c r="C364" s="512" t="s">
        <v>27</v>
      </c>
      <c r="D364" s="512" t="s">
        <v>41</v>
      </c>
      <c r="E364" s="512"/>
      <c r="F364" s="510"/>
      <c r="G364" s="510"/>
      <c r="H364" s="510"/>
      <c r="I364" s="510"/>
      <c r="J364" s="510"/>
      <c r="K364" s="510"/>
      <c r="L364" s="510"/>
      <c r="M364" s="529"/>
      <c r="N364" s="672"/>
      <c r="O364" s="510"/>
      <c r="P364" s="516"/>
      <c r="Q364" s="516"/>
      <c r="R364" s="514">
        <f>IF(ISTEXT('Incurred 2.5% cpi'!R364),"",'Incurred 2.5% cpi'!R364/'Incurred 2.5% cpi'!R$17*Incurred!R$17*BG364)</f>
        <v>0</v>
      </c>
      <c r="S364" s="515">
        <f>IF(ISTEXT('Incurred 2.5% cpi'!S364),"",'Incurred 2.5% cpi'!S364/'Incurred 2.5% cpi'!S$17*Incurred!S$17*BH364)</f>
        <v>0</v>
      </c>
      <c r="T364" s="513">
        <f>IF(ISTEXT('Incurred 2.5% cpi'!T364),"",'Incurred 2.5% cpi'!T364/'Incurred 2.5% cpi'!T$17*Incurred!T$17*BI364)</f>
        <v>0</v>
      </c>
      <c r="U364" s="513">
        <f>IF(ISTEXT('Incurred 2.5% cpi'!U364),"",'Incurred 2.5% cpi'!U364/'Incurred 2.5% cpi'!U$17*Incurred!U$17*BJ364)</f>
        <v>1060506.544052338</v>
      </c>
      <c r="V364" s="513" t="str">
        <f>IF(ISTEXT('Incurred 2.5% cpi'!V364),"",'Incurred 2.5% cpi'!V364/'Incurred 2.5% cpi'!V$17*Incurred!V$17*BK364)</f>
        <v/>
      </c>
      <c r="W364" s="514" t="str">
        <f>IF(ISTEXT('Incurred 2.5% cpi'!W364),"",'Incurred 2.5% cpi'!W364/'Incurred 2.5% cpi'!W$17*Incurred!W$17*BL364)</f>
        <v/>
      </c>
      <c r="X364" s="515"/>
      <c r="Y364" s="80">
        <f t="shared" si="568"/>
        <v>1060506.544052338</v>
      </c>
      <c r="Z364" s="80">
        <f t="shared" si="569"/>
        <v>1060506.544052338</v>
      </c>
      <c r="AA364" s="566">
        <f t="shared" si="570"/>
        <v>1114194.6878449875</v>
      </c>
      <c r="AB364" s="566">
        <f t="shared" si="571"/>
        <v>1060506.544052338</v>
      </c>
      <c r="AC364" s="567">
        <f t="shared" si="572"/>
        <v>1.0506249999999999</v>
      </c>
      <c r="AD364" s="568" t="str">
        <f t="shared" si="573"/>
        <v>2021</v>
      </c>
      <c r="AE364" s="569">
        <v>44377</v>
      </c>
      <c r="AF364" s="568">
        <v>2021</v>
      </c>
      <c r="AG364" s="569"/>
      <c r="AH364" s="566">
        <f t="shared" si="574"/>
        <v>984785.75208353973</v>
      </c>
      <c r="AI364" s="80">
        <f t="shared" si="575"/>
        <v>1060506.544052338</v>
      </c>
      <c r="AJ364" s="571" t="s">
        <v>0</v>
      </c>
      <c r="AK364" s="875">
        <f t="shared" si="544"/>
        <v>0</v>
      </c>
      <c r="AL364" s="28">
        <f t="shared" si="545"/>
        <v>0</v>
      </c>
      <c r="AM364" s="28">
        <f t="shared" si="545"/>
        <v>0</v>
      </c>
      <c r="AN364" s="28">
        <f t="shared" si="545"/>
        <v>0</v>
      </c>
      <c r="AO364" s="28">
        <f t="shared" si="545"/>
        <v>0</v>
      </c>
      <c r="AP364" s="28">
        <f t="shared" si="545"/>
        <v>0</v>
      </c>
      <c r="AQ364" s="28">
        <f t="shared" si="545"/>
        <v>0</v>
      </c>
      <c r="AR364" s="28">
        <f t="shared" si="545"/>
        <v>0</v>
      </c>
      <c r="AS364" s="28">
        <f t="shared" si="545"/>
        <v>0</v>
      </c>
      <c r="AT364" s="28">
        <f t="shared" si="545"/>
        <v>0</v>
      </c>
      <c r="AU364" s="28">
        <f t="shared" si="545"/>
        <v>0</v>
      </c>
      <c r="AV364" s="28">
        <f t="shared" si="546"/>
        <v>0</v>
      </c>
      <c r="AW364" s="28">
        <f t="shared" si="546"/>
        <v>0</v>
      </c>
      <c r="AX364" s="28">
        <f t="shared" si="546"/>
        <v>0</v>
      </c>
      <c r="AY364" s="28">
        <f t="shared" si="546"/>
        <v>0</v>
      </c>
      <c r="AZ364" s="28">
        <f t="shared" si="546"/>
        <v>0</v>
      </c>
      <c r="BA364" s="28">
        <f t="shared" si="546"/>
        <v>0</v>
      </c>
      <c r="BB364" s="28">
        <f t="shared" si="546"/>
        <v>0</v>
      </c>
      <c r="BC364" s="28">
        <f t="shared" si="546"/>
        <v>0</v>
      </c>
      <c r="BD364" s="28">
        <f t="shared" si="546"/>
        <v>0</v>
      </c>
      <c r="BE364" s="28">
        <f t="shared" si="546"/>
        <v>1</v>
      </c>
      <c r="BF364" s="27">
        <f t="shared" si="576"/>
        <v>0</v>
      </c>
      <c r="BG364" s="809">
        <f t="shared" si="581"/>
        <v>1.0032293803584966</v>
      </c>
      <c r="BH364" s="809">
        <f t="shared" si="581"/>
        <v>1.0068297916787974</v>
      </c>
      <c r="BI364" s="809">
        <f t="shared" si="581"/>
        <v>1.0112619780232279</v>
      </c>
      <c r="BJ364" s="809">
        <f t="shared" si="582"/>
        <v>1.01363571439179</v>
      </c>
      <c r="BK364" s="809">
        <f t="shared" si="583"/>
        <v>1.0188321539769705</v>
      </c>
      <c r="BL364" s="809">
        <f t="shared" si="584"/>
        <v>1.0244391938863653</v>
      </c>
      <c r="BM364" s="520">
        <f t="shared" si="537"/>
        <v>1.028452580399005</v>
      </c>
      <c r="BN364" s="521" t="s">
        <v>3148</v>
      </c>
      <c r="BP364" s="3"/>
    </row>
    <row r="365" spans="1:68" hidden="1" outlineLevel="1" x14ac:dyDescent="0.15">
      <c r="A365" s="517" t="s">
        <v>3140</v>
      </c>
      <c r="B365" s="512" t="s">
        <v>3059</v>
      </c>
      <c r="C365" s="512" t="s">
        <v>27</v>
      </c>
      <c r="D365" s="512" t="s">
        <v>41</v>
      </c>
      <c r="E365" s="512"/>
      <c r="F365" s="510"/>
      <c r="G365" s="510"/>
      <c r="H365" s="510"/>
      <c r="I365" s="510"/>
      <c r="J365" s="510"/>
      <c r="K365" s="510"/>
      <c r="L365" s="510"/>
      <c r="M365" s="529"/>
      <c r="N365" s="672"/>
      <c r="O365" s="510"/>
      <c r="P365" s="516"/>
      <c r="Q365" s="516"/>
      <c r="R365" s="514">
        <f>IF(ISTEXT('Incurred 2.5% cpi'!R365),"",'Incurred 2.5% cpi'!R365/'Incurred 2.5% cpi'!R$17*Incurred!R$17*BG365)</f>
        <v>0</v>
      </c>
      <c r="S365" s="515">
        <f>IF(ISTEXT('Incurred 2.5% cpi'!S365),"",'Incurred 2.5% cpi'!S365/'Incurred 2.5% cpi'!S$17*Incurred!S$17*BH365)</f>
        <v>0</v>
      </c>
      <c r="T365" s="513">
        <f>IF(ISTEXT('Incurred 2.5% cpi'!T365),"",'Incurred 2.5% cpi'!T365/'Incurred 2.5% cpi'!T$17*Incurred!T$17*BI365)</f>
        <v>0</v>
      </c>
      <c r="U365" s="513">
        <f>IF(ISTEXT('Incurred 2.5% cpi'!U365),"",'Incurred 2.5% cpi'!U365/'Incurred 2.5% cpi'!U$17*Incurred!U$17*BJ365)</f>
        <v>0</v>
      </c>
      <c r="V365" s="513">
        <f>IF(ISTEXT('Incurred 2.5% cpi'!V365),"",'Incurred 2.5% cpi'!V365/'Incurred 2.5% cpi'!V$17*Incurred!V$17*BK365)</f>
        <v>2088026.7401382183</v>
      </c>
      <c r="W365" s="514">
        <f>IF(ISTEXT('Incurred 2.5% cpi'!W365),"",'Incurred 2.5% cpi'!W365/'Incurred 2.5% cpi'!W$17*Incurred!W$17*BL365)</f>
        <v>2224.262377766076</v>
      </c>
      <c r="X365" s="515"/>
      <c r="Y365" s="80">
        <f t="shared" si="568"/>
        <v>2090251.0025159842</v>
      </c>
      <c r="Z365" s="80">
        <f t="shared" si="569"/>
        <v>2090251.0025159842</v>
      </c>
      <c r="AA365" s="566">
        <f t="shared" si="570"/>
        <v>2142451.6710194396</v>
      </c>
      <c r="AB365" s="566">
        <f t="shared" si="571"/>
        <v>2090196.7522140876</v>
      </c>
      <c r="AC365" s="567">
        <f t="shared" si="572"/>
        <v>1.0249999999999999</v>
      </c>
      <c r="AD365" s="568" t="str">
        <f t="shared" si="573"/>
        <v>2023</v>
      </c>
      <c r="AE365" s="569">
        <v>44742</v>
      </c>
      <c r="AF365" s="568">
        <v>2022</v>
      </c>
      <c r="AG365" s="569"/>
      <c r="AH365" s="566">
        <f t="shared" si="574"/>
        <v>1893615.0954267064</v>
      </c>
      <c r="AI365" s="80">
        <f t="shared" si="575"/>
        <v>2224.262377766076</v>
      </c>
      <c r="AJ365" s="571" t="s">
        <v>0</v>
      </c>
      <c r="AK365" s="875">
        <f t="shared" si="544"/>
        <v>0</v>
      </c>
      <c r="AL365" s="28">
        <f t="shared" si="545"/>
        <v>0</v>
      </c>
      <c r="AM365" s="28">
        <f t="shared" si="545"/>
        <v>0</v>
      </c>
      <c r="AN365" s="28">
        <f t="shared" si="545"/>
        <v>0</v>
      </c>
      <c r="AO365" s="28">
        <f t="shared" si="545"/>
        <v>0</v>
      </c>
      <c r="AP365" s="28">
        <f t="shared" si="545"/>
        <v>0</v>
      </c>
      <c r="AQ365" s="28">
        <f t="shared" si="545"/>
        <v>0</v>
      </c>
      <c r="AR365" s="28">
        <f t="shared" si="545"/>
        <v>0</v>
      </c>
      <c r="AS365" s="28">
        <f t="shared" si="545"/>
        <v>0</v>
      </c>
      <c r="AT365" s="28">
        <f t="shared" si="545"/>
        <v>0</v>
      </c>
      <c r="AU365" s="28">
        <f t="shared" si="545"/>
        <v>0</v>
      </c>
      <c r="AV365" s="28">
        <f t="shared" si="546"/>
        <v>0</v>
      </c>
      <c r="AW365" s="28">
        <f t="shared" si="546"/>
        <v>0</v>
      </c>
      <c r="AX365" s="28">
        <f t="shared" si="546"/>
        <v>0</v>
      </c>
      <c r="AY365" s="28">
        <f t="shared" si="546"/>
        <v>0</v>
      </c>
      <c r="AZ365" s="28">
        <f t="shared" si="546"/>
        <v>0</v>
      </c>
      <c r="BA365" s="28">
        <f t="shared" si="546"/>
        <v>0</v>
      </c>
      <c r="BB365" s="28">
        <f t="shared" si="546"/>
        <v>0</v>
      </c>
      <c r="BC365" s="28">
        <f t="shared" si="546"/>
        <v>0</v>
      </c>
      <c r="BD365" s="28">
        <f t="shared" si="546"/>
        <v>0</v>
      </c>
      <c r="BE365" s="28">
        <f t="shared" si="546"/>
        <v>1</v>
      </c>
      <c r="BF365" s="27">
        <f t="shared" si="576"/>
        <v>0</v>
      </c>
      <c r="BG365" s="809">
        <f t="shared" ref="BG365:BI365" si="585">IF(LabIn=0,1,BN392)</f>
        <v>1.0032293803584966</v>
      </c>
      <c r="BH365" s="809">
        <f t="shared" si="585"/>
        <v>1.0068297916787974</v>
      </c>
      <c r="BI365" s="809">
        <f t="shared" si="585"/>
        <v>1.0112619780232279</v>
      </c>
      <c r="BJ365" s="809">
        <f t="shared" ref="BJ365" si="586">IF(LabIn=0,1,BQ392)</f>
        <v>1.01363571439179</v>
      </c>
      <c r="BK365" s="809">
        <f t="shared" ref="BK365" si="587">IF(LabIn=0,1,BR392)</f>
        <v>1.0188321539769705</v>
      </c>
      <c r="BL365" s="809">
        <f t="shared" ref="BL365" si="588">IF(LabIn=0,1,BS392)</f>
        <v>1.0244391938863653</v>
      </c>
      <c r="BM365" s="520">
        <f t="shared" si="537"/>
        <v>1.028452580399005</v>
      </c>
      <c r="BN365" s="521" t="s">
        <v>3148</v>
      </c>
      <c r="BP365" s="3"/>
    </row>
    <row r="366" spans="1:68" hidden="1" outlineLevel="1" x14ac:dyDescent="0.15">
      <c r="A366" s="78" t="s">
        <v>2774</v>
      </c>
      <c r="B366" s="78" t="s">
        <v>2775</v>
      </c>
      <c r="C366" s="78" t="s">
        <v>27</v>
      </c>
      <c r="D366" s="78" t="s">
        <v>54</v>
      </c>
      <c r="E366" s="78" t="s">
        <v>112</v>
      </c>
      <c r="F366" s="14"/>
      <c r="G366" s="14"/>
      <c r="H366" s="14"/>
      <c r="I366" s="14"/>
      <c r="J366" s="14"/>
      <c r="K366" s="14"/>
      <c r="L366" s="14"/>
      <c r="M366" s="15"/>
      <c r="N366" s="670"/>
      <c r="O366" s="14"/>
      <c r="P366" s="14"/>
      <c r="Q366" s="14">
        <f>IF(ISTEXT('Incurred 2.5% cpi'!Q366),"",'Incurred 2.5% cpi'!Q366/'Incurred 2.5% cpi'!Q$17*Incurred!Q$17)</f>
        <v>2281.92</v>
      </c>
      <c r="R366" s="110">
        <f>IF(ISTEXT('Incurred 2.5% cpi'!R366),"",'Incurred 2.5% cpi'!R366/'Incurred 2.5% cpi'!R$17*Incurred!R$17*BG366)</f>
        <v>2714578.5489146113</v>
      </c>
      <c r="S366" s="102">
        <f>IF(ISTEXT('Incurred 2.5% cpi'!S366),"",'Incurred 2.5% cpi'!S366/'Incurred 2.5% cpi'!S$17*Incurred!S$17*BH366)</f>
        <v>640122.90900941228</v>
      </c>
      <c r="T366" s="16" t="str">
        <f>IF(ISTEXT('Incurred 2.5% cpi'!T366),"",'Incurred 2.5% cpi'!T366/'Incurred 2.5% cpi'!T$17*Incurred!T$17*BI366)</f>
        <v/>
      </c>
      <c r="U366" s="16" t="str">
        <f>IF(ISTEXT('Incurred 2.5% cpi'!U366),"",'Incurred 2.5% cpi'!U366/'Incurred 2.5% cpi'!U$17*Incurred!U$17*BJ366)</f>
        <v/>
      </c>
      <c r="V366" s="16" t="str">
        <f>IF(ISTEXT('Incurred 2.5% cpi'!V366),"",'Incurred 2.5% cpi'!V366/'Incurred 2.5% cpi'!V$17*Incurred!V$17*BK366)</f>
        <v/>
      </c>
      <c r="W366" s="110" t="str">
        <f>IF(ISTEXT('Incurred 2.5% cpi'!W366),"",'Incurred 2.5% cpi'!W366/'Incurred 2.5% cpi'!W$17*Incurred!W$17*BL366)</f>
        <v/>
      </c>
      <c r="X366" s="102" t="str">
        <f>IF(ISTEXT('Incurred 2.5% cpi'!X366),"",'Incurred 2.5% cpi'!X366/'Incurred 2.5% cpi'!X$17*Incurred!X$17*BM366)</f>
        <v/>
      </c>
      <c r="Y366" s="80">
        <f t="shared" si="510"/>
        <v>3356983.3779240237</v>
      </c>
      <c r="Z366" s="80">
        <f t="shared" si="548"/>
        <v>3356983.3779240237</v>
      </c>
      <c r="AA366" s="566">
        <f t="shared" ref="AA366" si="589">IF(ROUND(Y366,0)=0,0,SUMPRODUCT($F$20:$W$20,F366:W366))</f>
        <v>3780518.710932557</v>
      </c>
      <c r="AB366" s="566">
        <f t="shared" ref="AB366" si="590">IF(AC366="","",AA366/AC366)</f>
        <v>3341427.6720457454</v>
      </c>
      <c r="AC366" s="567">
        <f t="shared" ref="AC366" si="591">IF(AF366="","",IF(AF366&lt;AD366,INDEX($F$20:$W$20,1,MATCH(TEXT(AF366,"000"),$F$24:$W$24)),INDEX($F$20:$W$20,1,MATCH(AD366,$F$24:$W$24))))</f>
        <v>1.1314082128906247</v>
      </c>
      <c r="AD366" s="568" t="str">
        <f t="shared" ref="AD366" si="592">IF(AI366=0,"",INDEX($F$24:$W$24,1,MATCH(AI366,F366:W366,0)))</f>
        <v>2019</v>
      </c>
      <c r="AE366" s="569">
        <v>43256</v>
      </c>
      <c r="AF366" s="568">
        <v>2018</v>
      </c>
      <c r="AG366" s="569"/>
      <c r="AH366" s="566">
        <f t="shared" ref="AH366" si="593">IF(ROUND(Y366,0)=0,0,SUMPRODUCT($F$19:$W$19,F366:W366))</f>
        <v>3341427.672045745</v>
      </c>
      <c r="AI366" s="80">
        <f t="shared" ref="AI366" si="594">IF(ROUND(Z366,0)=0,0,LOOKUP(2,1/(F366:W366&lt;&gt;""),F366:W366))</f>
        <v>640122.90900941228</v>
      </c>
      <c r="AJ366" s="571" t="s">
        <v>3035</v>
      </c>
      <c r="AK366" s="875">
        <f>IF(ISNA(VLOOKUP(LEFT($A366,8),Estimates,72,FALSE)),0,VLOOKUP(LEFT($A366,8),Estimates,72,FALSE))</f>
        <v>2682824.998441956</v>
      </c>
      <c r="AL366" s="28">
        <f t="shared" si="545"/>
        <v>0</v>
      </c>
      <c r="AM366" s="28">
        <f t="shared" si="545"/>
        <v>0</v>
      </c>
      <c r="AN366" s="28">
        <f t="shared" si="545"/>
        <v>0</v>
      </c>
      <c r="AO366" s="28">
        <f t="shared" si="545"/>
        <v>0</v>
      </c>
      <c r="AP366" s="28">
        <f t="shared" si="545"/>
        <v>0</v>
      </c>
      <c r="AQ366" s="28">
        <f t="shared" si="545"/>
        <v>0</v>
      </c>
      <c r="AR366" s="28">
        <f t="shared" si="545"/>
        <v>0</v>
      </c>
      <c r="AS366" s="28">
        <f t="shared" si="545"/>
        <v>0</v>
      </c>
      <c r="AT366" s="28">
        <f t="shared" si="545"/>
        <v>0</v>
      </c>
      <c r="AU366" s="28">
        <f t="shared" si="545"/>
        <v>0</v>
      </c>
      <c r="AV366" s="28">
        <f t="shared" si="546"/>
        <v>0</v>
      </c>
      <c r="AW366" s="28">
        <f t="shared" si="546"/>
        <v>0</v>
      </c>
      <c r="AX366" s="28">
        <f t="shared" si="546"/>
        <v>0</v>
      </c>
      <c r="AY366" s="28">
        <f t="shared" si="546"/>
        <v>0</v>
      </c>
      <c r="AZ366" s="28">
        <f t="shared" si="546"/>
        <v>1.1182242605247236E-2</v>
      </c>
      <c r="BA366" s="28">
        <f t="shared" si="546"/>
        <v>0.98881775739475275</v>
      </c>
      <c r="BB366" s="28">
        <f t="shared" si="546"/>
        <v>0</v>
      </c>
      <c r="BC366" s="28">
        <f t="shared" si="546"/>
        <v>0</v>
      </c>
      <c r="BD366" s="28">
        <f t="shared" si="546"/>
        <v>0</v>
      </c>
      <c r="BE366" s="28">
        <f t="shared" si="546"/>
        <v>0</v>
      </c>
      <c r="BF366" s="27">
        <f t="shared" si="519"/>
        <v>1</v>
      </c>
      <c r="BG366" s="520">
        <f t="shared" si="531"/>
        <v>1.0030818160192299</v>
      </c>
      <c r="BH366" s="520">
        <f t="shared" si="532"/>
        <v>1.0058892448397847</v>
      </c>
      <c r="BI366" s="520">
        <f t="shared" si="533"/>
        <v>1.0089276407487533</v>
      </c>
      <c r="BJ366" s="520">
        <f t="shared" si="534"/>
        <v>1.0124373439172154</v>
      </c>
      <c r="BK366" s="520">
        <f t="shared" si="535"/>
        <v>1.0175505572831101</v>
      </c>
      <c r="BL366" s="520">
        <f t="shared" si="536"/>
        <v>1.023302014576742</v>
      </c>
      <c r="BM366" s="520">
        <f t="shared" si="537"/>
        <v>1.0271524590875074</v>
      </c>
      <c r="BN366" s="521" t="str">
        <f t="shared" si="538"/>
        <v>Category</v>
      </c>
      <c r="BP366" s="3"/>
    </row>
    <row r="367" spans="1:68" hidden="1" outlineLevel="1" x14ac:dyDescent="0.15">
      <c r="A367" s="78" t="s">
        <v>2772</v>
      </c>
      <c r="B367" s="78" t="s">
        <v>2773</v>
      </c>
      <c r="C367" s="78" t="s">
        <v>27</v>
      </c>
      <c r="D367" s="78" t="s">
        <v>54</v>
      </c>
      <c r="E367" s="78" t="s">
        <v>112</v>
      </c>
      <c r="F367" s="14"/>
      <c r="G367" s="14"/>
      <c r="H367" s="14"/>
      <c r="I367" s="14"/>
      <c r="J367" s="14"/>
      <c r="K367" s="14"/>
      <c r="L367" s="14"/>
      <c r="M367" s="15"/>
      <c r="N367" s="670"/>
      <c r="O367" s="14"/>
      <c r="P367" s="14"/>
      <c r="Q367" s="14" t="str">
        <f>IF(ISTEXT('Incurred 2.5% cpi'!Q367),"",'Incurred 2.5% cpi'!Q367/'Incurred 2.5% cpi'!Q$17*Incurred!Q$17)</f>
        <v/>
      </c>
      <c r="R367" s="110" t="str">
        <f>IF(ISTEXT('Incurred 2.5% cpi'!R367),"",'Incurred 2.5% cpi'!R367/'Incurred 2.5% cpi'!R$17*Incurred!R$17*BG367)</f>
        <v/>
      </c>
      <c r="S367" s="102" t="str">
        <f>IF(ISTEXT('Incurred 2.5% cpi'!S367),"",'Incurred 2.5% cpi'!S367/'Incurred 2.5% cpi'!S$17*Incurred!S$17*BH367)</f>
        <v/>
      </c>
      <c r="T367" s="16" t="str">
        <f>IF(ISTEXT('Incurred 2.5% cpi'!T367),"",'Incurred 2.5% cpi'!T367/'Incurred 2.5% cpi'!T$17*Incurred!T$17*BI367)</f>
        <v/>
      </c>
      <c r="U367" s="16">
        <f>IF(ISTEXT('Incurred 2.5% cpi'!U367),"",'Incurred 2.5% cpi'!U367/'Incurred 2.5% cpi'!U$17*Incurred!U$17*BJ367)</f>
        <v>96399.221701077666</v>
      </c>
      <c r="V367" s="16">
        <f>IF(ISTEXT('Incurred 2.5% cpi'!V367),"",'Incurred 2.5% cpi'!V367/'Incurred 2.5% cpi'!V$17*Incurred!V$17*BK367)</f>
        <v>466188.06078376336</v>
      </c>
      <c r="W367" s="110">
        <f>IF(ISTEXT('Incurred 2.5% cpi'!W367),"",'Incurred 2.5% cpi'!W367/'Incurred 2.5% cpi'!W$17*Incurred!W$17*BL367)</f>
        <v>1046045.311171516</v>
      </c>
      <c r="X367" s="102" t="str">
        <f>IF(ISTEXT('Incurred 2.5% cpi'!X367),"",'Incurred 2.5% cpi'!X367/'Incurred 2.5% cpi'!X$17*Incurred!X$17*BM367)</f>
        <v/>
      </c>
      <c r="Y367" s="80">
        <f t="shared" si="510"/>
        <v>1608632.5936563569</v>
      </c>
      <c r="Z367" s="80">
        <f t="shared" si="548"/>
        <v>1608632.5936563569</v>
      </c>
      <c r="AA367" s="566">
        <f t="shared" ref="AA367" si="595">IF(ROUND(Y367,0)=0,0,SUMPRODUCT($F$20:$W$20,F367:W367))</f>
        <v>1625167.5057745681</v>
      </c>
      <c r="AB367" s="566">
        <f t="shared" ref="AB367" si="596">IF(AC367="","",AA367/AC367)</f>
        <v>1625167.5057745681</v>
      </c>
      <c r="AC367" s="567">
        <f t="shared" ref="AC367" si="597">IF(AF367="","",IF(AF367&lt;AD367,INDEX($F$20:$W$20,1,MATCH(TEXT(AF367,"000"),$F$24:$W$24)),INDEX($F$20:$W$20,1,MATCH(AD367,$F$24:$W$24))))</f>
        <v>1</v>
      </c>
      <c r="AD367" s="568" t="str">
        <f t="shared" ref="AD367" si="598">IF(AI367=0,"",INDEX($F$24:$W$24,1,MATCH(AI367,F367:W367,0)))</f>
        <v>2023</v>
      </c>
      <c r="AE367" s="569">
        <v>44991</v>
      </c>
      <c r="AF367" s="568">
        <v>2023</v>
      </c>
      <c r="AG367" s="569"/>
      <c r="AH367" s="566">
        <f t="shared" ref="AH367" si="599">IF(ROUND(Y367,0)=0,0,SUMPRODUCT($F$19:$W$19,F367:W367))</f>
        <v>1436411.2680625166</v>
      </c>
      <c r="AI367" s="80">
        <f t="shared" ref="AI367" si="600">IF(ROUND(Z367,0)=0,0,LOOKUP(2,1/(F367:W367&lt;&gt;""),F367:W367))</f>
        <v>1046045.311171516</v>
      </c>
      <c r="AJ367" s="571" t="s">
        <v>3035</v>
      </c>
      <c r="AK367" s="875">
        <f>IF(ISNA(VLOOKUP(LEFT($A367,8),Estimates,72,FALSE)),0,VLOOKUP(LEFT($A367,8),Estimates,72,FALSE))</f>
        <v>762637.11005793454</v>
      </c>
      <c r="AL367" s="28">
        <f t="shared" si="545"/>
        <v>0</v>
      </c>
      <c r="AM367" s="28">
        <f t="shared" si="545"/>
        <v>0</v>
      </c>
      <c r="AN367" s="28">
        <f t="shared" si="545"/>
        <v>0</v>
      </c>
      <c r="AO367" s="28">
        <f t="shared" si="545"/>
        <v>0</v>
      </c>
      <c r="AP367" s="28">
        <f t="shared" si="545"/>
        <v>0</v>
      </c>
      <c r="AQ367" s="28">
        <f t="shared" si="545"/>
        <v>0</v>
      </c>
      <c r="AR367" s="28">
        <f t="shared" si="545"/>
        <v>0</v>
      </c>
      <c r="AS367" s="28">
        <f t="shared" si="545"/>
        <v>0</v>
      </c>
      <c r="AT367" s="28">
        <f t="shared" si="545"/>
        <v>0</v>
      </c>
      <c r="AU367" s="28">
        <f t="shared" si="545"/>
        <v>0.41987652027118744</v>
      </c>
      <c r="AV367" s="28">
        <f t="shared" si="546"/>
        <v>0</v>
      </c>
      <c r="AW367" s="28">
        <f t="shared" si="546"/>
        <v>0.31764697261628599</v>
      </c>
      <c r="AX367" s="28">
        <f t="shared" si="546"/>
        <v>3.0289635387983141E-2</v>
      </c>
      <c r="AY367" s="28">
        <f t="shared" si="546"/>
        <v>0</v>
      </c>
      <c r="AZ367" s="28">
        <f t="shared" si="546"/>
        <v>0.16298709211082793</v>
      </c>
      <c r="BA367" s="28">
        <f t="shared" si="546"/>
        <v>0</v>
      </c>
      <c r="BB367" s="28">
        <f t="shared" si="546"/>
        <v>6.9199779613715567E-2</v>
      </c>
      <c r="BC367" s="28">
        <f t="shared" si="546"/>
        <v>0</v>
      </c>
      <c r="BD367" s="28">
        <f t="shared" si="546"/>
        <v>0</v>
      </c>
      <c r="BE367" s="28">
        <f t="shared" si="546"/>
        <v>0</v>
      </c>
      <c r="BF367" s="27">
        <f t="shared" ref="BF367" si="601">SUM(AL367:BD367)</f>
        <v>1</v>
      </c>
      <c r="BG367" s="520">
        <f t="shared" si="531"/>
        <v>1.0030818160192299</v>
      </c>
      <c r="BH367" s="520">
        <f t="shared" si="532"/>
        <v>1.0058892448397847</v>
      </c>
      <c r="BI367" s="520">
        <f t="shared" si="533"/>
        <v>1.0089276407487533</v>
      </c>
      <c r="BJ367" s="520">
        <f t="shared" si="534"/>
        <v>1.0124373439172154</v>
      </c>
      <c r="BK367" s="520">
        <f t="shared" si="535"/>
        <v>1.0175505572831101</v>
      </c>
      <c r="BL367" s="520">
        <f t="shared" si="536"/>
        <v>1.023302014576742</v>
      </c>
      <c r="BM367" s="520">
        <f t="shared" si="537"/>
        <v>1.0271524590875074</v>
      </c>
      <c r="BN367" s="521" t="str">
        <f t="shared" si="538"/>
        <v>Category</v>
      </c>
      <c r="BP367" s="3"/>
    </row>
    <row r="368" spans="1:68" hidden="1" outlineLevel="1" x14ac:dyDescent="0.15">
      <c r="A368" s="78" t="s">
        <v>3054</v>
      </c>
      <c r="B368" s="78" t="s">
        <v>3055</v>
      </c>
      <c r="C368" s="78" t="s">
        <v>27</v>
      </c>
      <c r="D368" s="78" t="s">
        <v>28</v>
      </c>
      <c r="E368" s="78" t="s">
        <v>29</v>
      </c>
      <c r="M368" s="1"/>
      <c r="O368" s="1"/>
      <c r="P368" s="1"/>
      <c r="Q368" s="14">
        <f>IF(ISTEXT('Incurred 2.5% cpi'!Q368),"",'Incurred 2.5% cpi'!Q368/'Incurred 2.5% cpi'!Q$17*Incurred!Q$17)</f>
        <v>267107.65000000002</v>
      </c>
      <c r="R368" s="110">
        <f>IF(ISTEXT('Incurred 2.5% cpi'!R368),"",'Incurred 2.5% cpi'!R368/'Incurred 2.5% cpi'!R$17*Incurred!R$17*BG368)</f>
        <v>361375.8636642255</v>
      </c>
      <c r="S368" s="102" t="str">
        <f>IF(ISTEXT('Incurred 2.5% cpi'!S368),"",'Incurred 2.5% cpi'!S368/'Incurred 2.5% cpi'!S$17*Incurred!S$17*BH368)</f>
        <v/>
      </c>
      <c r="T368" s="16" t="str">
        <f>IF(ISTEXT('Incurred 2.5% cpi'!T368),"",'Incurred 2.5% cpi'!T368/'Incurred 2.5% cpi'!T$17*Incurred!T$17*BI368)</f>
        <v/>
      </c>
      <c r="U368" s="16" t="str">
        <f>IF(ISTEXT('Incurred 2.5% cpi'!U368),"",'Incurred 2.5% cpi'!U368/'Incurred 2.5% cpi'!U$17*Incurred!U$17*BJ368)</f>
        <v/>
      </c>
      <c r="V368" s="16" t="str">
        <f>IF(ISTEXT('Incurred 2.5% cpi'!V368),"",'Incurred 2.5% cpi'!V368/'Incurred 2.5% cpi'!V$17*Incurred!V$17*BK368)</f>
        <v/>
      </c>
      <c r="W368" s="110" t="str">
        <f>IF(ISTEXT('Incurred 2.5% cpi'!W368),"",'Incurred 2.5% cpi'!W368/'Incurred 2.5% cpi'!W$17*Incurred!W$17*BL368)</f>
        <v/>
      </c>
      <c r="X368" s="102" t="str">
        <f>IF(ISTEXT('Incurred 2.5% cpi'!X368),"",'Incurred 2.5% cpi'!X368/'Incurred 2.5% cpi'!X$17*Incurred!X$17*BM368)</f>
        <v/>
      </c>
      <c r="Y368" s="80">
        <f t="shared" ref="Y368:Y372" si="602">SUM(F368:W368)</f>
        <v>628483.51366422558</v>
      </c>
      <c r="Z368" s="80">
        <f t="shared" ref="Z368:Z372" si="603">-SUMIFS(F368:W368,F368:W368,"&lt;0")+SUMIFS(F368:W368,F368:W368,"&gt;0")</f>
        <v>628483.51366422558</v>
      </c>
      <c r="AA368" s="566">
        <f t="shared" ref="AA368:AA372" si="604">IF(ROUND(Y368,0)=0,0,SUMPRODUCT($F$20:$W$20,F368:W368))</f>
        <v>718626.60374945973</v>
      </c>
      <c r="AB368" s="566">
        <f t="shared" ref="AB368:AB372" si="605">IF(AC368="","",AA368/AC368)</f>
        <v>635161.2049142255</v>
      </c>
      <c r="AC368" s="567">
        <f t="shared" ref="AC368:AC372" si="606">IF(AF368="","",IF(AF368&lt;AD368,INDEX($F$20:$W$20,1,MATCH(TEXT(AF368,"000"),$F$24:$W$24)),INDEX($F$20:$W$20,1,MATCH(AD368,$F$24:$W$24))))</f>
        <v>1.1314082128906247</v>
      </c>
      <c r="AD368" s="568" t="str">
        <f t="shared" ref="AD368:AD372" si="607">IF(AI368=0,"",INDEX($F$24:$W$24,1,MATCH(AI368,F368:W368,0)))</f>
        <v>2018</v>
      </c>
      <c r="AE368" s="569">
        <v>43151</v>
      </c>
      <c r="AF368" s="568" t="s">
        <v>3152</v>
      </c>
      <c r="AG368" s="569"/>
      <c r="AH368" s="566">
        <f t="shared" ref="AH368:AH372" si="608">IF(ROUND(Y368,0)=0,0,SUMPRODUCT($F$19:$W$19,F368:W368))</f>
        <v>635161.2049142255</v>
      </c>
      <c r="AI368" s="80">
        <f t="shared" ref="AI368:AI372" si="609">IF(ROUND(Z368,0)=0,0,LOOKUP(2,1/(F368:W368&lt;&gt;""),F368:W368))</f>
        <v>361375.8636642255</v>
      </c>
      <c r="AJ368" s="571"/>
      <c r="AK368" s="875">
        <f t="shared" si="544"/>
        <v>0</v>
      </c>
      <c r="AL368" s="28">
        <f t="shared" si="545"/>
        <v>0</v>
      </c>
      <c r="AM368" s="28">
        <f t="shared" si="545"/>
        <v>0</v>
      </c>
      <c r="AN368" s="28">
        <f t="shared" si="545"/>
        <v>0</v>
      </c>
      <c r="AO368" s="28">
        <f t="shared" si="545"/>
        <v>1</v>
      </c>
      <c r="AP368" s="28">
        <f t="shared" si="545"/>
        <v>0</v>
      </c>
      <c r="AQ368" s="28">
        <f t="shared" si="545"/>
        <v>0</v>
      </c>
      <c r="AR368" s="28">
        <f t="shared" si="545"/>
        <v>0</v>
      </c>
      <c r="AS368" s="28">
        <f t="shared" si="545"/>
        <v>0</v>
      </c>
      <c r="AT368" s="28">
        <f t="shared" si="545"/>
        <v>0</v>
      </c>
      <c r="AU368" s="28">
        <f t="shared" si="545"/>
        <v>0</v>
      </c>
      <c r="AV368" s="28">
        <f t="shared" si="546"/>
        <v>0</v>
      </c>
      <c r="AW368" s="28">
        <f t="shared" si="546"/>
        <v>0</v>
      </c>
      <c r="AX368" s="28">
        <f t="shared" si="546"/>
        <v>0</v>
      </c>
      <c r="AY368" s="28">
        <f t="shared" si="546"/>
        <v>0</v>
      </c>
      <c r="AZ368" s="28">
        <f t="shared" si="546"/>
        <v>0</v>
      </c>
      <c r="BA368" s="28">
        <f t="shared" si="546"/>
        <v>0</v>
      </c>
      <c r="BB368" s="28">
        <f t="shared" si="546"/>
        <v>0</v>
      </c>
      <c r="BC368" s="28">
        <f t="shared" si="546"/>
        <v>0</v>
      </c>
      <c r="BD368" s="28">
        <f t="shared" si="546"/>
        <v>0</v>
      </c>
      <c r="BE368" s="28">
        <f t="shared" si="546"/>
        <v>0</v>
      </c>
      <c r="BF368" s="27">
        <f t="shared" ref="BF368:BF372" si="610">SUM(AL368:BD368)</f>
        <v>1</v>
      </c>
      <c r="BG368" s="520">
        <f t="shared" si="531"/>
        <v>1.0030444840366091</v>
      </c>
      <c r="BH368" s="520">
        <f t="shared" si="532"/>
        <v>1.0058179046998681</v>
      </c>
      <c r="BI368" s="520">
        <f t="shared" si="533"/>
        <v>1.0088194946014175</v>
      </c>
      <c r="BJ368" s="520">
        <f t="shared" si="534"/>
        <v>1.0122866825201464</v>
      </c>
      <c r="BK368" s="520">
        <f t="shared" si="535"/>
        <v>1.0173379563051834</v>
      </c>
      <c r="BL368" s="520">
        <f t="shared" si="536"/>
        <v>1.023019742566414</v>
      </c>
      <c r="BM368" s="520">
        <f t="shared" si="537"/>
        <v>1.026823544212498</v>
      </c>
      <c r="BN368" s="521" t="str">
        <f t="shared" si="538"/>
        <v>Category</v>
      </c>
      <c r="BP368" s="3"/>
    </row>
    <row r="369" spans="1:71" hidden="1" outlineLevel="1" x14ac:dyDescent="0.15">
      <c r="A369" s="78" t="s">
        <v>3056</v>
      </c>
      <c r="B369" s="78" t="s">
        <v>3057</v>
      </c>
      <c r="C369" s="78" t="s">
        <v>27</v>
      </c>
      <c r="D369" s="78" t="s">
        <v>54</v>
      </c>
      <c r="E369" s="78" t="s">
        <v>29</v>
      </c>
      <c r="M369" s="1"/>
      <c r="O369" s="1"/>
      <c r="P369" s="1"/>
      <c r="Q369" s="14">
        <f>IF(ISTEXT('Incurred 2.5% cpi'!Q369),"",'Incurred 2.5% cpi'!Q369/'Incurred 2.5% cpi'!Q$17*Incurred!Q$17)</f>
        <v>72701.73</v>
      </c>
      <c r="R369" s="110">
        <f>IF(ISTEXT('Incurred 2.5% cpi'!R369),"",'Incurred 2.5% cpi'!R369/'Incurred 2.5% cpi'!R$17*Incurred!R$17*BG369)</f>
        <v>1521958.2046512887</v>
      </c>
      <c r="S369" s="102" t="str">
        <f>IF(ISTEXT('Incurred 2.5% cpi'!S369),"",'Incurred 2.5% cpi'!S369/'Incurred 2.5% cpi'!S$17*Incurred!S$17*BH369)</f>
        <v/>
      </c>
      <c r="T369" s="16" t="str">
        <f>IF(ISTEXT('Incurred 2.5% cpi'!T369),"",'Incurred 2.5% cpi'!T369/'Incurred 2.5% cpi'!T$17*Incurred!T$17*BI369)</f>
        <v/>
      </c>
      <c r="U369" s="16" t="str">
        <f>IF(ISTEXT('Incurred 2.5% cpi'!U369),"",'Incurred 2.5% cpi'!U369/'Incurred 2.5% cpi'!U$17*Incurred!U$17*BJ369)</f>
        <v/>
      </c>
      <c r="V369" s="16" t="str">
        <f>IF(ISTEXT('Incurred 2.5% cpi'!V369),"",'Incurred 2.5% cpi'!V369/'Incurred 2.5% cpi'!V$17*Incurred!V$17*BK369)</f>
        <v/>
      </c>
      <c r="W369" s="110" t="str">
        <f>IF(ISTEXT('Incurred 2.5% cpi'!W369),"",'Incurred 2.5% cpi'!W369/'Incurred 2.5% cpi'!W$17*Incurred!W$17*BL369)</f>
        <v/>
      </c>
      <c r="X369" s="102" t="str">
        <f>IF(ISTEXT('Incurred 2.5% cpi'!X369),"",'Incurred 2.5% cpi'!X369/'Incurred 2.5% cpi'!X$17*Incurred!X$17*BM369)</f>
        <v/>
      </c>
      <c r="Y369" s="80">
        <f t="shared" si="602"/>
        <v>1594659.9346512887</v>
      </c>
      <c r="Z369" s="80">
        <f t="shared" si="603"/>
        <v>1594659.9346512887</v>
      </c>
      <c r="AA369" s="566">
        <f t="shared" si="604"/>
        <v>1806267.7301924287</v>
      </c>
      <c r="AB369" s="566">
        <f t="shared" si="605"/>
        <v>1596477.4779012885</v>
      </c>
      <c r="AC369" s="567">
        <f t="shared" si="606"/>
        <v>1.1314082128906247</v>
      </c>
      <c r="AD369" s="568" t="str">
        <f t="shared" si="607"/>
        <v>2018</v>
      </c>
      <c r="AE369" s="569">
        <v>43228</v>
      </c>
      <c r="AF369" s="568">
        <v>2018</v>
      </c>
      <c r="AG369" s="569"/>
      <c r="AH369" s="566">
        <f t="shared" si="608"/>
        <v>1596477.4779012888</v>
      </c>
      <c r="AI369" s="80">
        <f t="shared" si="609"/>
        <v>1521958.2046512887</v>
      </c>
      <c r="AJ369" s="571"/>
      <c r="AK369" s="875">
        <f t="shared" si="544"/>
        <v>0</v>
      </c>
      <c r="AL369" s="28">
        <f t="shared" si="545"/>
        <v>0</v>
      </c>
      <c r="AM369" s="28">
        <f t="shared" si="545"/>
        <v>0</v>
      </c>
      <c r="AN369" s="28">
        <f t="shared" si="545"/>
        <v>0</v>
      </c>
      <c r="AO369" s="28">
        <f t="shared" si="545"/>
        <v>1</v>
      </c>
      <c r="AP369" s="28">
        <f t="shared" si="545"/>
        <v>0</v>
      </c>
      <c r="AQ369" s="28">
        <f t="shared" si="545"/>
        <v>0</v>
      </c>
      <c r="AR369" s="28">
        <f t="shared" si="545"/>
        <v>0</v>
      </c>
      <c r="AS369" s="28">
        <f t="shared" si="545"/>
        <v>0</v>
      </c>
      <c r="AT369" s="28">
        <f t="shared" si="545"/>
        <v>0</v>
      </c>
      <c r="AU369" s="28">
        <f t="shared" si="545"/>
        <v>0</v>
      </c>
      <c r="AV369" s="28">
        <f t="shared" si="546"/>
        <v>0</v>
      </c>
      <c r="AW369" s="28">
        <f t="shared" si="546"/>
        <v>0</v>
      </c>
      <c r="AX369" s="28">
        <f t="shared" si="546"/>
        <v>0</v>
      </c>
      <c r="AY369" s="28">
        <f t="shared" si="546"/>
        <v>0</v>
      </c>
      <c r="AZ369" s="28">
        <f t="shared" si="546"/>
        <v>0</v>
      </c>
      <c r="BA369" s="28">
        <f t="shared" si="546"/>
        <v>0</v>
      </c>
      <c r="BB369" s="28">
        <f t="shared" si="546"/>
        <v>0</v>
      </c>
      <c r="BC369" s="28">
        <f t="shared" si="546"/>
        <v>0</v>
      </c>
      <c r="BD369" s="28">
        <f t="shared" si="546"/>
        <v>0</v>
      </c>
      <c r="BE369" s="28">
        <f t="shared" si="546"/>
        <v>0</v>
      </c>
      <c r="BF369" s="27">
        <f t="shared" si="610"/>
        <v>1</v>
      </c>
      <c r="BG369" s="520">
        <f t="shared" si="531"/>
        <v>1.0030818160192299</v>
      </c>
      <c r="BH369" s="520">
        <f t="shared" si="532"/>
        <v>1.0058892448397847</v>
      </c>
      <c r="BI369" s="520">
        <f t="shared" si="533"/>
        <v>1.0089276407487533</v>
      </c>
      <c r="BJ369" s="520">
        <f t="shared" si="534"/>
        <v>1.0124373439172154</v>
      </c>
      <c r="BK369" s="520">
        <f t="shared" si="535"/>
        <v>1.0175505572831101</v>
      </c>
      <c r="BL369" s="520">
        <f t="shared" si="536"/>
        <v>1.023302014576742</v>
      </c>
      <c r="BM369" s="520">
        <f t="shared" si="537"/>
        <v>1.0271524590875074</v>
      </c>
      <c r="BN369" s="521" t="str">
        <f t="shared" si="538"/>
        <v>Category</v>
      </c>
      <c r="BP369" s="3"/>
    </row>
    <row r="370" spans="1:71" s="52" customFormat="1" hidden="1" x14ac:dyDescent="0.15">
      <c r="A370" s="78" t="s">
        <v>3058</v>
      </c>
      <c r="B370" s="78" t="s">
        <v>3059</v>
      </c>
      <c r="C370" s="78" t="s">
        <v>27</v>
      </c>
      <c r="D370" s="78" t="s">
        <v>41</v>
      </c>
      <c r="E370" s="78" t="s">
        <v>29</v>
      </c>
      <c r="F370" s="53"/>
      <c r="G370" s="53"/>
      <c r="H370" s="53"/>
      <c r="I370" s="53"/>
      <c r="J370" s="53"/>
      <c r="K370" s="53"/>
      <c r="L370" s="1"/>
      <c r="M370" s="1"/>
      <c r="N370" s="88"/>
      <c r="O370" s="1"/>
      <c r="P370" s="1"/>
      <c r="Q370" s="14">
        <f>IF(ISTEXT('Incurred 2.5% cpi'!Q370),"",'Incurred 2.5% cpi'!Q370/'Incurred 2.5% cpi'!Q$17*Incurred!Q$17)</f>
        <v>34115.019999999997</v>
      </c>
      <c r="R370" s="110">
        <f>IF(ISTEXT('Incurred 2.5% cpi'!R370),"",'Incurred 2.5% cpi'!R370/'Incurred 2.5% cpi'!R$17*Incurred!R$17*BG370)</f>
        <v>7994734.9320768593</v>
      </c>
      <c r="S370" s="102" t="str">
        <f>IF(ISTEXT('Incurred 2.5% cpi'!S370),"",'Incurred 2.5% cpi'!S370/'Incurred 2.5% cpi'!S$17*Incurred!S$17*BH370)</f>
        <v/>
      </c>
      <c r="T370" s="16" t="str">
        <f>IF(ISTEXT('Incurred 2.5% cpi'!T370),"",'Incurred 2.5% cpi'!T370/'Incurred 2.5% cpi'!T$17*Incurred!T$17*BI370)</f>
        <v/>
      </c>
      <c r="U370" s="16" t="str">
        <f>IF(ISTEXT('Incurred 2.5% cpi'!U370),"",'Incurred 2.5% cpi'!U370/'Incurred 2.5% cpi'!U$17*Incurred!U$17*BJ370)</f>
        <v/>
      </c>
      <c r="V370" s="16" t="str">
        <f>IF(ISTEXT('Incurred 2.5% cpi'!V370),"",'Incurred 2.5% cpi'!V370/'Incurred 2.5% cpi'!V$17*Incurred!V$17*BK370)</f>
        <v/>
      </c>
      <c r="W370" s="110" t="str">
        <f>IF(ISTEXT('Incurred 2.5% cpi'!W370),"",'Incurred 2.5% cpi'!W370/'Incurred 2.5% cpi'!W$17*Incurred!W$17*BL370)</f>
        <v/>
      </c>
      <c r="X370" s="102" t="str">
        <f>IF(ISTEXT('Incurred 2.5% cpi'!X370),"",'Incurred 2.5% cpi'!X370/'Incurred 2.5% cpi'!X$17*Incurred!X$17*BM370)</f>
        <v/>
      </c>
      <c r="Y370" s="80">
        <f t="shared" si="602"/>
        <v>8028849.9520768588</v>
      </c>
      <c r="Z370" s="80">
        <f t="shared" si="603"/>
        <v>8028849.9520768588</v>
      </c>
      <c r="AA370" s="566">
        <f t="shared" si="604"/>
        <v>9084871.72619153</v>
      </c>
      <c r="AB370" s="566">
        <f t="shared" si="605"/>
        <v>8230445.3982662801</v>
      </c>
      <c r="AC370" s="567">
        <f t="shared" si="606"/>
        <v>1.1038128906249998</v>
      </c>
      <c r="AD370" s="568" t="str">
        <f t="shared" si="607"/>
        <v>2018</v>
      </c>
      <c r="AE370" s="569">
        <v>43404</v>
      </c>
      <c r="AF370" s="568">
        <v>2019</v>
      </c>
      <c r="AG370" s="569"/>
      <c r="AH370" s="566">
        <f t="shared" si="608"/>
        <v>8029702.8275768589</v>
      </c>
      <c r="AI370" s="80">
        <f t="shared" si="609"/>
        <v>7994734.9320768593</v>
      </c>
      <c r="AJ370" s="571"/>
      <c r="AK370" s="875">
        <f t="shared" si="544"/>
        <v>0</v>
      </c>
      <c r="AL370" s="28">
        <f t="shared" si="545"/>
        <v>0</v>
      </c>
      <c r="AM370" s="28">
        <f t="shared" si="545"/>
        <v>0</v>
      </c>
      <c r="AN370" s="28">
        <f t="shared" si="545"/>
        <v>0</v>
      </c>
      <c r="AO370" s="28">
        <f t="shared" si="545"/>
        <v>0</v>
      </c>
      <c r="AP370" s="28">
        <f t="shared" si="545"/>
        <v>0</v>
      </c>
      <c r="AQ370" s="28">
        <f t="shared" si="545"/>
        <v>0</v>
      </c>
      <c r="AR370" s="28">
        <f t="shared" si="545"/>
        <v>0</v>
      </c>
      <c r="AS370" s="28">
        <f t="shared" si="545"/>
        <v>0</v>
      </c>
      <c r="AT370" s="28">
        <f t="shared" si="545"/>
        <v>0</v>
      </c>
      <c r="AU370" s="28">
        <f t="shared" si="545"/>
        <v>0</v>
      </c>
      <c r="AV370" s="28">
        <f t="shared" si="546"/>
        <v>0</v>
      </c>
      <c r="AW370" s="28">
        <f t="shared" si="546"/>
        <v>0</v>
      </c>
      <c r="AX370" s="28">
        <f t="shared" si="546"/>
        <v>0</v>
      </c>
      <c r="AY370" s="28">
        <f t="shared" si="546"/>
        <v>0</v>
      </c>
      <c r="AZ370" s="28">
        <f t="shared" si="546"/>
        <v>0</v>
      </c>
      <c r="BA370" s="28">
        <f t="shared" si="546"/>
        <v>0</v>
      </c>
      <c r="BB370" s="28">
        <f t="shared" si="546"/>
        <v>0</v>
      </c>
      <c r="BC370" s="28">
        <f t="shared" si="546"/>
        <v>0</v>
      </c>
      <c r="BD370" s="28">
        <f t="shared" si="546"/>
        <v>0</v>
      </c>
      <c r="BE370" s="28">
        <f t="shared" si="546"/>
        <v>1</v>
      </c>
      <c r="BF370" s="27">
        <f>SUM(AL370:BE370)</f>
        <v>1</v>
      </c>
      <c r="BG370" s="809">
        <f t="shared" ref="BG370:BI370" si="611">IF(LabIn=0,1,BN392)</f>
        <v>1.0032293803584966</v>
      </c>
      <c r="BH370" s="809">
        <f t="shared" si="611"/>
        <v>1.0068297916787974</v>
      </c>
      <c r="BI370" s="809">
        <f t="shared" si="611"/>
        <v>1.0112619780232279</v>
      </c>
      <c r="BJ370" s="809">
        <f t="shared" ref="BJ370" si="612">IF(LabIn=0,1,BQ392)</f>
        <v>1.01363571439179</v>
      </c>
      <c r="BK370" s="809">
        <f t="shared" ref="BK370" si="613">IF(LabIn=0,1,BR392)</f>
        <v>1.0188321539769705</v>
      </c>
      <c r="BL370" s="809">
        <f t="shared" ref="BL370" si="614">IF(LabIn=0,1,BS392)</f>
        <v>1.0244391938863653</v>
      </c>
      <c r="BM370" s="520">
        <f t="shared" si="537"/>
        <v>1.028452580399005</v>
      </c>
      <c r="BN370" s="521" t="s">
        <v>3148</v>
      </c>
      <c r="BO370" s="1"/>
      <c r="BP370" s="3"/>
    </row>
    <row r="371" spans="1:71" hidden="1" x14ac:dyDescent="0.15">
      <c r="A371" s="78" t="s">
        <v>3060</v>
      </c>
      <c r="B371" s="78" t="s">
        <v>3061</v>
      </c>
      <c r="C371" s="78" t="s">
        <v>27</v>
      </c>
      <c r="D371" s="78" t="s">
        <v>55</v>
      </c>
      <c r="E371" s="78" t="s">
        <v>29</v>
      </c>
      <c r="M371" s="1"/>
      <c r="O371" s="1"/>
      <c r="P371" s="1"/>
      <c r="Q371" s="14">
        <f>IF(ISTEXT('Incurred 2.5% cpi'!Q371),"",'Incurred 2.5% cpi'!Q371/'Incurred 2.5% cpi'!Q$17*Incurred!Q$17)</f>
        <v>190856.07</v>
      </c>
      <c r="R371" s="110">
        <f>IF(ISTEXT('Incurred 2.5% cpi'!R371),"",'Incurred 2.5% cpi'!R371/'Incurred 2.5% cpi'!R$17*Incurred!R$17*BG371)</f>
        <v>53819.674080912198</v>
      </c>
      <c r="S371" s="102" t="str">
        <f>IF(ISTEXT('Incurred 2.5% cpi'!S371),"",'Incurred 2.5% cpi'!S371/'Incurred 2.5% cpi'!S$17*Incurred!S$17*BH371)</f>
        <v/>
      </c>
      <c r="T371" s="16" t="str">
        <f>IF(ISTEXT('Incurred 2.5% cpi'!T371),"",'Incurred 2.5% cpi'!T371/'Incurred 2.5% cpi'!T$17*Incurred!T$17*BI371)</f>
        <v/>
      </c>
      <c r="U371" s="16" t="str">
        <f>IF(ISTEXT('Incurred 2.5% cpi'!U371),"",'Incurred 2.5% cpi'!U371/'Incurred 2.5% cpi'!U$17*Incurred!U$17*BJ371)</f>
        <v/>
      </c>
      <c r="V371" s="16" t="str">
        <f>IF(ISTEXT('Incurred 2.5% cpi'!V371),"",'Incurred 2.5% cpi'!V371/'Incurred 2.5% cpi'!V$17*Incurred!V$17*BK371)</f>
        <v/>
      </c>
      <c r="W371" s="110" t="str">
        <f>IF(ISTEXT('Incurred 2.5% cpi'!W371),"",'Incurred 2.5% cpi'!W371/'Incurred 2.5% cpi'!W$17*Incurred!W$17*BL371)</f>
        <v/>
      </c>
      <c r="X371" s="102" t="str">
        <f>IF(ISTEXT('Incurred 2.5% cpi'!X371),"",'Incurred 2.5% cpi'!X371/'Incurred 2.5% cpi'!X$17*Incurred!X$17*BM371)</f>
        <v/>
      </c>
      <c r="Y371" s="80">
        <f t="shared" si="602"/>
        <v>244675.74408091221</v>
      </c>
      <c r="Z371" s="80">
        <f t="shared" si="603"/>
        <v>244675.74408091221</v>
      </c>
      <c r="AA371" s="566">
        <f t="shared" si="604"/>
        <v>282226.54947521939</v>
      </c>
      <c r="AB371" s="566">
        <f t="shared" si="605"/>
        <v>249447.1458309122</v>
      </c>
      <c r="AC371" s="567">
        <f t="shared" si="606"/>
        <v>1.1314082128906247</v>
      </c>
      <c r="AD371" s="568" t="str">
        <f t="shared" si="607"/>
        <v>2018</v>
      </c>
      <c r="AE371" s="569">
        <v>43073</v>
      </c>
      <c r="AF371" s="568">
        <v>2018</v>
      </c>
      <c r="AG371" s="569"/>
      <c r="AH371" s="566">
        <f t="shared" si="608"/>
        <v>249447.1458309122</v>
      </c>
      <c r="AI371" s="80">
        <f t="shared" si="609"/>
        <v>53819.674080912198</v>
      </c>
      <c r="AJ371" s="571"/>
      <c r="AK371" s="875">
        <f t="shared" si="544"/>
        <v>0</v>
      </c>
      <c r="AL371" s="28">
        <f t="shared" si="545"/>
        <v>0</v>
      </c>
      <c r="AM371" s="28">
        <f t="shared" si="545"/>
        <v>0</v>
      </c>
      <c r="AN371" s="28">
        <f t="shared" si="545"/>
        <v>0</v>
      </c>
      <c r="AO371" s="28">
        <f t="shared" si="545"/>
        <v>1</v>
      </c>
      <c r="AP371" s="28">
        <f t="shared" si="545"/>
        <v>0</v>
      </c>
      <c r="AQ371" s="28">
        <f t="shared" si="545"/>
        <v>0</v>
      </c>
      <c r="AR371" s="28">
        <f t="shared" si="545"/>
        <v>0</v>
      </c>
      <c r="AS371" s="28">
        <f t="shared" si="545"/>
        <v>0</v>
      </c>
      <c r="AT371" s="28">
        <f t="shared" si="545"/>
        <v>0</v>
      </c>
      <c r="AU371" s="28">
        <f t="shared" si="545"/>
        <v>0</v>
      </c>
      <c r="AV371" s="28">
        <f t="shared" si="546"/>
        <v>0</v>
      </c>
      <c r="AW371" s="28">
        <f t="shared" si="546"/>
        <v>0</v>
      </c>
      <c r="AX371" s="28">
        <f t="shared" si="546"/>
        <v>0</v>
      </c>
      <c r="AY371" s="28">
        <f t="shared" si="546"/>
        <v>0</v>
      </c>
      <c r="AZ371" s="28">
        <f t="shared" si="546"/>
        <v>0</v>
      </c>
      <c r="BA371" s="28">
        <f t="shared" si="546"/>
        <v>0</v>
      </c>
      <c r="BB371" s="28">
        <f t="shared" si="546"/>
        <v>0</v>
      </c>
      <c r="BC371" s="28">
        <f t="shared" si="546"/>
        <v>0</v>
      </c>
      <c r="BD371" s="28">
        <f t="shared" si="546"/>
        <v>0</v>
      </c>
      <c r="BE371" s="28">
        <f t="shared" si="546"/>
        <v>0</v>
      </c>
      <c r="BF371" s="27">
        <f t="shared" si="610"/>
        <v>1</v>
      </c>
      <c r="BG371" s="520">
        <f t="shared" si="531"/>
        <v>1.0046190746045656</v>
      </c>
      <c r="BH371" s="520">
        <f t="shared" si="532"/>
        <v>1.0088268933348963</v>
      </c>
      <c r="BI371" s="520">
        <f t="shared" si="533"/>
        <v>1.0133808891912874</v>
      </c>
      <c r="BJ371" s="520">
        <f t="shared" si="534"/>
        <v>1.018641287824382</v>
      </c>
      <c r="BK371" s="520">
        <f t="shared" si="535"/>
        <v>1.0263050529092395</v>
      </c>
      <c r="BL371" s="520">
        <f t="shared" si="536"/>
        <v>1.0349254280901359</v>
      </c>
      <c r="BM371" s="520">
        <f t="shared" si="537"/>
        <v>1.0406965352376705</v>
      </c>
      <c r="BN371" s="521" t="str">
        <f t="shared" si="538"/>
        <v>Category</v>
      </c>
      <c r="BP371" s="3"/>
    </row>
    <row r="372" spans="1:71" hidden="1" x14ac:dyDescent="0.15">
      <c r="A372" s="78" t="s">
        <v>3062</v>
      </c>
      <c r="B372" s="78" t="s">
        <v>3063</v>
      </c>
      <c r="C372" s="78" t="s">
        <v>27</v>
      </c>
      <c r="D372" s="78" t="s">
        <v>40</v>
      </c>
      <c r="E372" s="78" t="s">
        <v>29</v>
      </c>
      <c r="M372" s="1"/>
      <c r="O372" s="1"/>
      <c r="P372" s="1"/>
      <c r="Q372" s="14">
        <f>IF(ISTEXT('Incurred 2.5% cpi'!Q372),"",'Incurred 2.5% cpi'!Q372/'Incurred 2.5% cpi'!Q$17*Incurred!Q$17)</f>
        <v>3906700</v>
      </c>
      <c r="R372" s="110" t="str">
        <f>IF(ISTEXT('Incurred 2.5% cpi'!R372),"",'Incurred 2.5% cpi'!R372/'Incurred 2.5% cpi'!R$17*Incurred!R$17*BG372)</f>
        <v/>
      </c>
      <c r="S372" s="102" t="str">
        <f>IF(ISTEXT('Incurred 2.5% cpi'!S372),"",'Incurred 2.5% cpi'!S372/'Incurred 2.5% cpi'!S$17*Incurred!S$17*BH372)</f>
        <v/>
      </c>
      <c r="T372" s="16" t="str">
        <f>IF(ISTEXT('Incurred 2.5% cpi'!T372),"",'Incurred 2.5% cpi'!T372/'Incurred 2.5% cpi'!T$17*Incurred!T$17*BI372)</f>
        <v/>
      </c>
      <c r="U372" s="16" t="str">
        <f>IF(ISTEXT('Incurred 2.5% cpi'!U372),"",'Incurred 2.5% cpi'!U372/'Incurred 2.5% cpi'!U$17*Incurred!U$17*BJ372)</f>
        <v/>
      </c>
      <c r="V372" s="16" t="str">
        <f>IF(ISTEXT('Incurred 2.5% cpi'!V372),"",'Incurred 2.5% cpi'!V372/'Incurred 2.5% cpi'!V$17*Incurred!V$17*BK372)</f>
        <v/>
      </c>
      <c r="W372" s="110" t="str">
        <f>IF(ISTEXT('Incurred 2.5% cpi'!W372),"",'Incurred 2.5% cpi'!W372/'Incurred 2.5% cpi'!W$17*Incurred!W$17*BL372)</f>
        <v/>
      </c>
      <c r="X372" s="102" t="str">
        <f>IF(ISTEXT('Incurred 2.5% cpi'!X372),"",'Incurred 2.5% cpi'!X372/'Incurred 2.5% cpi'!X$17*Incurred!X$17*BM372)</f>
        <v/>
      </c>
      <c r="Y372" s="80">
        <f t="shared" si="602"/>
        <v>3906700</v>
      </c>
      <c r="Z372" s="80">
        <f t="shared" si="603"/>
        <v>3906700</v>
      </c>
      <c r="AA372" s="566">
        <f t="shared" si="604"/>
        <v>4530574.2769322982</v>
      </c>
      <c r="AB372" s="566">
        <f t="shared" si="605"/>
        <v>4004367.5</v>
      </c>
      <c r="AC372" s="567">
        <f t="shared" si="606"/>
        <v>1.1314082128906247</v>
      </c>
      <c r="AD372" s="568" t="str">
        <f t="shared" si="607"/>
        <v>2017</v>
      </c>
      <c r="AE372" s="569">
        <v>42915</v>
      </c>
      <c r="AF372" s="568">
        <v>2018</v>
      </c>
      <c r="AG372" s="569"/>
      <c r="AH372" s="566">
        <f t="shared" si="608"/>
        <v>4004367.4999999995</v>
      </c>
      <c r="AI372" s="80">
        <f t="shared" si="609"/>
        <v>3906700</v>
      </c>
      <c r="AJ372" s="571"/>
      <c r="AK372" s="875">
        <f t="shared" si="544"/>
        <v>0</v>
      </c>
      <c r="AL372" s="28">
        <f t="shared" si="545"/>
        <v>0</v>
      </c>
      <c r="AM372" s="28">
        <f t="shared" si="545"/>
        <v>0</v>
      </c>
      <c r="AN372" s="28">
        <f t="shared" si="545"/>
        <v>0</v>
      </c>
      <c r="AO372" s="28">
        <f t="shared" si="545"/>
        <v>0</v>
      </c>
      <c r="AP372" s="28">
        <f t="shared" si="545"/>
        <v>0</v>
      </c>
      <c r="AQ372" s="28">
        <f t="shared" si="545"/>
        <v>0</v>
      </c>
      <c r="AR372" s="28">
        <f t="shared" si="545"/>
        <v>0</v>
      </c>
      <c r="AS372" s="28">
        <f t="shared" si="545"/>
        <v>0</v>
      </c>
      <c r="AT372" s="28">
        <f t="shared" si="545"/>
        <v>0</v>
      </c>
      <c r="AU372" s="28">
        <f t="shared" si="545"/>
        <v>0</v>
      </c>
      <c r="AV372" s="28">
        <f t="shared" si="546"/>
        <v>0</v>
      </c>
      <c r="AW372" s="28">
        <f t="shared" si="546"/>
        <v>0</v>
      </c>
      <c r="AX372" s="28">
        <f t="shared" si="546"/>
        <v>0</v>
      </c>
      <c r="AY372" s="28">
        <f t="shared" si="546"/>
        <v>0</v>
      </c>
      <c r="AZ372" s="28">
        <f t="shared" si="546"/>
        <v>0</v>
      </c>
      <c r="BA372" s="28">
        <f t="shared" si="546"/>
        <v>1</v>
      </c>
      <c r="BB372" s="28">
        <f t="shared" si="546"/>
        <v>0</v>
      </c>
      <c r="BC372" s="28">
        <f t="shared" si="546"/>
        <v>0</v>
      </c>
      <c r="BD372" s="28">
        <f t="shared" si="546"/>
        <v>0</v>
      </c>
      <c r="BE372" s="28">
        <f t="shared" si="546"/>
        <v>0</v>
      </c>
      <c r="BF372" s="27">
        <f t="shared" si="610"/>
        <v>1</v>
      </c>
      <c r="BG372" s="520">
        <f t="shared" si="531"/>
        <v>1.0034498951996242</v>
      </c>
      <c r="BH372" s="520">
        <f t="shared" si="532"/>
        <v>1.0065926315443261</v>
      </c>
      <c r="BI372" s="520">
        <f t="shared" si="533"/>
        <v>1.0099939207178206</v>
      </c>
      <c r="BJ372" s="520">
        <f t="shared" si="534"/>
        <v>1.0139228081132494</v>
      </c>
      <c r="BK372" s="520">
        <f t="shared" si="535"/>
        <v>1.0196467222390713</v>
      </c>
      <c r="BL372" s="520">
        <f t="shared" si="536"/>
        <v>1.0260851094706045</v>
      </c>
      <c r="BM372" s="520">
        <f t="shared" si="537"/>
        <v>1.0303954349252136</v>
      </c>
      <c r="BN372" s="521" t="str">
        <f t="shared" si="538"/>
        <v>Category</v>
      </c>
      <c r="BP372" s="3"/>
    </row>
    <row r="373" spans="1:71" x14ac:dyDescent="0.15">
      <c r="A373" s="690"/>
      <c r="B373" s="690"/>
      <c r="C373" s="690"/>
      <c r="D373" s="690"/>
      <c r="E373" s="690"/>
      <c r="F373" s="411"/>
      <c r="G373" s="411"/>
      <c r="H373" s="411"/>
      <c r="I373" s="411"/>
      <c r="J373" s="411"/>
      <c r="K373" s="411"/>
      <c r="L373" s="411"/>
      <c r="M373" s="411"/>
      <c r="N373" s="113"/>
      <c r="O373" s="411"/>
      <c r="P373" s="411"/>
      <c r="Q373" s="691"/>
      <c r="R373" s="692"/>
      <c r="S373" s="1"/>
      <c r="T373" s="1"/>
      <c r="U373" s="1"/>
      <c r="V373" s="1"/>
      <c r="W373" s="1"/>
      <c r="Y373" s="80"/>
      <c r="Z373" s="80"/>
      <c r="AA373" s="566"/>
      <c r="AB373" s="566"/>
      <c r="AC373" s="567"/>
      <c r="AD373" s="568"/>
      <c r="AE373" s="569"/>
      <c r="AF373" s="568"/>
      <c r="AG373" s="570"/>
      <c r="AH373" s="566"/>
      <c r="AI373" s="80"/>
      <c r="AJ373" s="571"/>
      <c r="AK373" s="875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</row>
    <row r="374" spans="1:71" x14ac:dyDescent="0.15">
      <c r="A374" s="690"/>
      <c r="B374" s="690"/>
      <c r="C374" s="690"/>
      <c r="D374" s="690"/>
      <c r="E374" s="690"/>
      <c r="F374" s="411"/>
      <c r="G374" s="411"/>
      <c r="H374" s="411"/>
      <c r="I374" s="411"/>
      <c r="J374" s="411"/>
      <c r="K374" s="411"/>
      <c r="L374" s="411"/>
      <c r="M374" s="411"/>
      <c r="N374" s="113"/>
      <c r="O374" s="411"/>
      <c r="P374" s="411"/>
      <c r="Q374" s="691"/>
      <c r="R374" s="692"/>
      <c r="S374" s="1"/>
      <c r="T374" s="1"/>
      <c r="U374" s="1"/>
      <c r="V374" s="1"/>
      <c r="W374" s="1"/>
      <c r="Y374" s="80"/>
      <c r="Z374" s="80"/>
      <c r="AA374" s="566"/>
      <c r="AB374" s="566"/>
      <c r="AC374" s="567"/>
      <c r="AD374" s="568"/>
      <c r="AE374" s="569"/>
      <c r="AF374" s="568"/>
      <c r="AG374" s="570"/>
      <c r="AH374" s="566"/>
      <c r="AI374" s="80"/>
      <c r="AJ374" s="571"/>
      <c r="AK374" s="875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</row>
    <row r="375" spans="1:71" ht="21" x14ac:dyDescent="0.15">
      <c r="A375" s="690"/>
      <c r="B375" s="880" t="s">
        <v>3150</v>
      </c>
      <c r="C375" s="690"/>
      <c r="D375" s="690"/>
      <c r="E375" s="690"/>
      <c r="F375" s="411"/>
      <c r="G375" s="411"/>
      <c r="H375" s="411"/>
      <c r="I375" s="411"/>
      <c r="J375" s="411"/>
      <c r="K375" s="411"/>
      <c r="L375" s="411"/>
      <c r="M375" s="411"/>
      <c r="N375" s="113"/>
      <c r="O375" s="411"/>
      <c r="P375" s="411"/>
      <c r="Q375" s="691"/>
      <c r="R375" s="692"/>
      <c r="S375" s="1"/>
      <c r="T375" s="1"/>
      <c r="U375" s="1"/>
      <c r="V375" s="1"/>
      <c r="W375" s="1"/>
      <c r="Y375" s="80"/>
      <c r="Z375" s="80"/>
      <c r="AA375" s="566"/>
      <c r="AB375" s="566"/>
      <c r="AC375" s="567"/>
      <c r="AD375" s="568"/>
      <c r="AE375" s="569"/>
      <c r="AF375" s="568"/>
      <c r="AG375" s="570"/>
      <c r="AH375" s="566"/>
      <c r="AI375" s="80"/>
      <c r="AJ375" s="571"/>
      <c r="AK375" s="875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</row>
    <row r="376" spans="1:71" x14ac:dyDescent="0.15">
      <c r="A376" s="690"/>
      <c r="B376" s="690"/>
      <c r="C376" s="690"/>
      <c r="D376" s="690"/>
      <c r="E376" s="690"/>
      <c r="F376" s="411"/>
      <c r="G376" s="411"/>
      <c r="H376" s="411"/>
      <c r="I376" s="411"/>
      <c r="J376" s="411"/>
      <c r="K376" s="411"/>
      <c r="L376" s="411"/>
      <c r="M376" s="411"/>
      <c r="N376" s="113"/>
      <c r="O376" s="411"/>
      <c r="P376" s="411"/>
      <c r="Q376" s="691"/>
      <c r="R376" s="692"/>
      <c r="S376" s="1"/>
      <c r="T376" s="1"/>
      <c r="U376" s="1"/>
      <c r="V376" s="1"/>
      <c r="W376" s="1"/>
      <c r="Y376" s="80"/>
      <c r="Z376" s="80"/>
      <c r="AA376" s="566"/>
      <c r="AB376" s="566"/>
      <c r="AC376" s="567"/>
      <c r="AD376" s="568"/>
      <c r="AE376" s="569"/>
      <c r="AF376" s="568"/>
      <c r="AG376" s="570"/>
      <c r="AH376" s="566"/>
      <c r="AI376" s="80"/>
      <c r="AJ376" s="571"/>
      <c r="AK376" s="875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</row>
    <row r="377" spans="1:71" x14ac:dyDescent="0.15">
      <c r="A377" s="690"/>
      <c r="B377" s="690"/>
      <c r="C377" s="690"/>
      <c r="D377" s="690"/>
      <c r="E377" s="690"/>
      <c r="F377" s="411"/>
      <c r="G377" s="411"/>
      <c r="H377" s="411"/>
      <c r="I377" s="411"/>
      <c r="J377" s="411"/>
      <c r="K377" s="411"/>
      <c r="L377" s="411"/>
      <c r="M377" s="411"/>
      <c r="N377" s="113"/>
      <c r="O377" s="411"/>
      <c r="P377" s="411"/>
      <c r="Q377" s="691"/>
      <c r="R377" s="692"/>
      <c r="S377" s="1"/>
      <c r="T377" s="1"/>
      <c r="U377" s="1"/>
      <c r="V377" s="1"/>
      <c r="W377" s="1"/>
      <c r="Y377" s="80"/>
      <c r="Z377" s="80"/>
      <c r="AA377" s="566"/>
      <c r="AB377" s="566"/>
      <c r="AC377" s="567"/>
      <c r="AD377" s="568"/>
      <c r="AE377" s="569"/>
      <c r="AF377" s="568"/>
      <c r="AG377" s="570"/>
      <c r="AH377" s="566"/>
      <c r="AI377" s="80"/>
      <c r="AJ377" s="571"/>
      <c r="AK377" s="875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</row>
    <row r="378" spans="1:71" x14ac:dyDescent="0.15">
      <c r="A378" s="690"/>
      <c r="B378" s="690"/>
      <c r="C378" s="690"/>
      <c r="D378" s="690"/>
      <c r="E378" s="690"/>
      <c r="F378" s="411"/>
      <c r="G378" s="411"/>
      <c r="H378" s="411"/>
      <c r="I378" s="411"/>
      <c r="J378" s="411"/>
      <c r="K378" s="411"/>
      <c r="L378" s="411"/>
      <c r="M378" s="411"/>
      <c r="N378" s="113"/>
      <c r="O378" s="411"/>
      <c r="P378" s="411"/>
      <c r="Q378" s="691"/>
      <c r="R378" s="692"/>
      <c r="S378" s="1"/>
      <c r="T378" s="1"/>
      <c r="U378" s="1"/>
      <c r="V378" s="1"/>
      <c r="W378" s="1"/>
      <c r="Y378" s="80"/>
      <c r="Z378" s="80"/>
      <c r="AA378" s="566"/>
      <c r="AB378" s="566"/>
      <c r="AC378" s="567"/>
      <c r="AD378" s="568"/>
      <c r="AE378" s="569"/>
      <c r="AF378" s="568"/>
      <c r="AG378" s="570"/>
      <c r="AH378" s="566"/>
      <c r="AI378" s="80"/>
      <c r="AJ378" s="571"/>
      <c r="AK378" s="875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</row>
    <row r="379" spans="1:71" ht="11.25" thickBot="1" x14ac:dyDescent="0.2">
      <c r="A379" s="690"/>
      <c r="C379" s="690"/>
      <c r="D379" s="690"/>
      <c r="E379" s="690"/>
      <c r="F379" s="411"/>
      <c r="G379" s="411"/>
      <c r="H379" s="411"/>
      <c r="I379" s="411"/>
      <c r="J379" s="411"/>
      <c r="K379" s="411"/>
      <c r="L379" s="411"/>
      <c r="M379" s="411"/>
      <c r="N379" s="113"/>
      <c r="O379" s="411"/>
      <c r="P379" s="913" t="s">
        <v>3142</v>
      </c>
      <c r="Q379" s="913"/>
      <c r="R379" s="914"/>
      <c r="S379" s="1"/>
      <c r="T379" s="1"/>
      <c r="U379" s="1"/>
      <c r="V379" s="1"/>
      <c r="W379" s="1"/>
      <c r="Y379" s="80"/>
      <c r="Z379" s="80"/>
      <c r="AA379" s="566"/>
      <c r="AB379" s="566"/>
      <c r="AC379" s="567"/>
      <c r="AD379" s="568"/>
      <c r="AE379" s="569"/>
      <c r="AF379" s="568"/>
      <c r="AG379" s="570"/>
      <c r="AH379" s="566"/>
      <c r="AI379" s="80"/>
      <c r="AJ379" s="571"/>
      <c r="AK379" s="875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820"/>
      <c r="BF379" s="821"/>
      <c r="BG379" s="822" t="s">
        <v>3144</v>
      </c>
      <c r="BH379" s="823"/>
      <c r="BI379" s="823"/>
      <c r="BJ379" s="823"/>
      <c r="BK379" s="823"/>
      <c r="BL379" s="823"/>
      <c r="BM379" s="823"/>
      <c r="BN379" s="821"/>
      <c r="BO379" s="821"/>
      <c r="BP379" s="824"/>
      <c r="BQ379" s="824"/>
      <c r="BR379" s="824"/>
    </row>
    <row r="380" spans="1:71" x14ac:dyDescent="0.15">
      <c r="D380" s="11" t="s">
        <v>23</v>
      </c>
      <c r="N380" s="557" t="s">
        <v>23</v>
      </c>
      <c r="O380" s="558"/>
      <c r="P380" s="559" t="s">
        <v>2362</v>
      </c>
      <c r="Q380" s="559" t="s">
        <v>2368</v>
      </c>
      <c r="R380" s="560" t="s">
        <v>2369</v>
      </c>
      <c r="S380" s="561" t="s">
        <v>2363</v>
      </c>
      <c r="T380" s="559" t="s">
        <v>2364</v>
      </c>
      <c r="U380" s="559" t="s">
        <v>2365</v>
      </c>
      <c r="V380" s="559" t="s">
        <v>2366</v>
      </c>
      <c r="W380" s="562" t="s">
        <v>2367</v>
      </c>
      <c r="AK380" s="411"/>
      <c r="BE380" s="825" t="s">
        <v>3134</v>
      </c>
      <c r="BF380" s="825" t="s">
        <v>248</v>
      </c>
      <c r="BG380" s="826">
        <v>622763.67000000004</v>
      </c>
      <c r="BH380" s="826">
        <v>49035.16</v>
      </c>
      <c r="BI380" s="826" t="s">
        <v>2982</v>
      </c>
      <c r="BJ380" s="826" t="s">
        <v>2982</v>
      </c>
      <c r="BK380" s="826" t="s">
        <v>2982</v>
      </c>
      <c r="BL380" s="826" t="s">
        <v>2982</v>
      </c>
      <c r="BM380" s="825"/>
      <c r="BN380" s="809">
        <v>1.0030444840366091</v>
      </c>
      <c r="BO380" s="809">
        <v>1.0064387558699168</v>
      </c>
      <c r="BP380" s="809">
        <v>1.0106171799249812</v>
      </c>
      <c r="BQ380" s="809">
        <v>1.015359273385074</v>
      </c>
      <c r="BR380" s="809">
        <v>1.0212125447227214</v>
      </c>
      <c r="BS380" s="809">
        <v>1.0275283164069149</v>
      </c>
    </row>
    <row r="381" spans="1:71" x14ac:dyDescent="0.15">
      <c r="D381" s="1" t="s">
        <v>28</v>
      </c>
      <c r="N381" s="116" t="s">
        <v>28</v>
      </c>
      <c r="P381" s="91">
        <f t="shared" ref="P381:W389" si="615">SUMIFS(P$25:P$373,$D$25:$D$373,$N381)</f>
        <v>36650442.990000002</v>
      </c>
      <c r="Q381" s="91">
        <f t="shared" si="615"/>
        <v>14908778.469999999</v>
      </c>
      <c r="R381" s="96">
        <f>SUMIFS(R$25:R$373,$D$25:$D$373,$N381)</f>
        <v>21243098.675155181</v>
      </c>
      <c r="S381" s="91">
        <f t="shared" si="615"/>
        <v>7628229.7397063263</v>
      </c>
      <c r="T381" s="91">
        <f t="shared" si="615"/>
        <v>2144803.508056351</v>
      </c>
      <c r="U381" s="91">
        <f t="shared" si="615"/>
        <v>154169.1221414358</v>
      </c>
      <c r="V381" s="91">
        <f t="shared" si="615"/>
        <v>0</v>
      </c>
      <c r="W381" s="477">
        <f t="shared" si="615"/>
        <v>0</v>
      </c>
      <c r="AK381" s="411"/>
      <c r="BE381" s="825"/>
      <c r="BF381" s="825" t="s">
        <v>318</v>
      </c>
      <c r="BG381" s="826">
        <v>708.09038280000095</v>
      </c>
      <c r="BH381" s="826">
        <v>50262.19</v>
      </c>
      <c r="BI381" s="826">
        <v>482403.6</v>
      </c>
      <c r="BJ381" s="826">
        <v>11474.56</v>
      </c>
      <c r="BK381" s="826" t="s">
        <v>2982</v>
      </c>
      <c r="BL381" s="826" t="s">
        <v>2982</v>
      </c>
      <c r="BM381" s="825"/>
      <c r="BN381" s="809">
        <v>1.0046190746045656</v>
      </c>
      <c r="BO381" s="809">
        <v>1.0097688453498526</v>
      </c>
      <c r="BP381" s="809">
        <v>1.0161083275766507</v>
      </c>
      <c r="BQ381" s="809">
        <v>1.0233030059558439</v>
      </c>
      <c r="BR381" s="809">
        <v>1.0321835573610239</v>
      </c>
      <c r="BS381" s="809">
        <v>1.0417658117738879</v>
      </c>
    </row>
    <row r="382" spans="1:71" x14ac:dyDescent="0.15">
      <c r="D382" s="1" t="s">
        <v>31</v>
      </c>
      <c r="N382" s="116" t="s">
        <v>31</v>
      </c>
      <c r="P382" s="91">
        <f t="shared" si="615"/>
        <v>2709379.7</v>
      </c>
      <c r="Q382" s="91">
        <f t="shared" si="615"/>
        <v>3793416.95</v>
      </c>
      <c r="R382" s="96">
        <f t="shared" si="615"/>
        <v>37196.536499969203</v>
      </c>
      <c r="S382" s="91">
        <f t="shared" si="615"/>
        <v>86866.319824794569</v>
      </c>
      <c r="T382" s="91">
        <f t="shared" si="615"/>
        <v>1318767.4648033672</v>
      </c>
      <c r="U382" s="91">
        <f t="shared" si="615"/>
        <v>5388971.4146279553</v>
      </c>
      <c r="V382" s="91">
        <f t="shared" si="615"/>
        <v>7057.2730445704938</v>
      </c>
      <c r="W382" s="477">
        <f t="shared" si="615"/>
        <v>0</v>
      </c>
      <c r="AK382" s="411"/>
      <c r="BE382" s="825"/>
      <c r="BF382" s="825" t="s">
        <v>617</v>
      </c>
      <c r="BG382" s="826">
        <v>4526528.6900000004</v>
      </c>
      <c r="BH382" s="826">
        <v>1045591.29</v>
      </c>
      <c r="BI382" s="826" t="s">
        <v>2982</v>
      </c>
      <c r="BJ382" s="826" t="s">
        <v>2982</v>
      </c>
      <c r="BK382" s="826" t="s">
        <v>2982</v>
      </c>
      <c r="BL382" s="826" t="s">
        <v>2982</v>
      </c>
      <c r="BM382" s="825"/>
      <c r="BN382" s="809">
        <v>1.0030818160192299</v>
      </c>
      <c r="BO382" s="809">
        <v>1.0065177089927924</v>
      </c>
      <c r="BP382" s="809">
        <v>1.0107473695964249</v>
      </c>
      <c r="BQ382" s="809">
        <v>1.0155476114154875</v>
      </c>
      <c r="BR382" s="809">
        <v>1.0214726565647969</v>
      </c>
      <c r="BS382" s="809">
        <v>1.0278658733188006</v>
      </c>
    </row>
    <row r="383" spans="1:71" x14ac:dyDescent="0.15">
      <c r="D383" s="1" t="s">
        <v>44</v>
      </c>
      <c r="N383" s="116" t="s">
        <v>44</v>
      </c>
      <c r="P383" s="91">
        <f t="shared" si="615"/>
        <v>4484695.74</v>
      </c>
      <c r="Q383" s="91">
        <f t="shared" si="615"/>
        <v>7128801.6899999995</v>
      </c>
      <c r="R383" s="96">
        <f t="shared" si="615"/>
        <v>1586201.3316559428</v>
      </c>
      <c r="S383" s="91">
        <f t="shared" si="615"/>
        <v>0</v>
      </c>
      <c r="T383" s="91">
        <f t="shared" si="615"/>
        <v>0</v>
      </c>
      <c r="U383" s="91">
        <f t="shared" si="615"/>
        <v>0</v>
      </c>
      <c r="V383" s="91">
        <f t="shared" si="615"/>
        <v>0</v>
      </c>
      <c r="W383" s="477">
        <f t="shared" si="615"/>
        <v>0</v>
      </c>
      <c r="AK383" s="411"/>
      <c r="BE383" s="825"/>
      <c r="BF383" s="825" t="s">
        <v>633</v>
      </c>
      <c r="BG383" s="826">
        <v>8225968.29</v>
      </c>
      <c r="BH383" s="826">
        <v>3841270.77</v>
      </c>
      <c r="BI383" s="826">
        <v>4059</v>
      </c>
      <c r="BJ383" s="826" t="s">
        <v>2982</v>
      </c>
      <c r="BK383" s="826" t="s">
        <v>2982</v>
      </c>
      <c r="BL383" s="826" t="s">
        <v>2982</v>
      </c>
      <c r="BM383" s="825"/>
      <c r="BN383" s="809">
        <v>1.0030818160192299</v>
      </c>
      <c r="BO383" s="809">
        <v>1.0065177089927924</v>
      </c>
      <c r="BP383" s="809">
        <v>1.0107473695964249</v>
      </c>
      <c r="BQ383" s="809">
        <v>1.0155476114154875</v>
      </c>
      <c r="BR383" s="809">
        <v>1.0214726565647969</v>
      </c>
      <c r="BS383" s="809">
        <v>1.0278658733188006</v>
      </c>
    </row>
    <row r="384" spans="1:71" x14ac:dyDescent="0.15">
      <c r="D384" s="1" t="s">
        <v>40</v>
      </c>
      <c r="N384" s="116" t="s">
        <v>40</v>
      </c>
      <c r="P384" s="91">
        <f t="shared" si="615"/>
        <v>74080413.980000034</v>
      </c>
      <c r="Q384" s="91">
        <f t="shared" si="615"/>
        <v>75356559.24000001</v>
      </c>
      <c r="R384" s="96">
        <f t="shared" si="615"/>
        <v>65421842.47993166</v>
      </c>
      <c r="S384" s="91">
        <f t="shared" si="615"/>
        <v>34867277.239647076</v>
      </c>
      <c r="T384" s="91">
        <f t="shared" si="615"/>
        <v>36729844.68883504</v>
      </c>
      <c r="U384" s="91">
        <f t="shared" si="615"/>
        <v>39719663.475713648</v>
      </c>
      <c r="V384" s="91">
        <f t="shared" si="615"/>
        <v>45613130.229157634</v>
      </c>
      <c r="W384" s="477">
        <f t="shared" si="615"/>
        <v>21607652.926651556</v>
      </c>
      <c r="AK384" s="411"/>
      <c r="BE384" s="825"/>
      <c r="BF384" s="825" t="s">
        <v>2425</v>
      </c>
      <c r="BG384" s="826">
        <v>2592119.3569999998</v>
      </c>
      <c r="BH384" s="826" t="s">
        <v>2982</v>
      </c>
      <c r="BI384" s="826">
        <v>289996.40999999997</v>
      </c>
      <c r="BJ384" s="826">
        <v>1746240.31</v>
      </c>
      <c r="BK384" s="826">
        <v>2049431.53</v>
      </c>
      <c r="BL384" s="826">
        <v>2171.1999999999998</v>
      </c>
      <c r="BM384" s="825"/>
      <c r="BN384" s="809">
        <v>1.0027028436666743</v>
      </c>
      <c r="BO384" s="809">
        <v>1.0057162232795445</v>
      </c>
      <c r="BP384" s="809">
        <v>1.0094257605469787</v>
      </c>
      <c r="BQ384" s="809">
        <v>1.01363571439179</v>
      </c>
      <c r="BR384" s="809">
        <v>1.0188321539769705</v>
      </c>
      <c r="BS384" s="809">
        <v>1.0244391938863653</v>
      </c>
    </row>
    <row r="385" spans="3:71" x14ac:dyDescent="0.15">
      <c r="D385" s="1" t="s">
        <v>41</v>
      </c>
      <c r="N385" s="116" t="s">
        <v>41</v>
      </c>
      <c r="P385" s="91">
        <f t="shared" si="615"/>
        <v>24558707.409999996</v>
      </c>
      <c r="Q385" s="91">
        <f t="shared" si="615"/>
        <v>19665950.299999997</v>
      </c>
      <c r="R385" s="96">
        <f t="shared" si="615"/>
        <v>16683025.95081516</v>
      </c>
      <c r="S385" s="91">
        <f t="shared" si="615"/>
        <v>10256875.326942228</v>
      </c>
      <c r="T385" s="91">
        <f t="shared" si="615"/>
        <v>40300997.95487804</v>
      </c>
      <c r="U385" s="91">
        <f t="shared" si="615"/>
        <v>52904396.56067872</v>
      </c>
      <c r="V385" s="91">
        <f t="shared" si="615"/>
        <v>47397219.017840914</v>
      </c>
      <c r="W385" s="477">
        <f t="shared" si="615"/>
        <v>24691725.608178664</v>
      </c>
      <c r="AK385" s="411"/>
      <c r="BE385" s="825"/>
      <c r="BF385" s="825" t="s">
        <v>3058</v>
      </c>
      <c r="BG385" s="826">
        <v>7969000</v>
      </c>
      <c r="BH385" s="826" t="s">
        <v>2982</v>
      </c>
      <c r="BI385" s="826" t="s">
        <v>2982</v>
      </c>
      <c r="BJ385" s="826" t="s">
        <v>2982</v>
      </c>
      <c r="BK385" s="826" t="s">
        <v>2982</v>
      </c>
      <c r="BL385" s="826" t="s">
        <v>2982</v>
      </c>
      <c r="BM385" s="825"/>
      <c r="BN385" s="809">
        <v>1.0032293803584966</v>
      </c>
      <c r="BO385" s="809">
        <v>1.0068297916787974</v>
      </c>
      <c r="BP385" s="809">
        <v>1.0112619780232279</v>
      </c>
      <c r="BQ385" s="809">
        <v>1.0162920663055219</v>
      </c>
      <c r="BR385" s="809">
        <v>1.0225008160520974</v>
      </c>
      <c r="BS385" s="809">
        <v>1.0292001545214167</v>
      </c>
    </row>
    <row r="386" spans="3:71" x14ac:dyDescent="0.15">
      <c r="D386" s="1" t="s">
        <v>54</v>
      </c>
      <c r="N386" s="116" t="s">
        <v>54</v>
      </c>
      <c r="P386" s="91">
        <f t="shared" si="615"/>
        <v>12037717.619999999</v>
      </c>
      <c r="Q386" s="91">
        <f t="shared" si="615"/>
        <v>11996533.159999998</v>
      </c>
      <c r="R386" s="96">
        <f t="shared" si="615"/>
        <v>38836548.974328317</v>
      </c>
      <c r="S386" s="91">
        <f t="shared" si="615"/>
        <v>27853441.816945568</v>
      </c>
      <c r="T386" s="91">
        <f t="shared" si="615"/>
        <v>13181687.207258938</v>
      </c>
      <c r="U386" s="91">
        <f t="shared" si="615"/>
        <v>5298280.4618004905</v>
      </c>
      <c r="V386" s="91">
        <f t="shared" si="615"/>
        <v>3851869.8144854144</v>
      </c>
      <c r="W386" s="477">
        <f t="shared" si="615"/>
        <v>3355869.9088865952</v>
      </c>
      <c r="AK386" s="411"/>
      <c r="BE386" s="825"/>
      <c r="BF386" s="825"/>
      <c r="BG386" s="826"/>
      <c r="BH386" s="826"/>
      <c r="BI386" s="826"/>
      <c r="BJ386" s="826"/>
      <c r="BK386" s="826"/>
      <c r="BL386" s="826"/>
      <c r="BM386" s="825"/>
      <c r="BN386" s="825"/>
      <c r="BO386" s="825"/>
      <c r="BP386" s="825"/>
      <c r="BQ386" s="825"/>
      <c r="BR386" s="825"/>
      <c r="BS386" s="825"/>
    </row>
    <row r="387" spans="3:71" x14ac:dyDescent="0.15">
      <c r="D387" s="1" t="s">
        <v>60</v>
      </c>
      <c r="N387" s="116" t="s">
        <v>60</v>
      </c>
      <c r="P387" s="91">
        <f t="shared" si="615"/>
        <v>1767733.58</v>
      </c>
      <c r="Q387" s="91">
        <f t="shared" si="615"/>
        <v>5172903.28</v>
      </c>
      <c r="R387" s="96">
        <f t="shared" si="615"/>
        <v>3564690.0634171674</v>
      </c>
      <c r="S387" s="91">
        <f t="shared" si="615"/>
        <v>2372450.391277032</v>
      </c>
      <c r="T387" s="91">
        <f t="shared" si="615"/>
        <v>2437265.5401293496</v>
      </c>
      <c r="U387" s="91">
        <f t="shared" si="615"/>
        <v>2481290.357593514</v>
      </c>
      <c r="V387" s="91">
        <f t="shared" si="615"/>
        <v>2546728.7216132446</v>
      </c>
      <c r="W387" s="477">
        <f t="shared" si="615"/>
        <v>2612414.5679240176</v>
      </c>
      <c r="AK387" s="411"/>
      <c r="BE387" s="825" t="s">
        <v>3135</v>
      </c>
      <c r="BF387" s="825" t="s">
        <v>248</v>
      </c>
      <c r="BG387" s="826">
        <v>622763.67000000004</v>
      </c>
      <c r="BH387" s="826">
        <v>49035.16</v>
      </c>
      <c r="BI387" s="826">
        <v>482404</v>
      </c>
      <c r="BJ387" s="826">
        <v>11475</v>
      </c>
      <c r="BK387" s="826" t="s">
        <v>2982</v>
      </c>
      <c r="BL387" s="826" t="s">
        <v>2982</v>
      </c>
      <c r="BM387" s="825"/>
      <c r="BN387" s="828">
        <f>BN380</f>
        <v>1.0030444840366091</v>
      </c>
      <c r="BO387" s="828">
        <v>1.0064387558699168</v>
      </c>
      <c r="BP387" s="828">
        <v>1.0161083275766507</v>
      </c>
      <c r="BQ387" s="828">
        <v>1.0233030059558439</v>
      </c>
      <c r="BR387" s="828">
        <v>1.0212125447227214</v>
      </c>
      <c r="BS387" s="828">
        <v>1.0275283164069149</v>
      </c>
    </row>
    <row r="388" spans="3:71" x14ac:dyDescent="0.15">
      <c r="D388" s="1" t="s">
        <v>55</v>
      </c>
      <c r="N388" s="116" t="s">
        <v>55</v>
      </c>
      <c r="P388" s="91">
        <f t="shared" si="615"/>
        <v>9867886.209999999</v>
      </c>
      <c r="Q388" s="91">
        <f t="shared" si="615"/>
        <v>12243387.490000002</v>
      </c>
      <c r="R388" s="96">
        <f t="shared" si="615"/>
        <v>18477660.351864602</v>
      </c>
      <c r="S388" s="91">
        <f t="shared" si="615"/>
        <v>14956247.170657983</v>
      </c>
      <c r="T388" s="91">
        <f t="shared" si="615"/>
        <v>7942492.9406140083</v>
      </c>
      <c r="U388" s="91">
        <f t="shared" si="615"/>
        <v>9718184.4775662348</v>
      </c>
      <c r="V388" s="91">
        <f t="shared" si="615"/>
        <v>10351036.856890026</v>
      </c>
      <c r="W388" s="477">
        <f t="shared" si="615"/>
        <v>7405269.5366222672</v>
      </c>
      <c r="BE388" s="825"/>
      <c r="BF388" s="825" t="s">
        <v>318</v>
      </c>
      <c r="BG388" s="826">
        <v>453335.06999999995</v>
      </c>
      <c r="BH388" s="826">
        <v>0</v>
      </c>
      <c r="BI388" s="826">
        <v>0</v>
      </c>
      <c r="BJ388" s="826">
        <v>0</v>
      </c>
      <c r="BK388" s="826" t="s">
        <v>2982</v>
      </c>
      <c r="BL388" s="826" t="s">
        <v>2982</v>
      </c>
      <c r="BM388" s="825"/>
      <c r="BN388" s="828">
        <f>BN383</f>
        <v>1.0030818160192299</v>
      </c>
      <c r="BO388" s="828">
        <v>1.0097688453498526</v>
      </c>
      <c r="BP388" s="828">
        <v>1.0161083275766507</v>
      </c>
      <c r="BQ388" s="828">
        <v>1.0233030059558439</v>
      </c>
      <c r="BR388" s="828">
        <v>1.0321835573610239</v>
      </c>
      <c r="BS388" s="828">
        <v>1.0417658117738879</v>
      </c>
    </row>
    <row r="389" spans="3:71" x14ac:dyDescent="0.15">
      <c r="D389" s="1" t="s">
        <v>36</v>
      </c>
      <c r="N389" s="116" t="s">
        <v>36</v>
      </c>
      <c r="P389" s="91">
        <f t="shared" si="615"/>
        <v>873111.78999999992</v>
      </c>
      <c r="Q389" s="91">
        <f t="shared" si="615"/>
        <v>1528312.27</v>
      </c>
      <c r="R389" s="96">
        <f t="shared" si="615"/>
        <v>9548377.3032397442</v>
      </c>
      <c r="S389" s="91">
        <f t="shared" si="615"/>
        <v>1521128.4298623512</v>
      </c>
      <c r="T389" s="91">
        <f t="shared" si="615"/>
        <v>1215969.4563672999</v>
      </c>
      <c r="U389" s="91">
        <f t="shared" si="615"/>
        <v>1623332.8820994897</v>
      </c>
      <c r="V389" s="91">
        <f t="shared" si="615"/>
        <v>1246964.2668252015</v>
      </c>
      <c r="W389" s="477">
        <f t="shared" si="615"/>
        <v>749130.19981777645</v>
      </c>
      <c r="BE389" s="825"/>
      <c r="BF389" s="825" t="s">
        <v>617</v>
      </c>
      <c r="BG389" s="826">
        <v>4526528.6900000004</v>
      </c>
      <c r="BH389" s="826">
        <v>1095853.29</v>
      </c>
      <c r="BI389" s="826" t="s">
        <v>2982</v>
      </c>
      <c r="BJ389" s="826" t="s">
        <v>2982</v>
      </c>
      <c r="BK389" s="826" t="s">
        <v>2982</v>
      </c>
      <c r="BL389" s="826" t="s">
        <v>2982</v>
      </c>
      <c r="BM389" s="825"/>
      <c r="BN389" s="828">
        <f>BN382</f>
        <v>1.0030818160192299</v>
      </c>
      <c r="BO389" s="827">
        <v>1.0066669994800794</v>
      </c>
      <c r="BP389" s="828">
        <v>1.0107473695964249</v>
      </c>
      <c r="BQ389" s="828">
        <v>1.0155476114154875</v>
      </c>
      <c r="BR389" s="828">
        <v>1.0214726565647969</v>
      </c>
      <c r="BS389" s="828">
        <v>1.0278658733188006</v>
      </c>
    </row>
    <row r="390" spans="3:71" ht="11.25" thickBot="1" x14ac:dyDescent="0.2">
      <c r="D390" s="509" t="s">
        <v>639</v>
      </c>
      <c r="N390" s="563" t="s">
        <v>639</v>
      </c>
      <c r="O390" s="564"/>
      <c r="P390" s="60">
        <f t="shared" ref="P390:W390" si="616">SUM(P381:P389)</f>
        <v>167030089.02000007</v>
      </c>
      <c r="Q390" s="60">
        <f t="shared" si="616"/>
        <v>151794642.85000002</v>
      </c>
      <c r="R390" s="98">
        <f t="shared" si="616"/>
        <v>175398641.66690773</v>
      </c>
      <c r="S390" s="60">
        <f t="shared" si="616"/>
        <v>99542516.434863359</v>
      </c>
      <c r="T390" s="60">
        <f t="shared" si="616"/>
        <v>105271828.7609424</v>
      </c>
      <c r="U390" s="60">
        <f t="shared" si="616"/>
        <v>117288288.75222148</v>
      </c>
      <c r="V390" s="60">
        <f t="shared" si="616"/>
        <v>111014006.179857</v>
      </c>
      <c r="W390" s="565">
        <f t="shared" si="616"/>
        <v>60422062.748080879</v>
      </c>
      <c r="BE390" s="825"/>
      <c r="BF390" s="825" t="s">
        <v>633</v>
      </c>
      <c r="BG390" s="826">
        <v>7773341.29</v>
      </c>
      <c r="BH390" s="826">
        <v>3841270.77</v>
      </c>
      <c r="BI390" s="826">
        <v>4059</v>
      </c>
      <c r="BJ390" s="826" t="s">
        <v>2982</v>
      </c>
      <c r="BK390" s="826" t="s">
        <v>2982</v>
      </c>
      <c r="BL390" s="826" t="s">
        <v>2982</v>
      </c>
      <c r="BM390" s="825"/>
      <c r="BN390" s="828">
        <f>BN383</f>
        <v>1.0030818160192299</v>
      </c>
      <c r="BO390" s="828">
        <v>1.0065177089927924</v>
      </c>
      <c r="BP390" s="828">
        <v>1.0107473695964249</v>
      </c>
      <c r="BQ390" s="828">
        <v>1.0155476114154875</v>
      </c>
      <c r="BR390" s="828">
        <v>1.0214726565647969</v>
      </c>
      <c r="BS390" s="828">
        <v>1.0278658733188006</v>
      </c>
    </row>
    <row r="391" spans="3:71" x14ac:dyDescent="0.15">
      <c r="BE391" s="825"/>
      <c r="BF391" s="825" t="s">
        <v>2425</v>
      </c>
      <c r="BG391" s="826">
        <v>2592119.3569999998</v>
      </c>
      <c r="BH391" s="826" t="s">
        <v>2982</v>
      </c>
      <c r="BI391" s="826">
        <v>289996.40999999997</v>
      </c>
      <c r="BJ391" s="826">
        <v>700000.31</v>
      </c>
      <c r="BK391" s="826">
        <v>0</v>
      </c>
      <c r="BL391" s="826">
        <v>0</v>
      </c>
      <c r="BM391" s="825"/>
      <c r="BN391" s="828">
        <f>BN384</f>
        <v>1.0027028436666743</v>
      </c>
      <c r="BO391" s="828">
        <v>1.0057162232795445</v>
      </c>
      <c r="BP391" s="828">
        <v>1.0094257605469787</v>
      </c>
      <c r="BQ391" s="828">
        <v>1.01363571439179</v>
      </c>
      <c r="BR391" s="828">
        <v>1.0188321539769705</v>
      </c>
      <c r="BS391" s="828">
        <v>1.0244391938863653</v>
      </c>
    </row>
    <row r="392" spans="3:71" x14ac:dyDescent="0.15">
      <c r="BE392" s="825"/>
      <c r="BF392" s="825" t="s">
        <v>3058</v>
      </c>
      <c r="BG392" s="826">
        <v>7969000</v>
      </c>
      <c r="BH392" s="826">
        <v>0</v>
      </c>
      <c r="BI392" s="826" t="s">
        <v>2982</v>
      </c>
      <c r="BJ392" s="826">
        <v>1046240.31</v>
      </c>
      <c r="BK392" s="826">
        <v>2049431.53</v>
      </c>
      <c r="BL392" s="826">
        <v>2171.1999999999998</v>
      </c>
      <c r="BM392" s="825"/>
      <c r="BN392" s="828">
        <f>BN385</f>
        <v>1.0032293803584966</v>
      </c>
      <c r="BO392" s="828">
        <v>1.0068297916787974</v>
      </c>
      <c r="BP392" s="828">
        <v>1.0112619780232279</v>
      </c>
      <c r="BQ392" s="828">
        <v>1.01363571439179</v>
      </c>
      <c r="BR392" s="828">
        <v>1.0188321539769705</v>
      </c>
      <c r="BS392" s="828">
        <v>1.0244391938863653</v>
      </c>
    </row>
    <row r="395" spans="3:71" ht="11.25" thickBot="1" x14ac:dyDescent="0.2">
      <c r="N395" s="113"/>
      <c r="O395" s="411"/>
      <c r="P395" s="913" t="s">
        <v>3143</v>
      </c>
      <c r="Q395" s="913"/>
      <c r="R395" s="914"/>
      <c r="S395" s="1"/>
      <c r="T395" s="1"/>
      <c r="U395" s="1"/>
      <c r="V395" s="1"/>
      <c r="W395" s="1"/>
    </row>
    <row r="396" spans="3:71" x14ac:dyDescent="0.15">
      <c r="D396" s="831" t="s">
        <v>23</v>
      </c>
      <c r="N396" s="557" t="s">
        <v>23</v>
      </c>
      <c r="O396" s="558"/>
      <c r="P396" s="559" t="s">
        <v>2362</v>
      </c>
      <c r="Q396" s="559" t="s">
        <v>2368</v>
      </c>
      <c r="R396" s="560" t="s">
        <v>2369</v>
      </c>
      <c r="S396" s="561" t="s">
        <v>2363</v>
      </c>
      <c r="T396" s="559" t="s">
        <v>2364</v>
      </c>
      <c r="U396" s="559" t="s">
        <v>2365</v>
      </c>
      <c r="V396" s="559" t="s">
        <v>2366</v>
      </c>
      <c r="W396" s="562" t="s">
        <v>2367</v>
      </c>
    </row>
    <row r="397" spans="3:71" x14ac:dyDescent="0.15">
      <c r="C397" s="834" t="s">
        <v>2630</v>
      </c>
      <c r="D397" s="832" t="s">
        <v>28</v>
      </c>
      <c r="N397" s="116" t="s">
        <v>28</v>
      </c>
      <c r="P397" s="91">
        <f>SUMIFS(P$25:P$373,$D$25:$D$373,$N397)-SUMIFS(P$25:P$373,$C$25:$C$373,$C$397)</f>
        <v>34075405.219999999</v>
      </c>
      <c r="Q397" s="91">
        <f>SUMIFS(Q$25:Q$373,$D$25:$D$373,$N397)-SUMIFS(Q$25:Q$373,$C$25:$C$373,$C$397)</f>
        <v>13292465.849999998</v>
      </c>
      <c r="R397" s="96">
        <f>SUMIFS(R$25:R$373,$D$25:$D$373,$N397)-SUMIFS(R$25:R$373,$C$25:$C$373,$C$397)</f>
        <v>15366261.04318469</v>
      </c>
      <c r="S397" s="91">
        <f t="shared" ref="P397:W405" si="617">SUMIFS(S$25:S$373,$D$25:$D$373,$N397)</f>
        <v>7628229.7397063263</v>
      </c>
      <c r="T397" s="91">
        <f t="shared" si="617"/>
        <v>2144803.508056351</v>
      </c>
      <c r="U397" s="91">
        <f t="shared" si="617"/>
        <v>154169.1221414358</v>
      </c>
      <c r="V397" s="91">
        <f t="shared" si="617"/>
        <v>0</v>
      </c>
      <c r="W397" s="477">
        <f t="shared" si="617"/>
        <v>0</v>
      </c>
    </row>
    <row r="398" spans="3:71" x14ac:dyDescent="0.15">
      <c r="D398" s="832" t="s">
        <v>31</v>
      </c>
      <c r="N398" s="116" t="s">
        <v>31</v>
      </c>
      <c r="P398" s="91">
        <f t="shared" si="617"/>
        <v>2709379.7</v>
      </c>
      <c r="Q398" s="91">
        <f t="shared" si="617"/>
        <v>3793416.95</v>
      </c>
      <c r="R398" s="96">
        <f t="shared" si="617"/>
        <v>37196.536499969203</v>
      </c>
      <c r="S398" s="91">
        <f t="shared" si="617"/>
        <v>86866.319824794569</v>
      </c>
      <c r="T398" s="91">
        <f t="shared" si="617"/>
        <v>1318767.4648033672</v>
      </c>
      <c r="U398" s="91">
        <f t="shared" si="617"/>
        <v>5388971.4146279553</v>
      </c>
      <c r="V398" s="91">
        <f t="shared" si="617"/>
        <v>7057.2730445704938</v>
      </c>
      <c r="W398" s="477">
        <f t="shared" si="617"/>
        <v>0</v>
      </c>
    </row>
    <row r="399" spans="3:71" x14ac:dyDescent="0.15">
      <c r="D399" s="832" t="s">
        <v>44</v>
      </c>
      <c r="N399" s="116" t="s">
        <v>44</v>
      </c>
      <c r="P399" s="91">
        <f t="shared" si="617"/>
        <v>4484695.74</v>
      </c>
      <c r="Q399" s="91">
        <f t="shared" si="617"/>
        <v>7128801.6899999995</v>
      </c>
      <c r="R399" s="96">
        <f t="shared" si="617"/>
        <v>1586201.3316559428</v>
      </c>
      <c r="S399" s="91">
        <f t="shared" si="617"/>
        <v>0</v>
      </c>
      <c r="T399" s="91">
        <f t="shared" si="617"/>
        <v>0</v>
      </c>
      <c r="U399" s="91">
        <f t="shared" si="617"/>
        <v>0</v>
      </c>
      <c r="V399" s="91">
        <f t="shared" si="617"/>
        <v>0</v>
      </c>
      <c r="W399" s="477">
        <f t="shared" si="617"/>
        <v>0</v>
      </c>
    </row>
    <row r="400" spans="3:71" x14ac:dyDescent="0.15">
      <c r="D400" s="832" t="s">
        <v>40</v>
      </c>
      <c r="N400" s="116" t="s">
        <v>40</v>
      </c>
      <c r="P400" s="91">
        <f t="shared" si="617"/>
        <v>74080413.980000034</v>
      </c>
      <c r="Q400" s="91">
        <f t="shared" si="617"/>
        <v>75356559.24000001</v>
      </c>
      <c r="R400" s="96">
        <f t="shared" si="617"/>
        <v>65421842.47993166</v>
      </c>
      <c r="S400" s="91">
        <f t="shared" si="617"/>
        <v>34867277.239647076</v>
      </c>
      <c r="T400" s="91">
        <f t="shared" si="617"/>
        <v>36729844.68883504</v>
      </c>
      <c r="U400" s="91">
        <f t="shared" si="617"/>
        <v>39719663.475713648</v>
      </c>
      <c r="V400" s="91">
        <f t="shared" si="617"/>
        <v>45613130.229157634</v>
      </c>
      <c r="W400" s="477">
        <f t="shared" si="617"/>
        <v>21607652.926651556</v>
      </c>
    </row>
    <row r="401" spans="4:23" x14ac:dyDescent="0.15">
      <c r="D401" s="832" t="s">
        <v>41</v>
      </c>
      <c r="N401" s="116" t="s">
        <v>41</v>
      </c>
      <c r="P401" s="91">
        <f t="shared" si="617"/>
        <v>24558707.409999996</v>
      </c>
      <c r="Q401" s="91">
        <f t="shared" si="617"/>
        <v>19665950.299999997</v>
      </c>
      <c r="R401" s="96">
        <f t="shared" si="617"/>
        <v>16683025.95081516</v>
      </c>
      <c r="S401" s="91">
        <f t="shared" si="617"/>
        <v>10256875.326942228</v>
      </c>
      <c r="T401" s="91">
        <f t="shared" si="617"/>
        <v>40300997.95487804</v>
      </c>
      <c r="U401" s="91">
        <f t="shared" si="617"/>
        <v>52904396.56067872</v>
      </c>
      <c r="V401" s="91">
        <f t="shared" si="617"/>
        <v>47397219.017840914</v>
      </c>
      <c r="W401" s="477">
        <f t="shared" si="617"/>
        <v>24691725.608178664</v>
      </c>
    </row>
    <row r="402" spans="4:23" x14ac:dyDescent="0.15">
      <c r="D402" s="832" t="s">
        <v>54</v>
      </c>
      <c r="N402" s="116" t="s">
        <v>54</v>
      </c>
      <c r="P402" s="91">
        <f t="shared" si="617"/>
        <v>12037717.619999999</v>
      </c>
      <c r="Q402" s="91">
        <f t="shared" si="617"/>
        <v>11996533.159999998</v>
      </c>
      <c r="R402" s="96">
        <f t="shared" si="617"/>
        <v>38836548.974328317</v>
      </c>
      <c r="S402" s="91">
        <f t="shared" si="617"/>
        <v>27853441.816945568</v>
      </c>
      <c r="T402" s="91">
        <f t="shared" si="617"/>
        <v>13181687.207258938</v>
      </c>
      <c r="U402" s="91">
        <f t="shared" si="617"/>
        <v>5298280.4618004905</v>
      </c>
      <c r="V402" s="91">
        <f t="shared" si="617"/>
        <v>3851869.8144854144</v>
      </c>
      <c r="W402" s="477">
        <f t="shared" si="617"/>
        <v>3355869.9088865952</v>
      </c>
    </row>
    <row r="403" spans="4:23" x14ac:dyDescent="0.15">
      <c r="D403" s="832" t="s">
        <v>60</v>
      </c>
      <c r="N403" s="116" t="s">
        <v>60</v>
      </c>
      <c r="P403" s="91">
        <f t="shared" si="617"/>
        <v>1767733.58</v>
      </c>
      <c r="Q403" s="91">
        <f t="shared" si="617"/>
        <v>5172903.28</v>
      </c>
      <c r="R403" s="96">
        <f t="shared" si="617"/>
        <v>3564690.0634171674</v>
      </c>
      <c r="S403" s="91">
        <f t="shared" si="617"/>
        <v>2372450.391277032</v>
      </c>
      <c r="T403" s="91">
        <f t="shared" si="617"/>
        <v>2437265.5401293496</v>
      </c>
      <c r="U403" s="91">
        <f t="shared" si="617"/>
        <v>2481290.357593514</v>
      </c>
      <c r="V403" s="91">
        <f t="shared" si="617"/>
        <v>2546728.7216132446</v>
      </c>
      <c r="W403" s="477">
        <f t="shared" si="617"/>
        <v>2612414.5679240176</v>
      </c>
    </row>
    <row r="404" spans="4:23" x14ac:dyDescent="0.15">
      <c r="D404" s="832" t="s">
        <v>55</v>
      </c>
      <c r="N404" s="116" t="s">
        <v>55</v>
      </c>
      <c r="P404" s="91">
        <f t="shared" si="617"/>
        <v>9867886.209999999</v>
      </c>
      <c r="Q404" s="91">
        <f t="shared" si="617"/>
        <v>12243387.490000002</v>
      </c>
      <c r="R404" s="96">
        <f t="shared" si="617"/>
        <v>18477660.351864602</v>
      </c>
      <c r="S404" s="91">
        <f t="shared" si="617"/>
        <v>14956247.170657983</v>
      </c>
      <c r="T404" s="91">
        <f t="shared" si="617"/>
        <v>7942492.9406140083</v>
      </c>
      <c r="U404" s="91">
        <f t="shared" si="617"/>
        <v>9718184.4775662348</v>
      </c>
      <c r="V404" s="91">
        <f t="shared" si="617"/>
        <v>10351036.856890026</v>
      </c>
      <c r="W404" s="477">
        <f t="shared" si="617"/>
        <v>7405269.5366222672</v>
      </c>
    </row>
    <row r="405" spans="4:23" x14ac:dyDescent="0.15">
      <c r="D405" s="832" t="s">
        <v>36</v>
      </c>
      <c r="N405" s="116" t="s">
        <v>36</v>
      </c>
      <c r="P405" s="91">
        <f t="shared" si="617"/>
        <v>873111.78999999992</v>
      </c>
      <c r="Q405" s="91">
        <f t="shared" si="617"/>
        <v>1528312.27</v>
      </c>
      <c r="R405" s="96">
        <f t="shared" si="617"/>
        <v>9548377.3032397442</v>
      </c>
      <c r="S405" s="91">
        <f t="shared" si="617"/>
        <v>1521128.4298623512</v>
      </c>
      <c r="T405" s="91">
        <f t="shared" si="617"/>
        <v>1215969.4563672999</v>
      </c>
      <c r="U405" s="91">
        <f t="shared" si="617"/>
        <v>1623332.8820994897</v>
      </c>
      <c r="V405" s="91">
        <f t="shared" si="617"/>
        <v>1246964.2668252015</v>
      </c>
      <c r="W405" s="477">
        <f t="shared" si="617"/>
        <v>749130.19981777645</v>
      </c>
    </row>
    <row r="406" spans="4:23" ht="11.25" thickBot="1" x14ac:dyDescent="0.2">
      <c r="D406" s="833" t="s">
        <v>639</v>
      </c>
      <c r="N406" s="563" t="s">
        <v>639</v>
      </c>
      <c r="O406" s="564"/>
      <c r="P406" s="60">
        <f>SUM(P397:P405)</f>
        <v>164455051.25000006</v>
      </c>
      <c r="Q406" s="60">
        <f>SUM(Q397:Q405)</f>
        <v>150178330.23000002</v>
      </c>
      <c r="R406" s="98">
        <f>SUM(R397:R405)</f>
        <v>169521804.03493723</v>
      </c>
      <c r="S406" s="60">
        <f>SUM(S397:S405)</f>
        <v>99542516.434863359</v>
      </c>
      <c r="T406" s="60">
        <f t="shared" ref="T406:W406" si="618">SUM(T397:T405)</f>
        <v>105271828.7609424</v>
      </c>
      <c r="U406" s="60">
        <f t="shared" si="618"/>
        <v>117288288.75222148</v>
      </c>
      <c r="V406" s="60">
        <f t="shared" si="618"/>
        <v>111014006.179857</v>
      </c>
      <c r="W406" s="565">
        <f t="shared" si="618"/>
        <v>60422062.748080879</v>
      </c>
    </row>
  </sheetData>
  <autoFilter ref="A25:BP372">
    <filterColumn colId="3">
      <filters>
        <filter val="IT"/>
      </filters>
    </filterColumn>
  </autoFilter>
  <mergeCells count="5">
    <mergeCell ref="AA24:AC24"/>
    <mergeCell ref="B11:C12"/>
    <mergeCell ref="B1:D2"/>
    <mergeCell ref="P395:R395"/>
    <mergeCell ref="P379:R379"/>
  </mergeCells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AK591"/>
  <sheetViews>
    <sheetView showGridLines="0" zoomScale="80" zoomScaleNormal="80" workbookViewId="0">
      <pane xSplit="2" ySplit="25" topLeftCell="C26" activePane="bottomRight" state="frozen"/>
      <selection activeCell="B6" sqref="B6"/>
      <selection pane="topRight" activeCell="B6" sqref="B6"/>
      <selection pane="bottomLeft" activeCell="B6" sqref="B6"/>
      <selection pane="bottomRight" activeCell="C26" sqref="C26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0.5703125" style="1" customWidth="1"/>
    <col min="3" max="3" width="15.140625" style="1" customWidth="1"/>
    <col min="4" max="4" width="21.28515625" style="1" customWidth="1"/>
    <col min="5" max="5" width="14.28515625" style="1" bestFit="1" customWidth="1"/>
    <col min="6" max="15" width="12.140625" style="1" hidden="1" customWidth="1" outlineLevel="1"/>
    <col min="16" max="16" width="12.140625" style="1" customWidth="1" collapsed="1"/>
    <col min="17" max="17" width="11.7109375" style="1" customWidth="1"/>
    <col min="18" max="18" width="11.7109375" style="1" customWidth="1" outlineLevel="1"/>
    <col min="19" max="20" width="10.7109375" style="1" customWidth="1" outlineLevel="1"/>
    <col min="21" max="22" width="11.7109375" style="1" customWidth="1" outlineLevel="1"/>
    <col min="23" max="23" width="13" style="1" customWidth="1" outlineLevel="1"/>
    <col min="24" max="24" width="9.140625" style="1"/>
    <col min="25" max="27" width="4.42578125" style="1" customWidth="1"/>
    <col min="28" max="29" width="4.7109375" style="1" customWidth="1"/>
    <col min="30" max="37" width="5.7109375" style="1" customWidth="1"/>
    <col min="38" max="16384" width="9.140625" style="1"/>
  </cols>
  <sheetData>
    <row r="1" spans="1:24" outlineLevel="1" x14ac:dyDescent="0.15">
      <c r="R1" s="24">
        <f>COLUMN()</f>
        <v>18</v>
      </c>
      <c r="S1" s="24">
        <f>COLUMN()</f>
        <v>19</v>
      </c>
      <c r="T1" s="24">
        <f>COLUMN()</f>
        <v>20</v>
      </c>
      <c r="U1" s="24">
        <f>COLUMN()</f>
        <v>21</v>
      </c>
      <c r="V1" s="24">
        <f>COLUMN()</f>
        <v>22</v>
      </c>
      <c r="W1" s="24">
        <f>COLUMN()</f>
        <v>23</v>
      </c>
      <c r="X1" s="24">
        <f>COLUMN()</f>
        <v>24</v>
      </c>
    </row>
    <row r="2" spans="1:24" ht="12.75" customHeight="1" outlineLevel="1" x14ac:dyDescent="0.15">
      <c r="P2" s="1">
        <v>6</v>
      </c>
      <c r="Q2" s="58">
        <v>7</v>
      </c>
      <c r="R2" s="58">
        <f>Q2+1</f>
        <v>8</v>
      </c>
      <c r="S2" s="58">
        <f t="shared" ref="S2:X2" si="0">R2+1</f>
        <v>9</v>
      </c>
      <c r="T2" s="58">
        <f t="shared" si="0"/>
        <v>10</v>
      </c>
      <c r="U2" s="58">
        <f t="shared" si="0"/>
        <v>11</v>
      </c>
      <c r="V2" s="58">
        <f t="shared" si="0"/>
        <v>12</v>
      </c>
      <c r="W2" s="58">
        <f t="shared" si="0"/>
        <v>13</v>
      </c>
      <c r="X2" s="58">
        <f t="shared" si="0"/>
        <v>14</v>
      </c>
    </row>
    <row r="3" spans="1:24" outlineLevel="1" x14ac:dyDescent="0.15">
      <c r="A3" s="35"/>
      <c r="B3" s="830" t="s">
        <v>3151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4" spans="1:24" ht="29.25" customHeight="1" outlineLevel="1" x14ac:dyDescent="0.15">
      <c r="A4" s="35"/>
      <c r="B4" s="35"/>
      <c r="C4" s="35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</row>
    <row r="5" spans="1:24" outlineLevel="1" x14ac:dyDescent="0.15">
      <c r="A5" s="35"/>
      <c r="B5" s="35"/>
      <c r="C5" s="35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</row>
    <row r="6" spans="1:24" outlineLevel="1" x14ac:dyDescent="0.15">
      <c r="A6" s="35"/>
      <c r="B6" s="35"/>
      <c r="C6" s="35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</row>
    <row r="7" spans="1:24" outlineLevel="1" x14ac:dyDescent="0.15">
      <c r="C7" s="480"/>
      <c r="D7" s="480"/>
      <c r="E7" s="480"/>
      <c r="F7" s="3"/>
      <c r="L7" s="3"/>
      <c r="M7" s="3"/>
      <c r="N7" s="3"/>
      <c r="O7" s="112"/>
      <c r="P7" s="112"/>
      <c r="Q7" s="112"/>
      <c r="R7" s="112"/>
      <c r="S7" s="112"/>
      <c r="T7" s="112"/>
      <c r="U7" s="112"/>
      <c r="V7" s="112"/>
      <c r="W7" s="112"/>
    </row>
    <row r="8" spans="1:24" ht="15" customHeight="1" outlineLevel="1" x14ac:dyDescent="0.15">
      <c r="B8" s="915" t="s">
        <v>3112</v>
      </c>
      <c r="C8" s="480"/>
      <c r="D8" s="480"/>
      <c r="E8" s="480"/>
      <c r="F8" s="3"/>
      <c r="L8" s="3"/>
      <c r="M8" s="3"/>
      <c r="N8" s="3"/>
      <c r="O8" s="112"/>
      <c r="P8" s="113"/>
      <c r="Q8" s="112"/>
      <c r="R8" s="112"/>
      <c r="S8" s="112"/>
      <c r="T8" s="112"/>
      <c r="U8" s="112"/>
      <c r="V8" s="112"/>
      <c r="W8" s="112"/>
    </row>
    <row r="9" spans="1:24" outlineLevel="1" x14ac:dyDescent="0.15">
      <c r="B9" s="915"/>
      <c r="C9" s="480"/>
      <c r="D9" s="480"/>
      <c r="E9" s="480"/>
      <c r="F9" s="3"/>
      <c r="L9" s="3"/>
      <c r="M9" s="3"/>
      <c r="N9" s="3"/>
      <c r="O9" s="112"/>
      <c r="P9" s="113"/>
      <c r="Q9" s="112"/>
      <c r="R9" s="112"/>
      <c r="S9" s="112"/>
      <c r="T9" s="112"/>
      <c r="U9" s="112"/>
      <c r="V9" s="112"/>
      <c r="W9" s="112"/>
    </row>
    <row r="10" spans="1:24" ht="15" customHeight="1" outlineLevel="1" x14ac:dyDescent="0.15">
      <c r="B10" s="915"/>
      <c r="C10" s="480"/>
      <c r="D10" s="480"/>
      <c r="E10" s="480"/>
      <c r="F10" s="3"/>
      <c r="L10" s="3"/>
      <c r="M10" s="3"/>
      <c r="N10" s="3"/>
      <c r="O10" s="112"/>
      <c r="P10" s="113"/>
      <c r="Q10" s="112"/>
      <c r="R10" s="112"/>
      <c r="S10" s="112"/>
      <c r="T10" s="112"/>
      <c r="U10" s="112"/>
      <c r="V10" s="112"/>
      <c r="W10" s="112"/>
    </row>
    <row r="11" spans="1:24" outlineLevel="1" x14ac:dyDescent="0.15">
      <c r="B11" s="915"/>
      <c r="C11" s="480"/>
      <c r="D11" s="480"/>
      <c r="E11" s="480"/>
      <c r="F11" s="3"/>
      <c r="L11" s="3"/>
      <c r="M11" s="3"/>
      <c r="N11" s="3"/>
      <c r="O11" s="112"/>
      <c r="P11" s="113"/>
      <c r="Q11" s="112"/>
      <c r="R11" s="112"/>
      <c r="S11" s="112"/>
      <c r="T11" s="112"/>
      <c r="U11" s="112"/>
      <c r="V11" s="112"/>
      <c r="W11" s="112"/>
    </row>
    <row r="12" spans="1:24" ht="10.5" customHeight="1" outlineLevel="1" x14ac:dyDescent="0.15">
      <c r="B12" s="915"/>
      <c r="C12" s="480"/>
      <c r="D12" s="480"/>
      <c r="E12" s="480"/>
      <c r="F12" s="3"/>
      <c r="L12" s="3"/>
      <c r="M12" s="3"/>
      <c r="N12" s="3"/>
      <c r="O12" s="112"/>
      <c r="P12" s="113"/>
      <c r="Q12" s="112"/>
      <c r="R12" s="112"/>
      <c r="S12" s="112"/>
      <c r="T12" s="112"/>
      <c r="U12" s="112"/>
      <c r="V12" s="112"/>
      <c r="W12" s="112"/>
    </row>
    <row r="13" spans="1:24" outlineLevel="1" x14ac:dyDescent="0.15">
      <c r="B13" s="915"/>
      <c r="C13" s="480"/>
      <c r="D13" s="480"/>
      <c r="E13" s="480"/>
      <c r="F13" s="3"/>
      <c r="L13" s="3"/>
      <c r="M13" s="3"/>
      <c r="N13" s="3"/>
      <c r="O13" s="112"/>
      <c r="P13" s="113"/>
      <c r="Q13" s="112"/>
      <c r="R13" s="112"/>
      <c r="S13" s="112"/>
      <c r="T13" s="112"/>
      <c r="U13" s="112"/>
      <c r="V13" s="112"/>
      <c r="W13" s="112"/>
    </row>
    <row r="14" spans="1:24" ht="11.25" outlineLevel="1" thickBot="1" x14ac:dyDescent="0.2">
      <c r="B14" s="915"/>
      <c r="C14" s="480"/>
      <c r="D14" s="480"/>
      <c r="E14" s="480"/>
      <c r="F14" s="3"/>
      <c r="L14" s="3"/>
      <c r="M14" s="3"/>
      <c r="N14" s="3"/>
      <c r="O14" s="112"/>
      <c r="P14" s="113"/>
      <c r="Q14" s="112"/>
      <c r="R14" s="112"/>
      <c r="S14" s="112"/>
      <c r="T14" s="112"/>
      <c r="U14" s="112"/>
      <c r="V14" s="112"/>
      <c r="W14" s="112"/>
    </row>
    <row r="15" spans="1:24" ht="25.5" customHeight="1" x14ac:dyDescent="0.15">
      <c r="A15" s="917" t="s">
        <v>3005</v>
      </c>
      <c r="B15" s="919" t="s">
        <v>3049</v>
      </c>
      <c r="C15" s="920"/>
      <c r="D15" s="480"/>
      <c r="E15" s="480"/>
      <c r="F15" s="3"/>
      <c r="G15" s="3"/>
      <c r="H15" s="3"/>
      <c r="I15" s="3"/>
      <c r="J15" s="3"/>
      <c r="K15" s="3"/>
      <c r="L15" s="3"/>
      <c r="M15" s="3"/>
      <c r="N15" s="3"/>
      <c r="O15" s="112"/>
      <c r="P15" s="112"/>
      <c r="Q15" s="112"/>
      <c r="R15" s="112"/>
      <c r="S15" s="112"/>
      <c r="T15" s="112"/>
      <c r="U15" s="112"/>
      <c r="V15" s="112"/>
      <c r="W15" s="112"/>
    </row>
    <row r="16" spans="1:24" ht="11.25" customHeight="1" thickBot="1" x14ac:dyDescent="0.2">
      <c r="A16" s="918"/>
      <c r="B16" s="919"/>
      <c r="C16" s="920"/>
      <c r="D16" s="480"/>
      <c r="E16" s="480"/>
      <c r="F16" s="3"/>
      <c r="G16" s="3"/>
      <c r="H16" s="3"/>
      <c r="I16" s="3"/>
      <c r="J16" s="3"/>
      <c r="K16" s="3"/>
      <c r="L16" s="3"/>
      <c r="M16" s="3"/>
      <c r="N16" s="3"/>
      <c r="O16" s="112"/>
      <c r="P16" s="112"/>
      <c r="Q16" s="112"/>
      <c r="R16" s="112"/>
      <c r="S16" s="112"/>
      <c r="T16" s="112"/>
      <c r="U16" s="112"/>
      <c r="V16" s="112"/>
      <c r="W16" s="112"/>
    </row>
    <row r="17" spans="1:37" ht="11.25" thickBot="1" x14ac:dyDescent="0.2">
      <c r="A17" s="67">
        <v>2.5000000000000001E-2</v>
      </c>
      <c r="D17" s="488"/>
      <c r="E17" s="489" t="s">
        <v>2602</v>
      </c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90">
        <f>1</f>
        <v>1</v>
      </c>
      <c r="R17" s="490">
        <f>(1+$A$17)*Q17</f>
        <v>1.0249999999999999</v>
      </c>
      <c r="S17" s="490">
        <f t="shared" ref="S17:X17" si="1">(1+$A$17)*R17</f>
        <v>1.0506249999999999</v>
      </c>
      <c r="T17" s="490">
        <f t="shared" si="1"/>
        <v>1.0768906249999999</v>
      </c>
      <c r="U17" s="490">
        <f t="shared" si="1"/>
        <v>1.1038128906249998</v>
      </c>
      <c r="V17" s="490">
        <f t="shared" si="1"/>
        <v>1.1314082128906247</v>
      </c>
      <c r="W17" s="490">
        <f t="shared" si="1"/>
        <v>1.1596934182128902</v>
      </c>
      <c r="X17" s="491">
        <f t="shared" si="1"/>
        <v>1.1886857536682123</v>
      </c>
      <c r="AA17" s="24"/>
    </row>
    <row r="18" spans="1:37" x14ac:dyDescent="0.15">
      <c r="D18" s="488"/>
      <c r="E18" s="492"/>
      <c r="F18" s="492"/>
      <c r="G18" s="492"/>
      <c r="H18" s="492"/>
      <c r="I18" s="492"/>
      <c r="J18" s="492"/>
      <c r="K18" s="492"/>
      <c r="L18" s="492"/>
      <c r="M18" s="492"/>
      <c r="N18" s="492"/>
      <c r="O18" s="492"/>
      <c r="P18" s="493"/>
      <c r="Q18" s="493"/>
      <c r="R18" s="493"/>
      <c r="S18" s="493"/>
      <c r="T18" s="493"/>
      <c r="U18" s="493"/>
      <c r="V18" s="493"/>
      <c r="W18" s="493"/>
      <c r="X18" s="494"/>
      <c r="AA18" s="59"/>
      <c r="AB18" s="3"/>
      <c r="AC18" s="3"/>
      <c r="AE18" s="3"/>
      <c r="AF18" s="3"/>
      <c r="AG18" s="3"/>
      <c r="AH18" s="3"/>
    </row>
    <row r="19" spans="1:37" x14ac:dyDescent="0.15">
      <c r="B19" s="916" t="s">
        <v>3145</v>
      </c>
      <c r="C19" s="916"/>
      <c r="D19" s="482"/>
      <c r="E19" s="483"/>
      <c r="F19" s="486">
        <f t="shared" ref="F19:G19" si="2">G19*F20/G20</f>
        <v>1.3322044970414204</v>
      </c>
      <c r="G19" s="486">
        <f t="shared" si="2"/>
        <v>1.2998993071593536</v>
      </c>
      <c r="H19" s="486">
        <f>I19*H20/I20</f>
        <v>1.2466365448504986</v>
      </c>
      <c r="I19" s="486">
        <v>1.2169868108108111</v>
      </c>
      <c r="J19" s="486">
        <v>1.1824714285714288</v>
      </c>
      <c r="K19" s="486">
        <v>1.1451808748728387</v>
      </c>
      <c r="L19" s="486">
        <v>1.1268396396396398</v>
      </c>
      <c r="M19" s="486">
        <v>1.0993289062500002</v>
      </c>
      <c r="N19" s="486">
        <v>1.0680387096774195</v>
      </c>
      <c r="O19" s="486">
        <v>1.0540382022471912</v>
      </c>
      <c r="P19" s="486"/>
      <c r="Q19" s="486"/>
      <c r="R19" s="486"/>
      <c r="S19" s="486"/>
      <c r="T19" s="486"/>
      <c r="U19" s="486"/>
      <c r="V19" s="486"/>
      <c r="W19" s="486"/>
      <c r="X19" s="487"/>
      <c r="AA19" s="59"/>
      <c r="AB19" s="59"/>
      <c r="AC19" s="59"/>
      <c r="AE19" s="59"/>
      <c r="AF19" s="59"/>
      <c r="AG19" s="59"/>
    </row>
    <row r="20" spans="1:37" x14ac:dyDescent="0.15">
      <c r="B20" s="916"/>
      <c r="C20" s="916"/>
      <c r="D20" s="482"/>
      <c r="E20" s="481" t="s">
        <v>2286</v>
      </c>
      <c r="F20" s="486">
        <f t="shared" ref="F20:P20" si="3">G20*G21</f>
        <v>1.5220804561763379</v>
      </c>
      <c r="G20" s="486">
        <f t="shared" si="3"/>
        <v>1.4851708839134015</v>
      </c>
      <c r="H20" s="486">
        <f t="shared" si="3"/>
        <v>1.4243167059457427</v>
      </c>
      <c r="I20" s="486">
        <f t="shared" si="3"/>
        <v>1.3904410653718979</v>
      </c>
      <c r="J20" s="486">
        <f t="shared" si="3"/>
        <v>1.3510062872573589</v>
      </c>
      <c r="K20" s="486">
        <f t="shared" si="3"/>
        <v>1.3084007990529052</v>
      </c>
      <c r="L20" s="486">
        <f t="shared" si="3"/>
        <v>1.2874454308999055</v>
      </c>
      <c r="M20" s="486">
        <f t="shared" si="3"/>
        <v>1.2560136576845757</v>
      </c>
      <c r="N20" s="486">
        <f t="shared" si="3"/>
        <v>1.2202637433292274</v>
      </c>
      <c r="O20" s="486">
        <f t="shared" si="3"/>
        <v>1.2042677766563725</v>
      </c>
      <c r="P20" s="486">
        <f t="shared" si="3"/>
        <v>1.1886857536682123</v>
      </c>
      <c r="Q20" s="486">
        <f t="shared" ref="Q20:U20" si="4">R20*R21</f>
        <v>1.1596934182128902</v>
      </c>
      <c r="R20" s="486">
        <f t="shared" si="4"/>
        <v>1.1314082128906247</v>
      </c>
      <c r="S20" s="486">
        <f t="shared" si="4"/>
        <v>1.1038128906249998</v>
      </c>
      <c r="T20" s="486">
        <f t="shared" si="4"/>
        <v>1.0768906249999999</v>
      </c>
      <c r="U20" s="486">
        <f t="shared" si="4"/>
        <v>1.0506249999999999</v>
      </c>
      <c r="V20" s="486">
        <f>W20*W21</f>
        <v>1.0249999999999999</v>
      </c>
      <c r="W20" s="486">
        <v>1</v>
      </c>
      <c r="X20" s="487">
        <v>1</v>
      </c>
      <c r="AA20" s="24"/>
    </row>
    <row r="21" spans="1:37" x14ac:dyDescent="0.15">
      <c r="B21" s="916"/>
      <c r="C21" s="916"/>
      <c r="D21" s="482"/>
      <c r="E21" s="483" t="s">
        <v>2600</v>
      </c>
      <c r="F21" s="484">
        <v>1.0292326431181487</v>
      </c>
      <c r="G21" s="484">
        <v>1.024852071005917</v>
      </c>
      <c r="H21" s="484">
        <v>1.0427251732101617</v>
      </c>
      <c r="I21" s="484">
        <v>1.0243632336655593</v>
      </c>
      <c r="J21" s="484">
        <v>1.0291891891891891</v>
      </c>
      <c r="K21" s="484">
        <v>1.0325630252100839</v>
      </c>
      <c r="L21" s="484">
        <v>1.0162767039674467</v>
      </c>
      <c r="M21" s="484">
        <v>1.025025025025025</v>
      </c>
      <c r="N21" s="484">
        <v>1.029296875</v>
      </c>
      <c r="O21" s="484">
        <v>1.0132827324478177</v>
      </c>
      <c r="P21" s="484">
        <v>1.0131086142322099</v>
      </c>
      <c r="Q21" s="484">
        <f t="shared" ref="Q21:V21" si="5">1+$A$17</f>
        <v>1.0249999999999999</v>
      </c>
      <c r="R21" s="484">
        <f t="shared" si="5"/>
        <v>1.0249999999999999</v>
      </c>
      <c r="S21" s="484">
        <f t="shared" si="5"/>
        <v>1.0249999999999999</v>
      </c>
      <c r="T21" s="484">
        <f t="shared" si="5"/>
        <v>1.0249999999999999</v>
      </c>
      <c r="U21" s="484">
        <f t="shared" si="5"/>
        <v>1.0249999999999999</v>
      </c>
      <c r="V21" s="484">
        <f t="shared" si="5"/>
        <v>1.0249999999999999</v>
      </c>
      <c r="W21" s="484">
        <f>1+$A$17</f>
        <v>1.0249999999999999</v>
      </c>
      <c r="X21" s="485">
        <f>1+$A$17</f>
        <v>1.0249999999999999</v>
      </c>
      <c r="AA21" s="24"/>
    </row>
    <row r="22" spans="1:37" x14ac:dyDescent="0.15">
      <c r="F22" s="2"/>
      <c r="G22" s="2"/>
      <c r="H22" s="2"/>
      <c r="I22" s="2"/>
      <c r="J22" s="2"/>
      <c r="K22" s="2"/>
      <c r="L22" s="2"/>
      <c r="M22" s="2"/>
      <c r="N22" s="2"/>
      <c r="O22" s="2"/>
      <c r="P22" s="79"/>
      <c r="Q22" s="79"/>
      <c r="R22" s="79"/>
      <c r="S22" s="79"/>
      <c r="T22" s="3"/>
      <c r="U22" s="3"/>
      <c r="V22" s="3"/>
      <c r="W22" s="3"/>
      <c r="X22" s="3"/>
      <c r="AA22" s="3"/>
      <c r="AB22" s="59"/>
      <c r="AC22" s="3"/>
      <c r="AD22" s="3"/>
      <c r="AE22" s="3"/>
      <c r="AF22" s="3"/>
      <c r="AG22" s="3"/>
      <c r="AH22" s="3"/>
    </row>
    <row r="23" spans="1:37" x14ac:dyDescent="0.15">
      <c r="F23" s="3">
        <f t="shared" ref="F23:P23" si="6">SUM(F26:F442)</f>
        <v>92201.14</v>
      </c>
      <c r="G23" s="3">
        <f t="shared" si="6"/>
        <v>6125285.8399999999</v>
      </c>
      <c r="H23" s="3">
        <f t="shared" si="6"/>
        <v>7596615.71</v>
      </c>
      <c r="I23" s="3">
        <f t="shared" si="6"/>
        <v>9617371.6699999999</v>
      </c>
      <c r="J23" s="3">
        <f t="shared" si="6"/>
        <v>39173732.089999996</v>
      </c>
      <c r="K23" s="3">
        <f t="shared" si="6"/>
        <v>126300658.34000002</v>
      </c>
      <c r="L23" s="3">
        <f t="shared" si="6"/>
        <v>95543994.110000014</v>
      </c>
      <c r="M23" s="3">
        <f t="shared" si="6"/>
        <v>156925832.92999998</v>
      </c>
      <c r="N23" s="3">
        <f t="shared" si="6"/>
        <v>97931219.610000044</v>
      </c>
      <c r="O23" s="3">
        <f t="shared" si="6"/>
        <v>111700820.64000002</v>
      </c>
      <c r="P23" s="3">
        <f t="shared" si="6"/>
        <v>167030089.01999998</v>
      </c>
      <c r="Q23" s="3">
        <f t="shared" ref="Q23:W23" si="7">SUBTOTAL(9,Q26:Q442)</f>
        <v>151794642.84999999</v>
      </c>
      <c r="R23" s="3">
        <f t="shared" si="7"/>
        <v>174833957.54669601</v>
      </c>
      <c r="S23" s="3">
        <f t="shared" si="7"/>
        <v>98901741.040000021</v>
      </c>
      <c r="T23" s="3">
        <f t="shared" si="7"/>
        <v>104253869.72999996</v>
      </c>
      <c r="U23" s="3">
        <f t="shared" si="7"/>
        <v>115728526.63</v>
      </c>
      <c r="V23" s="3">
        <f t="shared" si="7"/>
        <v>108990066.78999998</v>
      </c>
      <c r="W23" s="3">
        <f t="shared" si="7"/>
        <v>58920948.160000004</v>
      </c>
      <c r="X23" s="3"/>
      <c r="AA23" s="59"/>
      <c r="AB23" s="59"/>
      <c r="AC23" s="59"/>
      <c r="AD23" s="117" t="s">
        <v>2977</v>
      </c>
      <c r="AE23" s="59"/>
      <c r="AF23" s="59"/>
      <c r="AG23" s="59"/>
    </row>
    <row r="24" spans="1:37" x14ac:dyDescent="0.15">
      <c r="A24" s="4" t="s">
        <v>0</v>
      </c>
      <c r="B24" s="5"/>
      <c r="C24" s="5"/>
      <c r="D24" s="5"/>
      <c r="E24" s="4" t="s">
        <v>1</v>
      </c>
      <c r="F24" s="6" t="s">
        <v>2</v>
      </c>
      <c r="G24" s="6" t="s">
        <v>3</v>
      </c>
      <c r="H24" s="6" t="s">
        <v>4</v>
      </c>
      <c r="I24" s="6" t="s">
        <v>5</v>
      </c>
      <c r="J24" s="6" t="s">
        <v>6</v>
      </c>
      <c r="K24" s="6" t="s">
        <v>7</v>
      </c>
      <c r="L24" s="6" t="s">
        <v>8</v>
      </c>
      <c r="M24" s="6" t="s">
        <v>9</v>
      </c>
      <c r="N24" s="6" t="s">
        <v>10</v>
      </c>
      <c r="O24" s="6" t="s">
        <v>11</v>
      </c>
      <c r="P24" s="7" t="s">
        <v>12</v>
      </c>
      <c r="Q24" s="7" t="s">
        <v>13</v>
      </c>
      <c r="R24" s="8" t="s">
        <v>14</v>
      </c>
      <c r="S24" s="8" t="s">
        <v>15</v>
      </c>
      <c r="T24" s="8" t="s">
        <v>16</v>
      </c>
      <c r="U24" s="8" t="s">
        <v>17</v>
      </c>
      <c r="V24" s="8" t="s">
        <v>18</v>
      </c>
      <c r="W24" s="8" t="s">
        <v>19</v>
      </c>
      <c r="X24" s="8" t="s">
        <v>2603</v>
      </c>
      <c r="AA24" s="24"/>
      <c r="AD24" s="652" t="s">
        <v>13</v>
      </c>
      <c r="AE24" s="652" t="s">
        <v>14</v>
      </c>
      <c r="AF24" s="652" t="s">
        <v>15</v>
      </c>
      <c r="AG24" s="652" t="s">
        <v>16</v>
      </c>
      <c r="AH24" s="652" t="s">
        <v>17</v>
      </c>
      <c r="AI24" s="652" t="s">
        <v>18</v>
      </c>
      <c r="AJ24" s="652" t="s">
        <v>19</v>
      </c>
    </row>
    <row r="25" spans="1:37" ht="21" x14ac:dyDescent="0.15">
      <c r="A25" s="9" t="s">
        <v>20</v>
      </c>
      <c r="B25" s="10" t="s">
        <v>21</v>
      </c>
      <c r="C25" s="11" t="s">
        <v>22</v>
      </c>
      <c r="D25" s="11" t="s">
        <v>23</v>
      </c>
      <c r="E25" s="11" t="s">
        <v>24</v>
      </c>
      <c r="F25" s="29" t="str">
        <f t="shared" ref="F25:Q25" si="8">"Actual "&amp;F24</f>
        <v>Actual 2006</v>
      </c>
      <c r="G25" s="29" t="str">
        <f t="shared" si="8"/>
        <v>Actual 2007</v>
      </c>
      <c r="H25" s="29" t="str">
        <f t="shared" si="8"/>
        <v>Actual 2008</v>
      </c>
      <c r="I25" s="29" t="str">
        <f t="shared" si="8"/>
        <v>Actual 2009</v>
      </c>
      <c r="J25" s="29" t="str">
        <f t="shared" si="8"/>
        <v>Actual 2010</v>
      </c>
      <c r="K25" s="29" t="str">
        <f t="shared" si="8"/>
        <v>Actual 2011</v>
      </c>
      <c r="L25" s="29" t="str">
        <f t="shared" si="8"/>
        <v>Actual 2012</v>
      </c>
      <c r="M25" s="29" t="str">
        <f t="shared" si="8"/>
        <v>Actual 2013</v>
      </c>
      <c r="N25" s="29" t="str">
        <f t="shared" si="8"/>
        <v>Actual 2014</v>
      </c>
      <c r="O25" s="29" t="str">
        <f t="shared" si="8"/>
        <v>Actual 2015</v>
      </c>
      <c r="P25" s="29" t="str">
        <f t="shared" si="8"/>
        <v>Actual 2016</v>
      </c>
      <c r="Q25" s="29" t="str">
        <f t="shared" si="8"/>
        <v>Actual 2017</v>
      </c>
      <c r="R25" s="111" t="str">
        <f t="shared" ref="R25:W25" si="9">"Plan "&amp;R24</f>
        <v>Plan 2018</v>
      </c>
      <c r="S25" s="111" t="str">
        <f t="shared" si="9"/>
        <v>Plan 2019</v>
      </c>
      <c r="T25" s="111" t="str">
        <f t="shared" si="9"/>
        <v>Plan 2020</v>
      </c>
      <c r="U25" s="111" t="str">
        <f t="shared" si="9"/>
        <v>Plan 2021</v>
      </c>
      <c r="V25" s="111" t="str">
        <f t="shared" si="9"/>
        <v>Plan 2022</v>
      </c>
      <c r="W25" s="111" t="str">
        <f t="shared" si="9"/>
        <v>Plan 2023</v>
      </c>
      <c r="X25" s="111" t="str">
        <f t="shared" ref="X25" si="10">"Plan "&amp;X24</f>
        <v>Plan 2024</v>
      </c>
      <c r="AA25" s="24"/>
    </row>
    <row r="26" spans="1:37" x14ac:dyDescent="0.15">
      <c r="A26" s="12" t="s">
        <v>25</v>
      </c>
      <c r="B26" s="13" t="s">
        <v>26</v>
      </c>
      <c r="C26" s="13" t="s">
        <v>27</v>
      </c>
      <c r="D26" s="13" t="s">
        <v>28</v>
      </c>
      <c r="E26" s="12" t="s">
        <v>29</v>
      </c>
      <c r="F26" s="14">
        <v>14438.5</v>
      </c>
      <c r="G26" s="14">
        <v>5643382.1699999999</v>
      </c>
      <c r="H26" s="14">
        <v>6634694.54</v>
      </c>
      <c r="I26" s="14">
        <v>7459380.96</v>
      </c>
      <c r="J26" s="14">
        <v>20848276.829999998</v>
      </c>
      <c r="K26" s="14">
        <v>100800022.72</v>
      </c>
      <c r="L26" s="14">
        <v>32862274.5</v>
      </c>
      <c r="M26" s="14">
        <v>2236198.14</v>
      </c>
      <c r="N26" s="14">
        <v>394226.32</v>
      </c>
      <c r="O26" s="14">
        <v>137031.29999999999</v>
      </c>
      <c r="P26" s="15">
        <v>283719.84000000003</v>
      </c>
      <c r="Q26" s="15">
        <v>128207.2</v>
      </c>
      <c r="R26" s="16">
        <v>774718.04</v>
      </c>
      <c r="S26" s="16" t="s">
        <v>0</v>
      </c>
      <c r="T26" s="16" t="s">
        <v>0</v>
      </c>
      <c r="U26" s="16" t="s">
        <v>0</v>
      </c>
      <c r="V26" s="16" t="s">
        <v>0</v>
      </c>
      <c r="W26" s="16" t="s">
        <v>0</v>
      </c>
      <c r="X26" s="16" t="s">
        <v>0</v>
      </c>
      <c r="AA26" s="24"/>
      <c r="AB26" s="3"/>
      <c r="AC26" s="3"/>
      <c r="AD26" s="80"/>
      <c r="AE26" s="80"/>
      <c r="AF26" s="80"/>
      <c r="AG26" s="80"/>
      <c r="AH26" s="411"/>
      <c r="AI26" s="411"/>
      <c r="AJ26" s="411"/>
      <c r="AK26" s="411"/>
    </row>
    <row r="27" spans="1:37" x14ac:dyDescent="0.15">
      <c r="A27" s="12" t="s">
        <v>34</v>
      </c>
      <c r="B27" s="13" t="s">
        <v>35</v>
      </c>
      <c r="C27" s="13" t="s">
        <v>27</v>
      </c>
      <c r="D27" s="13" t="s">
        <v>28</v>
      </c>
      <c r="E27" s="12" t="s">
        <v>29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798544.67</v>
      </c>
      <c r="M27" s="14">
        <v>913779.99</v>
      </c>
      <c r="N27" s="14">
        <v>1978728.67</v>
      </c>
      <c r="O27" s="14">
        <v>5687410.8899999997</v>
      </c>
      <c r="P27" s="15">
        <v>23030612.23</v>
      </c>
      <c r="Q27" s="15">
        <v>3368344.82</v>
      </c>
      <c r="R27" s="16">
        <v>1793509.63</v>
      </c>
      <c r="S27" s="16" t="s">
        <v>2982</v>
      </c>
      <c r="T27" s="16" t="s">
        <v>2982</v>
      </c>
      <c r="U27" s="16" t="s">
        <v>2982</v>
      </c>
      <c r="V27" s="16" t="s">
        <v>2982</v>
      </c>
      <c r="W27" s="16" t="s">
        <v>2982</v>
      </c>
      <c r="X27" s="16" t="s">
        <v>2982</v>
      </c>
      <c r="AA27" s="24"/>
      <c r="AB27" s="3"/>
      <c r="AC27" s="3"/>
      <c r="AD27" s="80"/>
      <c r="AE27" s="80"/>
      <c r="AF27" s="80"/>
      <c r="AG27" s="80"/>
      <c r="AH27" s="411"/>
      <c r="AI27" s="411"/>
      <c r="AJ27" s="411"/>
      <c r="AK27" s="411"/>
    </row>
    <row r="28" spans="1:37" x14ac:dyDescent="0.15">
      <c r="A28" s="12" t="s">
        <v>37</v>
      </c>
      <c r="B28" s="13" t="s">
        <v>38</v>
      </c>
      <c r="C28" s="13" t="s">
        <v>27</v>
      </c>
      <c r="D28" s="13" t="s">
        <v>31</v>
      </c>
      <c r="E28" s="12" t="s">
        <v>29</v>
      </c>
      <c r="F28" s="14">
        <v>14316.59</v>
      </c>
      <c r="G28" s="14">
        <v>182203.75</v>
      </c>
      <c r="H28" s="14">
        <v>485896.08</v>
      </c>
      <c r="I28" s="14">
        <v>1703092.27</v>
      </c>
      <c r="J28" s="14">
        <v>14056261.109999999</v>
      </c>
      <c r="K28" s="14">
        <v>5216315.03</v>
      </c>
      <c r="L28" s="14">
        <v>228703</v>
      </c>
      <c r="M28" s="14">
        <v>282437.38</v>
      </c>
      <c r="N28" s="14">
        <v>-151764.68</v>
      </c>
      <c r="O28" s="14">
        <v>247663.51</v>
      </c>
      <c r="P28" s="15">
        <v>88534.74</v>
      </c>
      <c r="Q28" s="15">
        <v>492156.87</v>
      </c>
      <c r="R28" s="16">
        <v>68203.539999999994</v>
      </c>
      <c r="S28" s="16" t="s">
        <v>2982</v>
      </c>
      <c r="T28" s="16" t="s">
        <v>2982</v>
      </c>
      <c r="U28" s="16" t="s">
        <v>2982</v>
      </c>
      <c r="V28" s="16" t="s">
        <v>2982</v>
      </c>
      <c r="W28" s="16" t="s">
        <v>2982</v>
      </c>
      <c r="X28" s="16" t="s">
        <v>2982</v>
      </c>
      <c r="AA28" s="24"/>
      <c r="AB28" s="3"/>
      <c r="AC28" s="3"/>
      <c r="AD28" s="80"/>
      <c r="AE28" s="80"/>
      <c r="AF28" s="80"/>
      <c r="AG28" s="80"/>
      <c r="AH28" s="411"/>
      <c r="AI28" s="411"/>
      <c r="AJ28" s="411"/>
      <c r="AK28" s="411"/>
    </row>
    <row r="29" spans="1:37" x14ac:dyDescent="0.15">
      <c r="A29" s="12" t="s">
        <v>42</v>
      </c>
      <c r="B29" s="13" t="s">
        <v>43</v>
      </c>
      <c r="C29" s="13" t="s">
        <v>27</v>
      </c>
      <c r="D29" s="13" t="s">
        <v>44</v>
      </c>
      <c r="E29" s="12" t="s">
        <v>45</v>
      </c>
      <c r="F29" s="14">
        <v>24174.52</v>
      </c>
      <c r="G29" s="14">
        <v>1563.51</v>
      </c>
      <c r="H29" s="14">
        <v>0</v>
      </c>
      <c r="I29" s="14">
        <v>383.71</v>
      </c>
      <c r="J29" s="14">
        <v>0</v>
      </c>
      <c r="K29" s="14">
        <v>0</v>
      </c>
      <c r="L29" s="14">
        <v>0</v>
      </c>
      <c r="M29" s="14">
        <v>0</v>
      </c>
      <c r="N29" s="14"/>
      <c r="O29" s="14"/>
      <c r="P29" s="15"/>
      <c r="Q29" s="15" t="s">
        <v>2982</v>
      </c>
      <c r="R29" s="16">
        <v>-616364.04</v>
      </c>
      <c r="S29" s="16" t="s">
        <v>2982</v>
      </c>
      <c r="T29" s="16" t="s">
        <v>2982</v>
      </c>
      <c r="U29" s="16" t="s">
        <v>2982</v>
      </c>
      <c r="V29" s="16" t="s">
        <v>2982</v>
      </c>
      <c r="W29" s="16" t="s">
        <v>2982</v>
      </c>
      <c r="X29" s="16">
        <v>-0.04</v>
      </c>
      <c r="AA29" s="24"/>
      <c r="AB29" s="3"/>
      <c r="AC29" s="3"/>
      <c r="AD29" s="80"/>
      <c r="AE29" s="80"/>
      <c r="AF29" s="80"/>
      <c r="AG29" s="80"/>
      <c r="AH29" s="411"/>
      <c r="AI29" s="411"/>
      <c r="AJ29" s="411"/>
      <c r="AK29" s="411"/>
    </row>
    <row r="30" spans="1:37" x14ac:dyDescent="0.15">
      <c r="A30" s="12" t="s">
        <v>46</v>
      </c>
      <c r="B30" s="13" t="s">
        <v>47</v>
      </c>
      <c r="C30" s="13" t="s">
        <v>27</v>
      </c>
      <c r="D30" s="13" t="s">
        <v>40</v>
      </c>
      <c r="E30" s="12" t="s">
        <v>29</v>
      </c>
      <c r="F30" s="14">
        <v>21868.92</v>
      </c>
      <c r="G30" s="14">
        <v>297382.73</v>
      </c>
      <c r="H30" s="14">
        <v>171231.17</v>
      </c>
      <c r="I30" s="14">
        <v>64637.61</v>
      </c>
      <c r="J30" s="14">
        <v>0</v>
      </c>
      <c r="K30" s="14">
        <v>61467.839999999997</v>
      </c>
      <c r="L30" s="14">
        <v>2533646.94</v>
      </c>
      <c r="M30" s="14">
        <v>25051794.890000001</v>
      </c>
      <c r="N30" s="14">
        <v>12265063.91</v>
      </c>
      <c r="O30" s="14">
        <v>816930.73</v>
      </c>
      <c r="P30" s="15">
        <v>209044.69</v>
      </c>
      <c r="Q30" s="15">
        <v>49626.89</v>
      </c>
      <c r="R30" s="16" t="s">
        <v>2982</v>
      </c>
      <c r="S30" s="16" t="s">
        <v>2982</v>
      </c>
      <c r="T30" s="16" t="s">
        <v>2982</v>
      </c>
      <c r="U30" s="16" t="s">
        <v>2982</v>
      </c>
      <c r="V30" s="16" t="s">
        <v>2982</v>
      </c>
      <c r="W30" s="16" t="s">
        <v>2982</v>
      </c>
      <c r="X30" s="16" t="s">
        <v>2982</v>
      </c>
      <c r="AA30" s="24"/>
      <c r="AB30" s="3"/>
      <c r="AC30" s="3"/>
      <c r="AD30" s="80"/>
      <c r="AE30" s="80"/>
      <c r="AF30" s="80"/>
      <c r="AG30" s="80"/>
      <c r="AH30" s="411"/>
      <c r="AI30" s="411"/>
      <c r="AJ30" s="411"/>
      <c r="AK30" s="411"/>
    </row>
    <row r="31" spans="1:37" x14ac:dyDescent="0.15">
      <c r="A31" s="12" t="s">
        <v>48</v>
      </c>
      <c r="B31" s="13" t="s">
        <v>49</v>
      </c>
      <c r="C31" s="13" t="s">
        <v>27</v>
      </c>
      <c r="D31" s="13" t="s">
        <v>40</v>
      </c>
      <c r="E31" s="12" t="s">
        <v>30</v>
      </c>
      <c r="F31" s="14">
        <v>5492.33</v>
      </c>
      <c r="G31" s="14">
        <v>0</v>
      </c>
      <c r="H31" s="14">
        <v>130.91999999999999</v>
      </c>
      <c r="I31" s="14">
        <v>245.68</v>
      </c>
      <c r="J31" s="14">
        <v>0</v>
      </c>
      <c r="K31" s="14">
        <v>0</v>
      </c>
      <c r="L31" s="14">
        <v>0</v>
      </c>
      <c r="M31" s="14">
        <v>0</v>
      </c>
      <c r="N31" s="14"/>
      <c r="O31" s="14"/>
      <c r="P31" s="15"/>
      <c r="Q31" s="15">
        <v>-5868.93</v>
      </c>
      <c r="R31" s="16" t="s">
        <v>2982</v>
      </c>
      <c r="S31" s="16" t="s">
        <v>2982</v>
      </c>
      <c r="T31" s="16" t="s">
        <v>2982</v>
      </c>
      <c r="U31" s="16" t="s">
        <v>2982</v>
      </c>
      <c r="V31" s="16" t="s">
        <v>2982</v>
      </c>
      <c r="W31" s="16" t="s">
        <v>2982</v>
      </c>
      <c r="X31" s="16" t="s">
        <v>2982</v>
      </c>
      <c r="AA31" s="24"/>
      <c r="AB31" s="3"/>
      <c r="AC31" s="3"/>
      <c r="AD31" s="80"/>
      <c r="AE31" s="80"/>
      <c r="AF31" s="80"/>
      <c r="AG31" s="80"/>
      <c r="AH31" s="411"/>
      <c r="AI31" s="411"/>
      <c r="AJ31" s="411"/>
      <c r="AK31" s="411"/>
    </row>
    <row r="32" spans="1:37" x14ac:dyDescent="0.15">
      <c r="A32" s="12" t="s">
        <v>50</v>
      </c>
      <c r="B32" s="13" t="s">
        <v>51</v>
      </c>
      <c r="C32" s="13" t="s">
        <v>27</v>
      </c>
      <c r="D32" s="13" t="s">
        <v>40</v>
      </c>
      <c r="E32" s="12" t="s">
        <v>29</v>
      </c>
      <c r="F32" s="14">
        <v>11910.28</v>
      </c>
      <c r="G32" s="14">
        <v>753.68</v>
      </c>
      <c r="H32" s="14">
        <v>110585</v>
      </c>
      <c r="I32" s="14">
        <v>0</v>
      </c>
      <c r="J32" s="14">
        <v>491172.67</v>
      </c>
      <c r="K32" s="14">
        <v>2109341.7999999998</v>
      </c>
      <c r="L32" s="14">
        <v>13925378.630000001</v>
      </c>
      <c r="M32" s="14">
        <v>20268858.550000001</v>
      </c>
      <c r="N32" s="14">
        <v>4400650.9400000004</v>
      </c>
      <c r="O32" s="14">
        <v>1224600.4099999999</v>
      </c>
      <c r="P32" s="15">
        <v>922861.43</v>
      </c>
      <c r="Q32" s="15">
        <v>279428.7</v>
      </c>
      <c r="R32" s="16" t="s">
        <v>2982</v>
      </c>
      <c r="S32" s="16" t="s">
        <v>2982</v>
      </c>
      <c r="T32" s="16" t="s">
        <v>2982</v>
      </c>
      <c r="U32" s="16" t="s">
        <v>2982</v>
      </c>
      <c r="V32" s="16" t="s">
        <v>2982</v>
      </c>
      <c r="W32" s="16" t="s">
        <v>2982</v>
      </c>
      <c r="X32" s="16" t="s">
        <v>2982</v>
      </c>
      <c r="AA32" s="24"/>
      <c r="AB32" s="3"/>
      <c r="AC32" s="3"/>
      <c r="AD32" s="80"/>
      <c r="AE32" s="80"/>
      <c r="AF32" s="80"/>
      <c r="AG32" s="80"/>
      <c r="AH32" s="411"/>
      <c r="AI32" s="411"/>
      <c r="AJ32" s="411"/>
      <c r="AK32" s="411"/>
    </row>
    <row r="33" spans="1:37" x14ac:dyDescent="0.15">
      <c r="A33" s="12" t="s">
        <v>52</v>
      </c>
      <c r="B33" s="13" t="s">
        <v>53</v>
      </c>
      <c r="C33" s="13" t="s">
        <v>27</v>
      </c>
      <c r="D33" s="13" t="s">
        <v>54</v>
      </c>
      <c r="E33" s="12" t="s">
        <v>29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131231.91</v>
      </c>
      <c r="O33" s="14">
        <v>1187948.25</v>
      </c>
      <c r="P33" s="15">
        <v>3564305.29</v>
      </c>
      <c r="Q33" s="15">
        <v>373136.57</v>
      </c>
      <c r="R33" s="16">
        <v>15364.809999999998</v>
      </c>
      <c r="S33" s="16" t="s">
        <v>2982</v>
      </c>
      <c r="T33" s="16" t="s">
        <v>2982</v>
      </c>
      <c r="U33" s="16" t="s">
        <v>2982</v>
      </c>
      <c r="V33" s="16" t="s">
        <v>2982</v>
      </c>
      <c r="W33" s="16" t="s">
        <v>2982</v>
      </c>
      <c r="X33" s="16" t="s">
        <v>2982</v>
      </c>
      <c r="AA33" s="24"/>
      <c r="AB33" s="3"/>
      <c r="AC33" s="3"/>
      <c r="AD33" s="80"/>
      <c r="AE33" s="80"/>
      <c r="AF33" s="80"/>
      <c r="AG33" s="80"/>
      <c r="AH33" s="411"/>
      <c r="AI33" s="411"/>
      <c r="AJ33" s="411"/>
      <c r="AK33" s="411"/>
    </row>
    <row r="34" spans="1:37" x14ac:dyDescent="0.15">
      <c r="A34" s="12" t="s">
        <v>57</v>
      </c>
      <c r="B34" s="13" t="s">
        <v>58</v>
      </c>
      <c r="C34" s="13" t="s">
        <v>27</v>
      </c>
      <c r="D34" s="13" t="s">
        <v>28</v>
      </c>
      <c r="E34" s="12" t="s">
        <v>29</v>
      </c>
      <c r="F34" s="14">
        <v>0</v>
      </c>
      <c r="G34" s="14">
        <v>0</v>
      </c>
      <c r="H34" s="14">
        <v>38503</v>
      </c>
      <c r="I34" s="14">
        <v>247149.1</v>
      </c>
      <c r="J34" s="14">
        <v>673856.07</v>
      </c>
      <c r="K34" s="14">
        <v>4689603.7300000004</v>
      </c>
      <c r="L34" s="14">
        <v>9839939.1899999995</v>
      </c>
      <c r="M34" s="14">
        <v>7572131.0899999999</v>
      </c>
      <c r="N34" s="14">
        <v>697035.34</v>
      </c>
      <c r="O34" s="14">
        <v>230314.93</v>
      </c>
      <c r="P34" s="15">
        <v>82087.88</v>
      </c>
      <c r="Q34" s="15">
        <v>27967.15</v>
      </c>
      <c r="R34" s="16" t="s">
        <v>2982</v>
      </c>
      <c r="S34" s="16" t="s">
        <v>2982</v>
      </c>
      <c r="T34" s="16" t="s">
        <v>2982</v>
      </c>
      <c r="U34" s="16" t="s">
        <v>2982</v>
      </c>
      <c r="V34" s="16" t="s">
        <v>2982</v>
      </c>
      <c r="W34" s="16" t="s">
        <v>2982</v>
      </c>
      <c r="X34" s="16" t="s">
        <v>2982</v>
      </c>
      <c r="AA34" s="24"/>
      <c r="AB34" s="3"/>
      <c r="AC34" s="3"/>
      <c r="AD34" s="80"/>
      <c r="AE34" s="80"/>
      <c r="AF34" s="80"/>
      <c r="AG34" s="80"/>
      <c r="AH34" s="411"/>
      <c r="AI34" s="411"/>
      <c r="AJ34" s="411"/>
      <c r="AK34" s="411"/>
    </row>
    <row r="35" spans="1:37" x14ac:dyDescent="0.15">
      <c r="A35" s="12" t="s">
        <v>61</v>
      </c>
      <c r="B35" s="13" t="s">
        <v>62</v>
      </c>
      <c r="C35" s="13" t="s">
        <v>27</v>
      </c>
      <c r="D35" s="13" t="s">
        <v>40</v>
      </c>
      <c r="E35" s="12" t="s">
        <v>29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/>
      <c r="O35" s="14">
        <v>301176.65000000002</v>
      </c>
      <c r="P35" s="15">
        <v>12290961.529999999</v>
      </c>
      <c r="Q35" s="15">
        <v>8690257.0600000005</v>
      </c>
      <c r="R35" s="16">
        <v>433514.12999999896</v>
      </c>
      <c r="S35" s="16" t="s">
        <v>2982</v>
      </c>
      <c r="T35" s="16" t="s">
        <v>2982</v>
      </c>
      <c r="U35" s="16" t="s">
        <v>2982</v>
      </c>
      <c r="V35" s="16" t="s">
        <v>2982</v>
      </c>
      <c r="W35" s="16" t="s">
        <v>2982</v>
      </c>
      <c r="X35" s="16" t="s">
        <v>2982</v>
      </c>
      <c r="AA35" s="24"/>
      <c r="AB35" s="3"/>
      <c r="AC35" s="3"/>
      <c r="AD35" s="80"/>
      <c r="AE35" s="80"/>
      <c r="AF35" s="80"/>
      <c r="AG35" s="80"/>
      <c r="AH35" s="411"/>
      <c r="AI35" s="411"/>
      <c r="AJ35" s="411"/>
      <c r="AK35" s="411"/>
    </row>
    <row r="36" spans="1:37" x14ac:dyDescent="0.15">
      <c r="A36" s="12" t="s">
        <v>67</v>
      </c>
      <c r="B36" s="13" t="s">
        <v>68</v>
      </c>
      <c r="C36" s="13" t="s">
        <v>27</v>
      </c>
      <c r="D36" s="13" t="s">
        <v>28</v>
      </c>
      <c r="E36" s="12" t="s">
        <v>29</v>
      </c>
      <c r="F36" s="14">
        <v>0</v>
      </c>
      <c r="G36" s="14">
        <v>0</v>
      </c>
      <c r="H36" s="14">
        <v>77228</v>
      </c>
      <c r="I36" s="14">
        <v>0</v>
      </c>
      <c r="J36" s="14">
        <v>453453.13</v>
      </c>
      <c r="K36" s="14">
        <v>1359903.97</v>
      </c>
      <c r="L36" s="14">
        <v>14877728.73</v>
      </c>
      <c r="M36" s="14">
        <v>37695811.990000002</v>
      </c>
      <c r="N36" s="14">
        <v>11090338.27</v>
      </c>
      <c r="O36" s="14">
        <v>1206213.96</v>
      </c>
      <c r="P36" s="15">
        <v>1147486.3</v>
      </c>
      <c r="Q36" s="15">
        <v>989831.67</v>
      </c>
      <c r="R36" s="16">
        <v>32567.899999999994</v>
      </c>
      <c r="S36" s="16" t="s">
        <v>2982</v>
      </c>
      <c r="T36" s="16" t="s">
        <v>2982</v>
      </c>
      <c r="U36" s="16" t="s">
        <v>2982</v>
      </c>
      <c r="V36" s="16" t="s">
        <v>2982</v>
      </c>
      <c r="W36" s="16" t="s">
        <v>2982</v>
      </c>
      <c r="X36" s="16" t="s">
        <v>2982</v>
      </c>
      <c r="AA36" s="24"/>
      <c r="AB36" s="3"/>
      <c r="AC36" s="3"/>
      <c r="AD36" s="80"/>
      <c r="AE36" s="80"/>
      <c r="AF36" s="80"/>
      <c r="AG36" s="80"/>
      <c r="AH36" s="411"/>
      <c r="AI36" s="411"/>
      <c r="AJ36" s="411"/>
      <c r="AK36" s="411"/>
    </row>
    <row r="37" spans="1:37" x14ac:dyDescent="0.15">
      <c r="A37" s="12" t="s">
        <v>69</v>
      </c>
      <c r="B37" s="13" t="s">
        <v>70</v>
      </c>
      <c r="C37" s="13" t="s">
        <v>2371</v>
      </c>
      <c r="D37" s="13" t="s">
        <v>28</v>
      </c>
      <c r="E37" s="12" t="s">
        <v>29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/>
      <c r="O37" s="14"/>
      <c r="P37" s="15">
        <v>40538.910000000003</v>
      </c>
      <c r="Q37" s="15">
        <v>73568.75</v>
      </c>
      <c r="R37" s="16">
        <v>-114107.66</v>
      </c>
      <c r="S37" s="16" t="s">
        <v>2982</v>
      </c>
      <c r="T37" s="16" t="s">
        <v>2982</v>
      </c>
      <c r="U37" s="16" t="s">
        <v>2982</v>
      </c>
      <c r="V37" s="16" t="s">
        <v>2982</v>
      </c>
      <c r="W37" s="16" t="s">
        <v>2982</v>
      </c>
      <c r="X37" s="16" t="s">
        <v>2982</v>
      </c>
      <c r="AA37" s="24"/>
      <c r="AB37" s="3"/>
      <c r="AC37" s="3"/>
      <c r="AD37" s="80"/>
      <c r="AE37" s="80"/>
      <c r="AF37" s="80"/>
      <c r="AG37" s="80"/>
      <c r="AH37" s="411"/>
      <c r="AI37" s="411"/>
      <c r="AJ37" s="411"/>
      <c r="AK37" s="411"/>
    </row>
    <row r="38" spans="1:37" x14ac:dyDescent="0.15">
      <c r="A38" s="12" t="s">
        <v>72</v>
      </c>
      <c r="B38" s="13" t="s">
        <v>73</v>
      </c>
      <c r="C38" s="13" t="s">
        <v>27</v>
      </c>
      <c r="D38" s="13" t="s">
        <v>40</v>
      </c>
      <c r="E38" s="12" t="s">
        <v>32</v>
      </c>
      <c r="F38" s="14">
        <v>0</v>
      </c>
      <c r="G38" s="14">
        <v>0</v>
      </c>
      <c r="H38" s="14">
        <v>18240</v>
      </c>
      <c r="I38" s="14">
        <v>0</v>
      </c>
      <c r="J38" s="14">
        <v>25691.19</v>
      </c>
      <c r="K38" s="14">
        <v>263358.78999999998</v>
      </c>
      <c r="L38" s="14">
        <v>2199097.6</v>
      </c>
      <c r="M38" s="14">
        <v>7683992.3799999999</v>
      </c>
      <c r="N38" s="14">
        <v>1100087.3</v>
      </c>
      <c r="O38" s="14">
        <v>214079.04</v>
      </c>
      <c r="P38" s="15">
        <v>16232.07</v>
      </c>
      <c r="Q38" s="15" t="s">
        <v>2982</v>
      </c>
      <c r="R38" s="16" t="s">
        <v>2982</v>
      </c>
      <c r="S38" s="16" t="s">
        <v>2982</v>
      </c>
      <c r="T38" s="16" t="s">
        <v>2982</v>
      </c>
      <c r="U38" s="16" t="s">
        <v>2982</v>
      </c>
      <c r="V38" s="16" t="s">
        <v>2982</v>
      </c>
      <c r="W38" s="16" t="s">
        <v>2982</v>
      </c>
      <c r="X38" s="16" t="s">
        <v>2982</v>
      </c>
      <c r="AA38" s="24"/>
      <c r="AB38" s="3"/>
      <c r="AC38" s="3"/>
      <c r="AD38" s="80"/>
      <c r="AE38" s="80"/>
      <c r="AF38" s="80"/>
      <c r="AG38" s="80"/>
      <c r="AH38" s="411"/>
      <c r="AI38" s="411"/>
      <c r="AJ38" s="411"/>
      <c r="AK38" s="411"/>
    </row>
    <row r="39" spans="1:37" x14ac:dyDescent="0.15">
      <c r="A39" s="12" t="s">
        <v>74</v>
      </c>
      <c r="B39" s="13" t="s">
        <v>75</v>
      </c>
      <c r="C39" s="13" t="s">
        <v>27</v>
      </c>
      <c r="D39" s="13" t="s">
        <v>44</v>
      </c>
      <c r="E39" s="12" t="s">
        <v>32</v>
      </c>
      <c r="F39" s="14">
        <v>0</v>
      </c>
      <c r="G39" s="14">
        <v>0</v>
      </c>
      <c r="H39" s="14">
        <v>0</v>
      </c>
      <c r="I39" s="14">
        <v>0</v>
      </c>
      <c r="J39" s="14">
        <v>4826.04</v>
      </c>
      <c r="K39" s="14">
        <v>101717.9</v>
      </c>
      <c r="L39" s="14">
        <v>9808.48</v>
      </c>
      <c r="M39" s="14">
        <v>0</v>
      </c>
      <c r="N39" s="14"/>
      <c r="O39" s="14"/>
      <c r="P39" s="15"/>
      <c r="Q39" s="15">
        <v>-116945.18</v>
      </c>
      <c r="R39" s="16" t="s">
        <v>2982</v>
      </c>
      <c r="S39" s="16" t="s">
        <v>2982</v>
      </c>
      <c r="T39" s="16" t="s">
        <v>2982</v>
      </c>
      <c r="U39" s="16" t="s">
        <v>2982</v>
      </c>
      <c r="V39" s="16" t="s">
        <v>2982</v>
      </c>
      <c r="W39" s="16" t="s">
        <v>2982</v>
      </c>
      <c r="X39" s="16" t="s">
        <v>2982</v>
      </c>
      <c r="AA39" s="24"/>
      <c r="AB39" s="3"/>
      <c r="AC39" s="3"/>
      <c r="AD39" s="80"/>
      <c r="AE39" s="80"/>
      <c r="AF39" s="80"/>
      <c r="AG39" s="80"/>
      <c r="AH39" s="411"/>
      <c r="AI39" s="411"/>
      <c r="AJ39" s="411"/>
      <c r="AK39" s="411"/>
    </row>
    <row r="40" spans="1:37" x14ac:dyDescent="0.15">
      <c r="A40" s="12" t="s">
        <v>76</v>
      </c>
      <c r="B40" s="13" t="s">
        <v>77</v>
      </c>
      <c r="C40" s="13" t="s">
        <v>27</v>
      </c>
      <c r="D40" s="13" t="s">
        <v>40</v>
      </c>
      <c r="E40" s="12" t="s">
        <v>32</v>
      </c>
      <c r="F40" s="14">
        <v>0</v>
      </c>
      <c r="G40" s="14">
        <v>0</v>
      </c>
      <c r="H40" s="14">
        <v>0</v>
      </c>
      <c r="I40" s="14">
        <v>34867.480000000003</v>
      </c>
      <c r="J40" s="14">
        <v>298117.36</v>
      </c>
      <c r="K40" s="14">
        <v>814094.62</v>
      </c>
      <c r="L40" s="14">
        <v>2193174.1800000002</v>
      </c>
      <c r="M40" s="14">
        <v>50167.8</v>
      </c>
      <c r="N40" s="14">
        <v>-74756.86</v>
      </c>
      <c r="O40" s="14"/>
      <c r="P40" s="15">
        <v>273.05</v>
      </c>
      <c r="Q40" s="15" t="s">
        <v>2982</v>
      </c>
      <c r="R40" s="16" t="s">
        <v>2982</v>
      </c>
      <c r="S40" s="16" t="s">
        <v>2982</v>
      </c>
      <c r="T40" s="16" t="s">
        <v>2982</v>
      </c>
      <c r="U40" s="16" t="s">
        <v>2982</v>
      </c>
      <c r="V40" s="16" t="s">
        <v>2982</v>
      </c>
      <c r="W40" s="16" t="s">
        <v>2982</v>
      </c>
      <c r="X40" s="16" t="s">
        <v>2982</v>
      </c>
      <c r="AA40" s="24"/>
      <c r="AB40" s="3"/>
      <c r="AC40" s="3"/>
      <c r="AD40" s="80"/>
      <c r="AE40" s="80"/>
      <c r="AF40" s="80"/>
      <c r="AG40" s="80"/>
      <c r="AH40" s="411"/>
      <c r="AI40" s="411"/>
      <c r="AJ40" s="411"/>
      <c r="AK40" s="411"/>
    </row>
    <row r="41" spans="1:37" x14ac:dyDescent="0.15">
      <c r="A41" s="12" t="s">
        <v>78</v>
      </c>
      <c r="B41" s="13" t="s">
        <v>79</v>
      </c>
      <c r="C41" s="13" t="s">
        <v>27</v>
      </c>
      <c r="D41" s="13" t="s">
        <v>44</v>
      </c>
      <c r="E41" s="12" t="s">
        <v>45</v>
      </c>
      <c r="F41" s="14">
        <v>0</v>
      </c>
      <c r="G41" s="14">
        <v>0</v>
      </c>
      <c r="H41" s="14">
        <v>0</v>
      </c>
      <c r="I41" s="14">
        <v>0</v>
      </c>
      <c r="J41" s="14">
        <v>15015.66</v>
      </c>
      <c r="K41" s="14">
        <v>326471.92</v>
      </c>
      <c r="L41" s="14">
        <v>138665.04999999999</v>
      </c>
      <c r="M41" s="14">
        <v>85507.51</v>
      </c>
      <c r="N41" s="14">
        <v>174722.74</v>
      </c>
      <c r="O41" s="14">
        <v>15657.66</v>
      </c>
      <c r="P41" s="15"/>
      <c r="Q41" s="15">
        <v>-756040.54</v>
      </c>
      <c r="R41" s="16" t="s">
        <v>2982</v>
      </c>
      <c r="S41" s="16" t="s">
        <v>2982</v>
      </c>
      <c r="T41" s="16" t="s">
        <v>2982</v>
      </c>
      <c r="U41" s="16" t="s">
        <v>2982</v>
      </c>
      <c r="V41" s="16" t="s">
        <v>2982</v>
      </c>
      <c r="W41" s="16" t="s">
        <v>2982</v>
      </c>
      <c r="X41" s="16" t="s">
        <v>2982</v>
      </c>
      <c r="AA41" s="24"/>
      <c r="AB41" s="3"/>
      <c r="AC41" s="3"/>
      <c r="AD41" s="80"/>
      <c r="AE41" s="80"/>
      <c r="AF41" s="80"/>
      <c r="AG41" s="80"/>
      <c r="AH41" s="411"/>
      <c r="AI41" s="411"/>
      <c r="AJ41" s="411"/>
      <c r="AK41" s="411"/>
    </row>
    <row r="42" spans="1:37" x14ac:dyDescent="0.15">
      <c r="A42" s="12" t="s">
        <v>80</v>
      </c>
      <c r="B42" s="13" t="s">
        <v>81</v>
      </c>
      <c r="C42" s="13" t="s">
        <v>27</v>
      </c>
      <c r="D42" s="13" t="s">
        <v>55</v>
      </c>
      <c r="E42" s="12" t="s">
        <v>45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164575.43</v>
      </c>
      <c r="L42" s="14">
        <v>240508.19</v>
      </c>
      <c r="M42" s="14">
        <v>117943.46</v>
      </c>
      <c r="N42" s="14"/>
      <c r="O42" s="14">
        <v>39373.82</v>
      </c>
      <c r="P42" s="15"/>
      <c r="Q42" s="15" t="s">
        <v>2982</v>
      </c>
      <c r="R42" s="16">
        <v>593590.43999999994</v>
      </c>
      <c r="S42" s="16" t="s">
        <v>2982</v>
      </c>
      <c r="T42" s="16" t="s">
        <v>2982</v>
      </c>
      <c r="U42" s="16" t="s">
        <v>2982</v>
      </c>
      <c r="V42" s="16" t="s">
        <v>2982</v>
      </c>
      <c r="W42" s="16" t="s">
        <v>2982</v>
      </c>
      <c r="X42" s="16" t="s">
        <v>2982</v>
      </c>
      <c r="AA42" s="24"/>
      <c r="AB42" s="3"/>
      <c r="AC42" s="3"/>
      <c r="AD42" s="80"/>
      <c r="AE42" s="80"/>
      <c r="AF42" s="80"/>
      <c r="AG42" s="80"/>
      <c r="AH42" s="411"/>
      <c r="AI42" s="411"/>
      <c r="AJ42" s="411"/>
      <c r="AK42" s="411"/>
    </row>
    <row r="43" spans="1:37" x14ac:dyDescent="0.15">
      <c r="A43" s="12" t="s">
        <v>2269</v>
      </c>
      <c r="B43" s="13" t="s">
        <v>2268</v>
      </c>
      <c r="C43" s="13" t="s">
        <v>27</v>
      </c>
      <c r="D43" s="13" t="s">
        <v>55</v>
      </c>
      <c r="E43" s="12" t="s">
        <v>32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254962.77</v>
      </c>
      <c r="L43" s="14">
        <v>0</v>
      </c>
      <c r="M43" s="14">
        <v>0</v>
      </c>
      <c r="N43" s="14"/>
      <c r="O43" s="14"/>
      <c r="P43" s="15">
        <f>-254962.77+20013.73</f>
        <v>-234949.03999999998</v>
      </c>
      <c r="Q43" s="15" t="s">
        <v>2982</v>
      </c>
      <c r="R43" s="16" t="s">
        <v>2982</v>
      </c>
      <c r="S43" s="16" t="s">
        <v>2982</v>
      </c>
      <c r="T43" s="16" t="s">
        <v>2982</v>
      </c>
      <c r="U43" s="16" t="s">
        <v>2982</v>
      </c>
      <c r="V43" s="16" t="s">
        <v>2982</v>
      </c>
      <c r="W43" s="16" t="s">
        <v>2982</v>
      </c>
      <c r="X43" s="16" t="s">
        <v>2982</v>
      </c>
      <c r="AA43" s="24"/>
      <c r="AB43" s="3"/>
      <c r="AC43" s="3"/>
      <c r="AD43" s="80"/>
      <c r="AE43" s="80"/>
      <c r="AF43" s="80"/>
      <c r="AG43" s="80"/>
      <c r="AH43" s="411"/>
      <c r="AI43" s="411"/>
      <c r="AJ43" s="411"/>
      <c r="AK43" s="411"/>
    </row>
    <row r="44" spans="1:37" x14ac:dyDescent="0.15">
      <c r="A44" s="12" t="s">
        <v>82</v>
      </c>
      <c r="B44" s="13" t="s">
        <v>83</v>
      </c>
      <c r="C44" s="78" t="s">
        <v>3149</v>
      </c>
      <c r="D44" s="78" t="s">
        <v>28</v>
      </c>
      <c r="E44" s="78" t="s">
        <v>84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1413756.58</v>
      </c>
      <c r="M44" s="14">
        <v>871332.2</v>
      </c>
      <c r="N44" s="14">
        <v>45.45</v>
      </c>
      <c r="O44" s="14"/>
      <c r="P44" s="15"/>
      <c r="Q44" s="15" t="s">
        <v>2982</v>
      </c>
      <c r="R44" s="16" t="s">
        <v>2982</v>
      </c>
      <c r="S44" s="16" t="s">
        <v>2973</v>
      </c>
      <c r="T44" s="16" t="s">
        <v>2973</v>
      </c>
      <c r="U44" s="16" t="s">
        <v>2973</v>
      </c>
      <c r="V44" s="16" t="s">
        <v>2973</v>
      </c>
      <c r="W44" s="16" t="s">
        <v>2973</v>
      </c>
      <c r="X44" s="16" t="s">
        <v>2973</v>
      </c>
      <c r="AA44" s="24"/>
      <c r="AB44" s="3"/>
      <c r="AC44" s="3"/>
      <c r="AD44" s="80"/>
      <c r="AE44" s="80"/>
      <c r="AF44" s="80"/>
      <c r="AG44" s="80"/>
      <c r="AH44" s="411"/>
      <c r="AI44" s="411"/>
      <c r="AJ44" s="411"/>
      <c r="AK44" s="411"/>
    </row>
    <row r="45" spans="1:37" x14ac:dyDescent="0.15">
      <c r="A45" s="12" t="s">
        <v>85</v>
      </c>
      <c r="B45" s="13" t="s">
        <v>86</v>
      </c>
      <c r="C45" s="13" t="s">
        <v>27</v>
      </c>
      <c r="D45" s="13" t="s">
        <v>54</v>
      </c>
      <c r="E45" s="12" t="s">
        <v>32</v>
      </c>
      <c r="F45" s="14">
        <v>0</v>
      </c>
      <c r="G45" s="14">
        <v>0</v>
      </c>
      <c r="H45" s="14">
        <v>5915</v>
      </c>
      <c r="I45" s="14">
        <v>0</v>
      </c>
      <c r="J45" s="14">
        <v>5170.29</v>
      </c>
      <c r="K45" s="14">
        <v>166130.54999999999</v>
      </c>
      <c r="L45" s="14">
        <v>291183.75</v>
      </c>
      <c r="M45" s="14">
        <v>2416906.69</v>
      </c>
      <c r="N45" s="14">
        <v>116388.69</v>
      </c>
      <c r="O45" s="14"/>
      <c r="P45" s="15">
        <v>-15090</v>
      </c>
      <c r="Q45" s="15" t="s">
        <v>2982</v>
      </c>
      <c r="R45" s="16" t="s">
        <v>2982</v>
      </c>
      <c r="S45" s="16" t="s">
        <v>2982</v>
      </c>
      <c r="T45" s="16" t="s">
        <v>2982</v>
      </c>
      <c r="U45" s="16" t="s">
        <v>2982</v>
      </c>
      <c r="V45" s="16" t="s">
        <v>2982</v>
      </c>
      <c r="W45" s="16" t="s">
        <v>2982</v>
      </c>
      <c r="X45" s="16" t="s">
        <v>2982</v>
      </c>
      <c r="AA45" s="24"/>
      <c r="AB45" s="3"/>
      <c r="AC45" s="3"/>
      <c r="AD45" s="80"/>
      <c r="AE45" s="80"/>
      <c r="AF45" s="80"/>
      <c r="AG45" s="80"/>
      <c r="AH45" s="411"/>
      <c r="AI45" s="411"/>
      <c r="AJ45" s="411"/>
      <c r="AK45" s="411"/>
    </row>
    <row r="46" spans="1:37" x14ac:dyDescent="0.15">
      <c r="A46" s="12" t="s">
        <v>87</v>
      </c>
      <c r="B46" s="13" t="s">
        <v>88</v>
      </c>
      <c r="C46" s="13" t="s">
        <v>27</v>
      </c>
      <c r="D46" s="13" t="s">
        <v>31</v>
      </c>
      <c r="E46" s="12" t="s">
        <v>32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459297.58</v>
      </c>
      <c r="L46" s="14">
        <v>1236085.3700000001</v>
      </c>
      <c r="M46" s="14">
        <v>4746280.5199999996</v>
      </c>
      <c r="N46" s="14">
        <v>7405961.0599999996</v>
      </c>
      <c r="O46" s="14">
        <v>18429504.32</v>
      </c>
      <c r="P46" s="15">
        <v>37006.379999999997</v>
      </c>
      <c r="Q46" s="15">
        <v>193768.15</v>
      </c>
      <c r="R46" s="16" t="s">
        <v>2982</v>
      </c>
      <c r="S46" s="16" t="s">
        <v>2982</v>
      </c>
      <c r="T46" s="16" t="s">
        <v>2982</v>
      </c>
      <c r="U46" s="16" t="s">
        <v>2982</v>
      </c>
      <c r="V46" s="16" t="s">
        <v>2982</v>
      </c>
      <c r="W46" s="16" t="s">
        <v>2982</v>
      </c>
      <c r="X46" s="16" t="s">
        <v>2982</v>
      </c>
      <c r="AA46" s="24"/>
      <c r="AB46" s="3"/>
      <c r="AC46" s="3"/>
      <c r="AD46" s="80"/>
      <c r="AE46" s="80"/>
      <c r="AF46" s="80"/>
      <c r="AG46" s="80"/>
      <c r="AH46" s="411"/>
      <c r="AI46" s="411"/>
      <c r="AJ46" s="411"/>
      <c r="AK46" s="411"/>
    </row>
    <row r="47" spans="1:37" x14ac:dyDescent="0.15">
      <c r="A47" s="12" t="s">
        <v>89</v>
      </c>
      <c r="B47" s="13" t="s">
        <v>90</v>
      </c>
      <c r="C47" s="13" t="s">
        <v>27</v>
      </c>
      <c r="D47" s="13" t="s">
        <v>54</v>
      </c>
      <c r="E47" s="12" t="s">
        <v>32</v>
      </c>
      <c r="F47" s="14">
        <v>0</v>
      </c>
      <c r="G47" s="14">
        <v>0</v>
      </c>
      <c r="H47" s="14">
        <v>0</v>
      </c>
      <c r="I47" s="14">
        <v>107614.86</v>
      </c>
      <c r="J47" s="14">
        <v>2026660.21</v>
      </c>
      <c r="K47" s="14">
        <v>5821932.9500000002</v>
      </c>
      <c r="L47" s="14">
        <v>5526002.0099999998</v>
      </c>
      <c r="M47" s="14">
        <v>580408.01</v>
      </c>
      <c r="N47" s="14">
        <v>546782.29</v>
      </c>
      <c r="O47" s="14">
        <v>3550.71</v>
      </c>
      <c r="P47" s="15">
        <v>148.43</v>
      </c>
      <c r="Q47" s="15" t="s">
        <v>2982</v>
      </c>
      <c r="R47" s="16" t="s">
        <v>2982</v>
      </c>
      <c r="S47" s="16" t="s">
        <v>2982</v>
      </c>
      <c r="T47" s="16" t="s">
        <v>2982</v>
      </c>
      <c r="U47" s="16" t="s">
        <v>2982</v>
      </c>
      <c r="V47" s="16" t="s">
        <v>2982</v>
      </c>
      <c r="W47" s="16" t="s">
        <v>2982</v>
      </c>
      <c r="X47" s="16" t="s">
        <v>2982</v>
      </c>
      <c r="AA47" s="24"/>
      <c r="AB47" s="3"/>
      <c r="AC47" s="3"/>
      <c r="AD47" s="80"/>
      <c r="AE47" s="80"/>
      <c r="AF47" s="80"/>
      <c r="AG47" s="80"/>
      <c r="AH47" s="411"/>
      <c r="AI47" s="411"/>
      <c r="AJ47" s="411"/>
      <c r="AK47" s="411"/>
    </row>
    <row r="48" spans="1:37" x14ac:dyDescent="0.15">
      <c r="A48" s="12" t="s">
        <v>91</v>
      </c>
      <c r="B48" s="13" t="s">
        <v>92</v>
      </c>
      <c r="C48" s="13" t="s">
        <v>27</v>
      </c>
      <c r="D48" s="13" t="s">
        <v>55</v>
      </c>
      <c r="E48" s="12" t="s">
        <v>32</v>
      </c>
      <c r="F48" s="14">
        <v>0</v>
      </c>
      <c r="G48" s="14">
        <v>0</v>
      </c>
      <c r="H48" s="14">
        <v>0</v>
      </c>
      <c r="I48" s="14">
        <v>0</v>
      </c>
      <c r="J48" s="14">
        <v>238513.45</v>
      </c>
      <c r="K48" s="14">
        <v>135131.38</v>
      </c>
      <c r="L48" s="14">
        <v>94858.79</v>
      </c>
      <c r="M48" s="14">
        <v>95193.71</v>
      </c>
      <c r="N48" s="14">
        <v>182971.82</v>
      </c>
      <c r="O48" s="14">
        <v>320398.09000000003</v>
      </c>
      <c r="P48" s="15">
        <v>344966.82</v>
      </c>
      <c r="Q48" s="15">
        <v>384962.43</v>
      </c>
      <c r="R48" s="16">
        <v>7195.9</v>
      </c>
      <c r="S48" s="16" t="s">
        <v>2982</v>
      </c>
      <c r="T48" s="16" t="s">
        <v>2982</v>
      </c>
      <c r="U48" s="16" t="s">
        <v>2982</v>
      </c>
      <c r="V48" s="16" t="s">
        <v>2982</v>
      </c>
      <c r="W48" s="16" t="s">
        <v>2982</v>
      </c>
      <c r="X48" s="16" t="s">
        <v>2982</v>
      </c>
      <c r="AA48" s="24"/>
      <c r="AB48" s="3"/>
      <c r="AC48" s="3"/>
      <c r="AD48" s="80"/>
      <c r="AE48" s="80"/>
      <c r="AF48" s="80"/>
      <c r="AG48" s="80"/>
      <c r="AH48" s="411"/>
      <c r="AI48" s="411"/>
      <c r="AJ48" s="411"/>
      <c r="AK48" s="411"/>
    </row>
    <row r="49" spans="1:37" x14ac:dyDescent="0.15">
      <c r="A49" s="12" t="s">
        <v>93</v>
      </c>
      <c r="B49" s="13" t="s">
        <v>94</v>
      </c>
      <c r="C49" s="13" t="s">
        <v>27</v>
      </c>
      <c r="D49" s="13" t="s">
        <v>40</v>
      </c>
      <c r="E49" s="12" t="s">
        <v>29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2703.28</v>
      </c>
      <c r="L49" s="14">
        <v>236981.66</v>
      </c>
      <c r="M49" s="14">
        <v>1081055.72</v>
      </c>
      <c r="N49" s="14">
        <v>635020.11</v>
      </c>
      <c r="O49" s="14">
        <v>650420.4</v>
      </c>
      <c r="P49" s="15">
        <v>373843.75</v>
      </c>
      <c r="Q49" s="15">
        <v>716673.3</v>
      </c>
      <c r="R49" s="16">
        <v>357.60999999998603</v>
      </c>
      <c r="S49" s="16" t="s">
        <v>2982</v>
      </c>
      <c r="T49" s="16" t="s">
        <v>2982</v>
      </c>
      <c r="U49" s="16" t="s">
        <v>2982</v>
      </c>
      <c r="V49" s="16" t="s">
        <v>2982</v>
      </c>
      <c r="W49" s="16" t="s">
        <v>2982</v>
      </c>
      <c r="X49" s="16" t="s">
        <v>2982</v>
      </c>
      <c r="AA49" s="24"/>
      <c r="AB49" s="3"/>
      <c r="AC49" s="3"/>
      <c r="AD49" s="80"/>
      <c r="AE49" s="80"/>
      <c r="AF49" s="80"/>
      <c r="AG49" s="80"/>
      <c r="AH49" s="411"/>
      <c r="AI49" s="411"/>
      <c r="AJ49" s="411"/>
      <c r="AK49" s="411"/>
    </row>
    <row r="50" spans="1:37" x14ac:dyDescent="0.15">
      <c r="A50" s="12" t="s">
        <v>95</v>
      </c>
      <c r="B50" s="13" t="s">
        <v>96</v>
      </c>
      <c r="C50" s="13" t="s">
        <v>27</v>
      </c>
      <c r="D50" s="13" t="s">
        <v>55</v>
      </c>
      <c r="E50" s="12" t="s">
        <v>32</v>
      </c>
      <c r="F50" s="14">
        <v>0</v>
      </c>
      <c r="G50" s="14">
        <v>0</v>
      </c>
      <c r="H50" s="14">
        <v>0</v>
      </c>
      <c r="I50" s="14">
        <v>0</v>
      </c>
      <c r="J50" s="14">
        <v>7039.44</v>
      </c>
      <c r="K50" s="14">
        <v>10890.38</v>
      </c>
      <c r="L50" s="14">
        <v>223367.44</v>
      </c>
      <c r="M50" s="14">
        <v>1308235.0900000001</v>
      </c>
      <c r="N50" s="14">
        <v>493502.02</v>
      </c>
      <c r="O50" s="14">
        <v>45049.86</v>
      </c>
      <c r="P50" s="15"/>
      <c r="Q50" s="15" t="s">
        <v>2982</v>
      </c>
      <c r="R50" s="16" t="s">
        <v>2982</v>
      </c>
      <c r="S50" s="16" t="s">
        <v>2982</v>
      </c>
      <c r="T50" s="16" t="s">
        <v>2982</v>
      </c>
      <c r="U50" s="16" t="s">
        <v>2982</v>
      </c>
      <c r="V50" s="16" t="s">
        <v>2982</v>
      </c>
      <c r="W50" s="16" t="s">
        <v>2982</v>
      </c>
      <c r="X50" s="16" t="s">
        <v>2982</v>
      </c>
      <c r="AA50" s="24"/>
      <c r="AB50" s="3"/>
      <c r="AC50" s="3"/>
      <c r="AD50" s="80"/>
      <c r="AE50" s="80"/>
      <c r="AF50" s="80"/>
      <c r="AG50" s="80"/>
      <c r="AH50" s="411"/>
      <c r="AI50" s="411"/>
      <c r="AJ50" s="411"/>
      <c r="AK50" s="411"/>
    </row>
    <row r="51" spans="1:37" x14ac:dyDescent="0.15">
      <c r="A51" s="12" t="s">
        <v>98</v>
      </c>
      <c r="B51" s="13" t="s">
        <v>99</v>
      </c>
      <c r="C51" s="13" t="s">
        <v>27</v>
      </c>
      <c r="D51" s="13" t="s">
        <v>55</v>
      </c>
      <c r="E51" s="12" t="s">
        <v>32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12682.87</v>
      </c>
      <c r="M51" s="14">
        <v>240717.04</v>
      </c>
      <c r="N51" s="14">
        <v>542699.27</v>
      </c>
      <c r="O51" s="14">
        <v>366767.58</v>
      </c>
      <c r="P51" s="15">
        <v>313547.76</v>
      </c>
      <c r="Q51" s="15" t="s">
        <v>2982</v>
      </c>
      <c r="R51" s="16" t="s">
        <v>2982</v>
      </c>
      <c r="S51" s="16" t="s">
        <v>2982</v>
      </c>
      <c r="T51" s="16" t="s">
        <v>2982</v>
      </c>
      <c r="U51" s="16" t="s">
        <v>2982</v>
      </c>
      <c r="V51" s="16" t="s">
        <v>2982</v>
      </c>
      <c r="W51" s="16" t="s">
        <v>2982</v>
      </c>
      <c r="X51" s="16" t="s">
        <v>2982</v>
      </c>
      <c r="AA51" s="24"/>
      <c r="AB51" s="3"/>
      <c r="AC51" s="3"/>
      <c r="AD51" s="80"/>
      <c r="AE51" s="80"/>
      <c r="AF51" s="80"/>
      <c r="AG51" s="80"/>
      <c r="AH51" s="411"/>
      <c r="AI51" s="411"/>
      <c r="AJ51" s="411"/>
      <c r="AK51" s="411"/>
    </row>
    <row r="52" spans="1:37" x14ac:dyDescent="0.15">
      <c r="A52" s="12" t="s">
        <v>100</v>
      </c>
      <c r="B52" s="13" t="s">
        <v>101</v>
      </c>
      <c r="C52" s="13" t="s">
        <v>27</v>
      </c>
      <c r="D52" s="13" t="s">
        <v>54</v>
      </c>
      <c r="E52" s="12" t="s">
        <v>30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35526.65</v>
      </c>
      <c r="L52" s="14">
        <v>197493.65</v>
      </c>
      <c r="M52" s="14">
        <v>331133.13</v>
      </c>
      <c r="N52" s="14">
        <v>501644.35</v>
      </c>
      <c r="O52" s="14">
        <v>142192.95000000001</v>
      </c>
      <c r="P52" s="15">
        <v>30379.49</v>
      </c>
      <c r="Q52" s="15">
        <v>-1238370.22</v>
      </c>
      <c r="R52" s="16" t="s">
        <v>2982</v>
      </c>
      <c r="S52" s="16" t="s">
        <v>2982</v>
      </c>
      <c r="T52" s="16" t="s">
        <v>2982</v>
      </c>
      <c r="U52" s="16" t="s">
        <v>2982</v>
      </c>
      <c r="V52" s="16" t="s">
        <v>2982</v>
      </c>
      <c r="W52" s="16" t="s">
        <v>2982</v>
      </c>
      <c r="X52" s="16" t="s">
        <v>2982</v>
      </c>
      <c r="AA52" s="24"/>
      <c r="AB52" s="3"/>
      <c r="AC52" s="3"/>
      <c r="AD52" s="80"/>
      <c r="AE52" s="80"/>
      <c r="AF52" s="80"/>
      <c r="AG52" s="80"/>
      <c r="AH52" s="411"/>
      <c r="AI52" s="411"/>
      <c r="AJ52" s="411"/>
      <c r="AK52" s="411"/>
    </row>
    <row r="53" spans="1:37" x14ac:dyDescent="0.15">
      <c r="A53" s="12" t="s">
        <v>102</v>
      </c>
      <c r="B53" s="13" t="s">
        <v>103</v>
      </c>
      <c r="C53" s="13" t="s">
        <v>27</v>
      </c>
      <c r="D53" s="13" t="s">
        <v>28</v>
      </c>
      <c r="E53" s="12" t="s">
        <v>32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2774905.31</v>
      </c>
      <c r="L53" s="14">
        <v>380743.78</v>
      </c>
      <c r="M53" s="14">
        <v>172163.75</v>
      </c>
      <c r="N53" s="14">
        <v>-633552.68999999994</v>
      </c>
      <c r="O53" s="14">
        <v>50000</v>
      </c>
      <c r="P53" s="15">
        <v>-2260000</v>
      </c>
      <c r="Q53" s="15">
        <v>-370000</v>
      </c>
      <c r="R53" s="16" t="s">
        <v>2982</v>
      </c>
      <c r="S53" s="16" t="s">
        <v>2982</v>
      </c>
      <c r="T53" s="16" t="s">
        <v>2982</v>
      </c>
      <c r="U53" s="16" t="s">
        <v>2982</v>
      </c>
      <c r="V53" s="16" t="s">
        <v>2982</v>
      </c>
      <c r="W53" s="16" t="s">
        <v>2982</v>
      </c>
      <c r="X53" s="16" t="s">
        <v>2982</v>
      </c>
      <c r="AA53" s="24"/>
      <c r="AB53" s="3"/>
      <c r="AC53" s="3"/>
      <c r="AD53" s="80"/>
      <c r="AE53" s="80"/>
      <c r="AF53" s="80"/>
      <c r="AG53" s="80"/>
      <c r="AH53" s="411"/>
      <c r="AI53" s="411"/>
      <c r="AJ53" s="411"/>
      <c r="AK53" s="411"/>
    </row>
    <row r="54" spans="1:37" x14ac:dyDescent="0.15">
      <c r="A54" s="12" t="s">
        <v>104</v>
      </c>
      <c r="B54" s="13" t="s">
        <v>105</v>
      </c>
      <c r="C54" s="13" t="s">
        <v>27</v>
      </c>
      <c r="D54" s="13" t="s">
        <v>54</v>
      </c>
      <c r="E54" s="12" t="s">
        <v>29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54051.360000000001</v>
      </c>
      <c r="M54" s="14">
        <v>71052.52</v>
      </c>
      <c r="N54" s="14">
        <v>18775.68</v>
      </c>
      <c r="O54" s="14">
        <v>45776.79</v>
      </c>
      <c r="P54" s="15">
        <v>108256.04</v>
      </c>
      <c r="Q54" s="15">
        <v>305955.33</v>
      </c>
      <c r="R54" s="16">
        <v>1117206.3500000001</v>
      </c>
      <c r="S54" s="16" t="s">
        <v>2982</v>
      </c>
      <c r="T54" s="16" t="s">
        <v>2982</v>
      </c>
      <c r="U54" s="16" t="s">
        <v>2982</v>
      </c>
      <c r="V54" s="16" t="s">
        <v>2982</v>
      </c>
      <c r="W54" s="16" t="s">
        <v>2982</v>
      </c>
      <c r="X54" s="16" t="s">
        <v>2982</v>
      </c>
      <c r="AA54" s="24"/>
      <c r="AB54" s="3"/>
      <c r="AC54" s="3"/>
      <c r="AD54" s="80"/>
      <c r="AE54" s="80"/>
      <c r="AF54" s="80"/>
      <c r="AG54" s="80"/>
      <c r="AH54" s="411"/>
      <c r="AI54" s="411"/>
      <c r="AJ54" s="411"/>
      <c r="AK54" s="411"/>
    </row>
    <row r="55" spans="1:37" x14ac:dyDescent="0.15">
      <c r="A55" s="12" t="s">
        <v>110</v>
      </c>
      <c r="B55" s="13" t="s">
        <v>111</v>
      </c>
      <c r="C55" s="13" t="s">
        <v>27</v>
      </c>
      <c r="D55" s="13" t="s">
        <v>40</v>
      </c>
      <c r="E55" s="12" t="s">
        <v>29</v>
      </c>
      <c r="F55" s="14">
        <v>0</v>
      </c>
      <c r="G55" s="14">
        <v>0</v>
      </c>
      <c r="H55" s="14">
        <v>54192</v>
      </c>
      <c r="I55" s="14">
        <v>0</v>
      </c>
      <c r="J55" s="14">
        <v>29678.639999999999</v>
      </c>
      <c r="K55" s="14">
        <v>732303.74</v>
      </c>
      <c r="L55" s="14">
        <v>3901923.03</v>
      </c>
      <c r="M55" s="14">
        <v>19554374.670000002</v>
      </c>
      <c r="N55" s="14">
        <v>14103021.539999999</v>
      </c>
      <c r="O55" s="14">
        <v>8009727.3799999999</v>
      </c>
      <c r="P55" s="15">
        <v>3145956.1</v>
      </c>
      <c r="Q55" s="15">
        <v>179069.77</v>
      </c>
      <c r="R55" s="16">
        <v>8291.9400000000023</v>
      </c>
      <c r="S55" s="16" t="s">
        <v>2982</v>
      </c>
      <c r="T55" s="16" t="s">
        <v>2982</v>
      </c>
      <c r="U55" s="16" t="s">
        <v>2982</v>
      </c>
      <c r="V55" s="16" t="s">
        <v>2982</v>
      </c>
      <c r="W55" s="16" t="s">
        <v>2982</v>
      </c>
      <c r="X55" s="16" t="s">
        <v>2982</v>
      </c>
      <c r="AA55" s="24"/>
      <c r="AB55" s="3"/>
      <c r="AC55" s="3"/>
      <c r="AD55" s="80"/>
      <c r="AE55" s="80"/>
      <c r="AF55" s="80"/>
      <c r="AG55" s="80"/>
      <c r="AH55" s="411"/>
      <c r="AI55" s="411"/>
      <c r="AJ55" s="411"/>
      <c r="AK55" s="411"/>
    </row>
    <row r="56" spans="1:37" x14ac:dyDescent="0.15">
      <c r="A56" s="511" t="s">
        <v>114</v>
      </c>
      <c r="B56" s="512" t="s">
        <v>115</v>
      </c>
      <c r="C56" s="512" t="s">
        <v>27</v>
      </c>
      <c r="D56" s="512" t="s">
        <v>40</v>
      </c>
      <c r="E56" s="511" t="s">
        <v>29</v>
      </c>
      <c r="F56" s="518">
        <v>0</v>
      </c>
      <c r="G56" s="518">
        <v>0</v>
      </c>
      <c r="H56" s="518">
        <v>0</v>
      </c>
      <c r="I56" s="518">
        <v>0</v>
      </c>
      <c r="J56" s="518">
        <v>0</v>
      </c>
      <c r="K56" s="518">
        <v>0</v>
      </c>
      <c r="L56" s="518">
        <v>406723.76</v>
      </c>
      <c r="M56" s="518">
        <v>1683133.11</v>
      </c>
      <c r="N56" s="518">
        <v>9006445.4700000007</v>
      </c>
      <c r="O56" s="518">
        <v>13834207.35</v>
      </c>
      <c r="P56" s="513">
        <v>31162866.48</v>
      </c>
      <c r="Q56" s="513">
        <f>-3055833.9308057-128</f>
        <v>-3055961.9308056999</v>
      </c>
      <c r="R56" s="513" t="s">
        <v>2982</v>
      </c>
      <c r="S56" s="513" t="s">
        <v>2982</v>
      </c>
      <c r="T56" s="513" t="s">
        <v>2982</v>
      </c>
      <c r="U56" s="513" t="s">
        <v>2982</v>
      </c>
      <c r="V56" s="513" t="s">
        <v>2982</v>
      </c>
      <c r="W56" s="513" t="s">
        <v>2982</v>
      </c>
      <c r="X56" s="513" t="s">
        <v>2982</v>
      </c>
      <c r="AA56" s="24"/>
      <c r="AB56" s="3"/>
      <c r="AC56" s="3"/>
      <c r="AD56" s="653">
        <v>-0.10663</v>
      </c>
      <c r="AE56" s="80">
        <v>0</v>
      </c>
      <c r="AF56" s="80">
        <v>0</v>
      </c>
      <c r="AG56" s="80">
        <v>0</v>
      </c>
      <c r="AH56" s="411">
        <v>0</v>
      </c>
      <c r="AI56" s="411">
        <v>0</v>
      </c>
      <c r="AJ56" s="411">
        <v>0</v>
      </c>
      <c r="AK56" s="411"/>
    </row>
    <row r="57" spans="1:37" x14ac:dyDescent="0.15">
      <c r="A57" s="12" t="s">
        <v>117</v>
      </c>
      <c r="B57" s="13" t="s">
        <v>118</v>
      </c>
      <c r="C57" s="13" t="s">
        <v>27</v>
      </c>
      <c r="D57" s="13" t="s">
        <v>40</v>
      </c>
      <c r="E57" s="12" t="s">
        <v>32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20153.740000000002</v>
      </c>
      <c r="N57" s="14">
        <v>372949.98</v>
      </c>
      <c r="O57" s="14">
        <v>731802.21</v>
      </c>
      <c r="P57" s="15">
        <v>494183.48</v>
      </c>
      <c r="Q57" s="15">
        <v>20020.939999999999</v>
      </c>
      <c r="R57" s="16" t="s">
        <v>2982</v>
      </c>
      <c r="S57" s="16" t="s">
        <v>2982</v>
      </c>
      <c r="T57" s="16" t="s">
        <v>2982</v>
      </c>
      <c r="U57" s="16" t="s">
        <v>2982</v>
      </c>
      <c r="V57" s="16" t="s">
        <v>2982</v>
      </c>
      <c r="W57" s="16" t="s">
        <v>2982</v>
      </c>
      <c r="X57" s="16" t="s">
        <v>2982</v>
      </c>
      <c r="AA57" s="24"/>
      <c r="AB57" s="3"/>
      <c r="AC57" s="3"/>
      <c r="AD57" s="80"/>
      <c r="AE57" s="80"/>
      <c r="AF57" s="80"/>
      <c r="AG57" s="80"/>
      <c r="AH57" s="411"/>
      <c r="AI57" s="411"/>
      <c r="AJ57" s="411"/>
      <c r="AK57" s="411"/>
    </row>
    <row r="58" spans="1:37" x14ac:dyDescent="0.15">
      <c r="A58" s="12" t="s">
        <v>124</v>
      </c>
      <c r="B58" s="13" t="s">
        <v>125</v>
      </c>
      <c r="C58" s="13" t="s">
        <v>27</v>
      </c>
      <c r="D58" s="13" t="s">
        <v>55</v>
      </c>
      <c r="E58" s="12" t="s">
        <v>29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/>
      <c r="O58" s="14"/>
      <c r="P58" s="15">
        <v>65315.69</v>
      </c>
      <c r="Q58" s="15">
        <v>436260.06</v>
      </c>
      <c r="R58" s="16">
        <v>3731431.159</v>
      </c>
      <c r="S58" s="16">
        <v>4477012.74</v>
      </c>
      <c r="T58" s="16" t="s">
        <v>2982</v>
      </c>
      <c r="U58" s="16" t="s">
        <v>2982</v>
      </c>
      <c r="V58" s="16" t="s">
        <v>2982</v>
      </c>
      <c r="W58" s="16" t="s">
        <v>2982</v>
      </c>
      <c r="X58" s="16" t="s">
        <v>2982</v>
      </c>
      <c r="AA58" s="24"/>
      <c r="AB58" s="3"/>
      <c r="AC58" s="3"/>
      <c r="AD58" s="80"/>
      <c r="AE58" s="80"/>
      <c r="AF58" s="80"/>
      <c r="AG58" s="80"/>
      <c r="AH58" s="411"/>
      <c r="AI58" s="411"/>
      <c r="AJ58" s="411"/>
      <c r="AK58" s="411"/>
    </row>
    <row r="59" spans="1:37" x14ac:dyDescent="0.15">
      <c r="A59" s="12" t="s">
        <v>126</v>
      </c>
      <c r="B59" s="13" t="s">
        <v>127</v>
      </c>
      <c r="C59" s="13" t="s">
        <v>27</v>
      </c>
      <c r="D59" s="13" t="s">
        <v>40</v>
      </c>
      <c r="E59" s="12" t="s">
        <v>32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281060.90000000002</v>
      </c>
      <c r="M59" s="14">
        <v>3275383.8</v>
      </c>
      <c r="N59" s="14">
        <v>213568.72</v>
      </c>
      <c r="O59" s="14">
        <v>52025.41</v>
      </c>
      <c r="P59" s="15">
        <v>41.02</v>
      </c>
      <c r="Q59" s="15" t="s">
        <v>2982</v>
      </c>
      <c r="R59" s="16" t="s">
        <v>2982</v>
      </c>
      <c r="S59" s="16" t="s">
        <v>2982</v>
      </c>
      <c r="T59" s="16" t="s">
        <v>2982</v>
      </c>
      <c r="U59" s="16" t="s">
        <v>2982</v>
      </c>
      <c r="V59" s="16" t="s">
        <v>2982</v>
      </c>
      <c r="W59" s="16" t="s">
        <v>2982</v>
      </c>
      <c r="X59" s="16" t="s">
        <v>2982</v>
      </c>
      <c r="AA59" s="24"/>
      <c r="AB59" s="3"/>
      <c r="AC59" s="3"/>
      <c r="AD59" s="80"/>
      <c r="AE59" s="80"/>
      <c r="AF59" s="80"/>
      <c r="AG59" s="80"/>
      <c r="AH59" s="411"/>
      <c r="AI59" s="411"/>
      <c r="AJ59" s="411"/>
      <c r="AK59" s="411"/>
    </row>
    <row r="60" spans="1:37" x14ac:dyDescent="0.15">
      <c r="A60" s="12" t="s">
        <v>128</v>
      </c>
      <c r="B60" s="13" t="s">
        <v>129</v>
      </c>
      <c r="C60" s="13" t="s">
        <v>27</v>
      </c>
      <c r="D60" s="13" t="s">
        <v>44</v>
      </c>
      <c r="E60" s="12" t="s">
        <v>29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16390.89</v>
      </c>
      <c r="N60" s="14">
        <v>28511.75</v>
      </c>
      <c r="O60" s="14">
        <v>3753770.75</v>
      </c>
      <c r="P60" s="15">
        <v>162824.4</v>
      </c>
      <c r="Q60" s="15">
        <v>1305116.01</v>
      </c>
      <c r="R60" s="16">
        <v>5139.3000000000029</v>
      </c>
      <c r="S60" s="16" t="s">
        <v>2982</v>
      </c>
      <c r="T60" s="16" t="s">
        <v>2982</v>
      </c>
      <c r="U60" s="16" t="s">
        <v>2982</v>
      </c>
      <c r="V60" s="16" t="s">
        <v>2982</v>
      </c>
      <c r="W60" s="16" t="s">
        <v>2982</v>
      </c>
      <c r="X60" s="16" t="s">
        <v>2982</v>
      </c>
      <c r="AA60" s="24"/>
      <c r="AB60" s="3"/>
      <c r="AC60" s="3"/>
      <c r="AD60" s="80"/>
      <c r="AE60" s="80"/>
      <c r="AF60" s="80"/>
      <c r="AG60" s="80"/>
      <c r="AH60" s="411"/>
      <c r="AI60" s="411"/>
      <c r="AJ60" s="411"/>
      <c r="AK60" s="411"/>
    </row>
    <row r="61" spans="1:37" x14ac:dyDescent="0.15">
      <c r="A61" s="12" t="s">
        <v>130</v>
      </c>
      <c r="B61" s="13" t="s">
        <v>131</v>
      </c>
      <c r="C61" s="13" t="s">
        <v>27</v>
      </c>
      <c r="D61" s="13" t="s">
        <v>54</v>
      </c>
      <c r="E61" s="12" t="s">
        <v>45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151954.94</v>
      </c>
      <c r="N61" s="14">
        <v>90876.98</v>
      </c>
      <c r="O61" s="14">
        <v>209796.12</v>
      </c>
      <c r="P61" s="15">
        <v>43076.15</v>
      </c>
      <c r="Q61" s="15">
        <v>6537.94</v>
      </c>
      <c r="R61" s="16">
        <v>54144.99</v>
      </c>
      <c r="S61" s="16" t="s">
        <v>2982</v>
      </c>
      <c r="T61" s="16" t="s">
        <v>2982</v>
      </c>
      <c r="U61" s="16" t="s">
        <v>2982</v>
      </c>
      <c r="V61" s="16" t="s">
        <v>2982</v>
      </c>
      <c r="W61" s="16" t="s">
        <v>2982</v>
      </c>
      <c r="X61" s="16" t="s">
        <v>2982</v>
      </c>
      <c r="AA61" s="24"/>
      <c r="AB61" s="3"/>
      <c r="AC61" s="3"/>
      <c r="AD61" s="80"/>
      <c r="AE61" s="80"/>
      <c r="AF61" s="80"/>
      <c r="AG61" s="80"/>
      <c r="AH61" s="411"/>
      <c r="AI61" s="411"/>
      <c r="AJ61" s="411"/>
      <c r="AK61" s="411"/>
    </row>
    <row r="62" spans="1:37" x14ac:dyDescent="0.15">
      <c r="A62" s="12" t="s">
        <v>132</v>
      </c>
      <c r="B62" s="13" t="s">
        <v>133</v>
      </c>
      <c r="C62" s="13" t="s">
        <v>27</v>
      </c>
      <c r="D62" s="13" t="s">
        <v>55</v>
      </c>
      <c r="E62" s="12" t="s">
        <v>32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437943.42</v>
      </c>
      <c r="M62" s="14">
        <v>502383.83</v>
      </c>
      <c r="N62" s="14">
        <v>301873.52</v>
      </c>
      <c r="O62" s="14">
        <v>193602.4</v>
      </c>
      <c r="P62" s="15">
        <v>253939.57</v>
      </c>
      <c r="Q62" s="15" t="s">
        <v>2982</v>
      </c>
      <c r="R62" s="16" t="s">
        <v>2982</v>
      </c>
      <c r="S62" s="16" t="s">
        <v>2982</v>
      </c>
      <c r="T62" s="16" t="s">
        <v>2982</v>
      </c>
      <c r="U62" s="16" t="s">
        <v>2982</v>
      </c>
      <c r="V62" s="16" t="s">
        <v>2982</v>
      </c>
      <c r="W62" s="16" t="s">
        <v>2982</v>
      </c>
      <c r="X62" s="16" t="s">
        <v>2982</v>
      </c>
      <c r="AA62" s="24"/>
      <c r="AB62" s="3"/>
      <c r="AC62" s="3"/>
      <c r="AD62" s="80"/>
      <c r="AE62" s="80"/>
      <c r="AF62" s="80"/>
      <c r="AG62" s="80"/>
      <c r="AH62" s="411"/>
      <c r="AI62" s="411"/>
      <c r="AJ62" s="411"/>
      <c r="AK62" s="411"/>
    </row>
    <row r="63" spans="1:37" x14ac:dyDescent="0.15">
      <c r="A63" s="12" t="s">
        <v>134</v>
      </c>
      <c r="B63" s="13" t="s">
        <v>135</v>
      </c>
      <c r="C63" s="13" t="s">
        <v>27</v>
      </c>
      <c r="D63" s="13" t="s">
        <v>28</v>
      </c>
      <c r="E63" s="12" t="s">
        <v>45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72170.820000000007</v>
      </c>
      <c r="M63" s="14">
        <v>445253.12</v>
      </c>
      <c r="N63" s="14">
        <v>19278.75</v>
      </c>
      <c r="O63" s="14">
        <v>-92939.59</v>
      </c>
      <c r="P63" s="15">
        <v>-445452.24</v>
      </c>
      <c r="Q63" s="15">
        <v>1689.14</v>
      </c>
      <c r="R63" s="16">
        <v>-1688.93</v>
      </c>
      <c r="S63" s="16">
        <v>0.12</v>
      </c>
      <c r="T63" s="16">
        <v>0.12</v>
      </c>
      <c r="U63" s="16">
        <v>0.12</v>
      </c>
      <c r="V63" s="16">
        <v>0.12</v>
      </c>
      <c r="W63" s="16">
        <v>0.12</v>
      </c>
      <c r="X63" s="16">
        <v>0.12</v>
      </c>
      <c r="AA63" s="24"/>
      <c r="AB63" s="3"/>
      <c r="AC63" s="3"/>
      <c r="AD63" s="80"/>
      <c r="AE63" s="80"/>
      <c r="AF63" s="80"/>
      <c r="AG63" s="80"/>
      <c r="AH63" s="411"/>
      <c r="AI63" s="411"/>
      <c r="AJ63" s="411"/>
      <c r="AK63" s="411"/>
    </row>
    <row r="64" spans="1:37" x14ac:dyDescent="0.15">
      <c r="A64" s="12" t="s">
        <v>137</v>
      </c>
      <c r="B64" s="13" t="s">
        <v>138</v>
      </c>
      <c r="C64" s="13" t="s">
        <v>27</v>
      </c>
      <c r="D64" s="13" t="s">
        <v>55</v>
      </c>
      <c r="E64" s="12" t="s">
        <v>32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168164.17</v>
      </c>
      <c r="N64" s="14">
        <v>572811.38</v>
      </c>
      <c r="O64" s="14">
        <v>294210.18</v>
      </c>
      <c r="P64" s="15">
        <v>281930.38</v>
      </c>
      <c r="Q64" s="15">
        <v>4171.92</v>
      </c>
      <c r="R64" s="16" t="s">
        <v>2982</v>
      </c>
      <c r="S64" s="16" t="s">
        <v>2982</v>
      </c>
      <c r="T64" s="16" t="s">
        <v>2982</v>
      </c>
      <c r="U64" s="16" t="s">
        <v>2982</v>
      </c>
      <c r="V64" s="16" t="s">
        <v>2982</v>
      </c>
      <c r="W64" s="16" t="s">
        <v>2982</v>
      </c>
      <c r="X64" s="16" t="s">
        <v>2982</v>
      </c>
      <c r="AA64" s="24"/>
      <c r="AB64" s="3"/>
      <c r="AC64" s="3"/>
      <c r="AD64" s="80"/>
      <c r="AE64" s="80"/>
      <c r="AF64" s="80"/>
      <c r="AG64" s="80"/>
      <c r="AH64" s="411"/>
      <c r="AI64" s="411"/>
      <c r="AJ64" s="411"/>
      <c r="AK64" s="411"/>
    </row>
    <row r="65" spans="1:37" x14ac:dyDescent="0.15">
      <c r="A65" s="12" t="s">
        <v>139</v>
      </c>
      <c r="B65" s="13" t="s">
        <v>140</v>
      </c>
      <c r="C65" s="13" t="s">
        <v>27</v>
      </c>
      <c r="D65" s="13" t="s">
        <v>55</v>
      </c>
      <c r="E65" s="12" t="s">
        <v>32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4774.95</v>
      </c>
      <c r="N65" s="14">
        <v>5096.9799999999996</v>
      </c>
      <c r="O65" s="14">
        <v>10581.42</v>
      </c>
      <c r="P65" s="15">
        <v>31114.43</v>
      </c>
      <c r="Q65" s="15">
        <v>3969.64</v>
      </c>
      <c r="R65" s="16" t="s">
        <v>2982</v>
      </c>
      <c r="S65" s="16" t="s">
        <v>2982</v>
      </c>
      <c r="T65" s="16" t="s">
        <v>2982</v>
      </c>
      <c r="U65" s="16" t="s">
        <v>2982</v>
      </c>
      <c r="V65" s="16" t="s">
        <v>2982</v>
      </c>
      <c r="W65" s="16" t="s">
        <v>2982</v>
      </c>
      <c r="X65" s="16" t="s">
        <v>2982</v>
      </c>
      <c r="AA65" s="24"/>
      <c r="AB65" s="3"/>
      <c r="AC65" s="3"/>
      <c r="AD65" s="80"/>
      <c r="AE65" s="80"/>
      <c r="AF65" s="80"/>
      <c r="AG65" s="80"/>
      <c r="AH65" s="411"/>
      <c r="AI65" s="411"/>
      <c r="AJ65" s="411"/>
      <c r="AK65" s="411"/>
    </row>
    <row r="66" spans="1:37" x14ac:dyDescent="0.15">
      <c r="A66" s="681" t="s">
        <v>143</v>
      </c>
      <c r="B66" s="13" t="s">
        <v>144</v>
      </c>
      <c r="C66" s="13" t="s">
        <v>2630</v>
      </c>
      <c r="D66" s="13" t="s">
        <v>28</v>
      </c>
      <c r="E66" s="12" t="s">
        <v>29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/>
      <c r="O66" s="14"/>
      <c r="P66" s="15"/>
      <c r="Q66" s="15">
        <v>103637.5</v>
      </c>
      <c r="R66" s="16">
        <v>846960.62</v>
      </c>
      <c r="S66" s="16" t="s">
        <v>2982</v>
      </c>
      <c r="T66" s="16" t="s">
        <v>2982</v>
      </c>
      <c r="U66" s="16" t="s">
        <v>2982</v>
      </c>
      <c r="V66" s="16" t="s">
        <v>2982</v>
      </c>
      <c r="W66" s="16" t="s">
        <v>2982</v>
      </c>
      <c r="X66" s="16" t="s">
        <v>2982</v>
      </c>
      <c r="AA66" s="24"/>
      <c r="AB66" s="3"/>
      <c r="AC66" s="3"/>
      <c r="AD66" s="80"/>
      <c r="AE66" s="80"/>
      <c r="AF66" s="80"/>
      <c r="AG66" s="80"/>
      <c r="AH66" s="411"/>
      <c r="AI66" s="411"/>
      <c r="AJ66" s="411"/>
      <c r="AK66" s="411"/>
    </row>
    <row r="67" spans="1:37" x14ac:dyDescent="0.15">
      <c r="A67" s="12" t="s">
        <v>145</v>
      </c>
      <c r="B67" s="13" t="s">
        <v>146</v>
      </c>
      <c r="C67" s="13" t="s">
        <v>27</v>
      </c>
      <c r="D67" s="13" t="s">
        <v>55</v>
      </c>
      <c r="E67" s="12" t="s">
        <v>29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2779.78</v>
      </c>
      <c r="M67" s="14">
        <v>92423.92</v>
      </c>
      <c r="N67" s="14">
        <v>103824.38</v>
      </c>
      <c r="O67" s="14">
        <v>270251.33</v>
      </c>
      <c r="P67" s="15">
        <v>892352.87</v>
      </c>
      <c r="Q67" s="15">
        <v>340965.75</v>
      </c>
      <c r="R67" s="16">
        <v>673401.39</v>
      </c>
      <c r="S67" s="16" t="s">
        <v>2982</v>
      </c>
      <c r="T67" s="16" t="s">
        <v>2982</v>
      </c>
      <c r="U67" s="16" t="s">
        <v>2982</v>
      </c>
      <c r="V67" s="16" t="s">
        <v>2982</v>
      </c>
      <c r="W67" s="16" t="s">
        <v>2982</v>
      </c>
      <c r="X67" s="16" t="s">
        <v>2982</v>
      </c>
      <c r="AA67" s="24"/>
      <c r="AB67" s="3"/>
      <c r="AC67" s="3"/>
      <c r="AD67" s="80"/>
      <c r="AE67" s="80"/>
      <c r="AF67" s="80"/>
      <c r="AG67" s="80"/>
      <c r="AH67" s="411"/>
      <c r="AI67" s="411"/>
      <c r="AJ67" s="411"/>
      <c r="AK67" s="411"/>
    </row>
    <row r="68" spans="1:37" x14ac:dyDescent="0.15">
      <c r="A68" s="12" t="s">
        <v>147</v>
      </c>
      <c r="B68" s="13" t="s">
        <v>148</v>
      </c>
      <c r="C68" s="13" t="s">
        <v>27</v>
      </c>
      <c r="D68" s="13" t="s">
        <v>55</v>
      </c>
      <c r="E68" s="12" t="s">
        <v>29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19050.560000000001</v>
      </c>
      <c r="M68" s="14">
        <v>39889.449999999997</v>
      </c>
      <c r="N68" s="14">
        <v>210929.43</v>
      </c>
      <c r="O68" s="14">
        <v>210134.06</v>
      </c>
      <c r="P68" s="15">
        <v>37989.519999999997</v>
      </c>
      <c r="Q68" s="15">
        <v>76830.36</v>
      </c>
      <c r="R68" s="16">
        <v>214092.8600000001</v>
      </c>
      <c r="S68" s="16" t="s">
        <v>2982</v>
      </c>
      <c r="T68" s="16" t="s">
        <v>2982</v>
      </c>
      <c r="U68" s="16" t="s">
        <v>2982</v>
      </c>
      <c r="V68" s="16" t="s">
        <v>2982</v>
      </c>
      <c r="W68" s="16" t="s">
        <v>2982</v>
      </c>
      <c r="X68" s="16" t="s">
        <v>2982</v>
      </c>
      <c r="AA68" s="24"/>
      <c r="AB68" s="3"/>
      <c r="AC68" s="3"/>
      <c r="AD68" s="80"/>
      <c r="AE68" s="80"/>
      <c r="AF68" s="80"/>
      <c r="AG68" s="80"/>
      <c r="AH68" s="411"/>
      <c r="AI68" s="411"/>
      <c r="AJ68" s="411"/>
      <c r="AK68" s="411"/>
    </row>
    <row r="69" spans="1:37" x14ac:dyDescent="0.15">
      <c r="A69" s="12" t="s">
        <v>149</v>
      </c>
      <c r="B69" s="13" t="s">
        <v>150</v>
      </c>
      <c r="C69" s="13" t="s">
        <v>27</v>
      </c>
      <c r="D69" s="13" t="s">
        <v>40</v>
      </c>
      <c r="E69" s="12" t="s">
        <v>32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66382.09</v>
      </c>
      <c r="O69" s="14">
        <v>22057.79</v>
      </c>
      <c r="P69" s="15">
        <v>61400.09</v>
      </c>
      <c r="Q69" s="15" t="s">
        <v>2982</v>
      </c>
      <c r="R69" s="16" t="s">
        <v>2982</v>
      </c>
      <c r="S69" s="16" t="s">
        <v>2982</v>
      </c>
      <c r="T69" s="16" t="s">
        <v>2982</v>
      </c>
      <c r="U69" s="16" t="s">
        <v>2982</v>
      </c>
      <c r="V69" s="16" t="s">
        <v>2982</v>
      </c>
      <c r="W69" s="16" t="s">
        <v>2982</v>
      </c>
      <c r="X69" s="16" t="s">
        <v>2982</v>
      </c>
      <c r="AA69" s="24"/>
      <c r="AB69" s="3"/>
      <c r="AC69" s="3"/>
      <c r="AD69" s="80"/>
      <c r="AE69" s="80"/>
      <c r="AF69" s="80"/>
      <c r="AG69" s="80"/>
      <c r="AH69" s="411"/>
      <c r="AI69" s="411"/>
      <c r="AJ69" s="411"/>
      <c r="AK69" s="411"/>
    </row>
    <row r="70" spans="1:37" x14ac:dyDescent="0.15">
      <c r="A70" s="12" t="s">
        <v>151</v>
      </c>
      <c r="B70" s="13" t="s">
        <v>152</v>
      </c>
      <c r="C70" s="13" t="s">
        <v>27</v>
      </c>
      <c r="D70" s="13" t="s">
        <v>36</v>
      </c>
      <c r="E70" s="12" t="s">
        <v>32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29137.83</v>
      </c>
      <c r="O70" s="14">
        <v>9379.84</v>
      </c>
      <c r="P70" s="15">
        <v>1413.72</v>
      </c>
      <c r="Q70" s="15" t="s">
        <v>2982</v>
      </c>
      <c r="R70" s="16" t="s">
        <v>2982</v>
      </c>
      <c r="S70" s="16" t="s">
        <v>2982</v>
      </c>
      <c r="T70" s="16" t="s">
        <v>2982</v>
      </c>
      <c r="U70" s="16" t="s">
        <v>2982</v>
      </c>
      <c r="V70" s="16" t="s">
        <v>2982</v>
      </c>
      <c r="W70" s="16" t="s">
        <v>2982</v>
      </c>
      <c r="X70" s="16" t="s">
        <v>2982</v>
      </c>
      <c r="AA70" s="24"/>
      <c r="AB70" s="3"/>
      <c r="AC70" s="3"/>
      <c r="AD70" s="80"/>
      <c r="AE70" s="80"/>
      <c r="AF70" s="80"/>
      <c r="AG70" s="80"/>
      <c r="AH70" s="411"/>
      <c r="AI70" s="411"/>
      <c r="AJ70" s="411"/>
      <c r="AK70" s="411"/>
    </row>
    <row r="71" spans="1:37" x14ac:dyDescent="0.15">
      <c r="A71" s="12" t="s">
        <v>153</v>
      </c>
      <c r="B71" s="13" t="s">
        <v>154</v>
      </c>
      <c r="C71" s="13" t="s">
        <v>27</v>
      </c>
      <c r="D71" s="13" t="s">
        <v>41</v>
      </c>
      <c r="E71" s="12" t="s">
        <v>29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754528.64</v>
      </c>
      <c r="O71" s="14">
        <v>2820453.82</v>
      </c>
      <c r="P71" s="15">
        <v>17958100.210000001</v>
      </c>
      <c r="Q71" s="15">
        <v>18595733.140000001</v>
      </c>
      <c r="R71" s="16">
        <v>8300430.4699999997</v>
      </c>
      <c r="S71" s="16">
        <v>23625.19</v>
      </c>
      <c r="T71" s="16" t="s">
        <v>2982</v>
      </c>
      <c r="U71" s="16" t="s">
        <v>2982</v>
      </c>
      <c r="V71" s="16" t="s">
        <v>2982</v>
      </c>
      <c r="W71" s="16" t="s">
        <v>2982</v>
      </c>
      <c r="X71" s="16" t="s">
        <v>2982</v>
      </c>
      <c r="AA71" s="24"/>
      <c r="AB71" s="3"/>
      <c r="AC71" s="3"/>
      <c r="AD71" s="80"/>
      <c r="AE71" s="80"/>
      <c r="AF71" s="80"/>
      <c r="AG71" s="80"/>
      <c r="AH71" s="411"/>
      <c r="AI71" s="411"/>
      <c r="AJ71" s="411"/>
      <c r="AK71" s="411"/>
    </row>
    <row r="72" spans="1:37" x14ac:dyDescent="0.15">
      <c r="A72" s="12" t="s">
        <v>156</v>
      </c>
      <c r="B72" s="13" t="s">
        <v>157</v>
      </c>
      <c r="C72" s="13" t="s">
        <v>27</v>
      </c>
      <c r="D72" s="13" t="s">
        <v>41</v>
      </c>
      <c r="E72" s="12" t="s">
        <v>29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81635.7</v>
      </c>
      <c r="O72" s="14">
        <v>859178.68</v>
      </c>
      <c r="P72" s="15">
        <v>876093.75</v>
      </c>
      <c r="Q72" s="15">
        <v>132655.29</v>
      </c>
      <c r="R72" s="16">
        <v>81780.42</v>
      </c>
      <c r="S72" s="16" t="s">
        <v>2982</v>
      </c>
      <c r="T72" s="16" t="s">
        <v>2982</v>
      </c>
      <c r="U72" s="16" t="s">
        <v>2982</v>
      </c>
      <c r="V72" s="16" t="s">
        <v>2982</v>
      </c>
      <c r="W72" s="16" t="s">
        <v>2982</v>
      </c>
      <c r="X72" s="16" t="s">
        <v>2982</v>
      </c>
      <c r="AA72" s="24"/>
      <c r="AB72" s="3"/>
      <c r="AC72" s="3"/>
      <c r="AD72" s="80"/>
      <c r="AE72" s="80"/>
      <c r="AF72" s="80"/>
      <c r="AG72" s="80"/>
      <c r="AH72" s="411"/>
      <c r="AI72" s="411"/>
      <c r="AJ72" s="411"/>
      <c r="AK72" s="411"/>
    </row>
    <row r="73" spans="1:37" x14ac:dyDescent="0.15">
      <c r="A73" s="12" t="s">
        <v>158</v>
      </c>
      <c r="B73" s="13" t="s">
        <v>159</v>
      </c>
      <c r="C73" s="13" t="s">
        <v>27</v>
      </c>
      <c r="D73" s="13" t="s">
        <v>41</v>
      </c>
      <c r="E73" s="12" t="s">
        <v>29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63183.77</v>
      </c>
      <c r="O73" s="14">
        <v>543156.64</v>
      </c>
      <c r="P73" s="15">
        <v>4514330.08</v>
      </c>
      <c r="Q73" s="15">
        <v>96723.91</v>
      </c>
      <c r="R73" s="16">
        <v>179575.40000000002</v>
      </c>
      <c r="S73" s="16" t="s">
        <v>2982</v>
      </c>
      <c r="T73" s="16" t="s">
        <v>2982</v>
      </c>
      <c r="U73" s="16" t="s">
        <v>2982</v>
      </c>
      <c r="V73" s="16" t="s">
        <v>2982</v>
      </c>
      <c r="W73" s="16" t="s">
        <v>2982</v>
      </c>
      <c r="X73" s="16" t="s">
        <v>2982</v>
      </c>
      <c r="AA73" s="24"/>
      <c r="AB73" s="3"/>
      <c r="AC73" s="3"/>
      <c r="AD73" s="80"/>
      <c r="AE73" s="80"/>
      <c r="AF73" s="80"/>
      <c r="AG73" s="80"/>
      <c r="AH73" s="411"/>
      <c r="AI73" s="411"/>
      <c r="AJ73" s="411"/>
      <c r="AK73" s="411"/>
    </row>
    <row r="74" spans="1:37" x14ac:dyDescent="0.15">
      <c r="A74" s="12" t="s">
        <v>160</v>
      </c>
      <c r="B74" s="13" t="s">
        <v>161</v>
      </c>
      <c r="C74" s="13" t="s">
        <v>27</v>
      </c>
      <c r="D74" s="13" t="s">
        <v>41</v>
      </c>
      <c r="E74" s="12" t="s">
        <v>29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469016.36</v>
      </c>
      <c r="O74" s="14">
        <v>4049141.35</v>
      </c>
      <c r="P74" s="15">
        <v>1166785.49</v>
      </c>
      <c r="Q74" s="15">
        <v>805076.99</v>
      </c>
      <c r="R74" s="16">
        <v>97160.62</v>
      </c>
      <c r="S74" s="16" t="s">
        <v>2982</v>
      </c>
      <c r="T74" s="16" t="s">
        <v>2982</v>
      </c>
      <c r="U74" s="16" t="s">
        <v>2982</v>
      </c>
      <c r="V74" s="16" t="s">
        <v>2982</v>
      </c>
      <c r="W74" s="16" t="s">
        <v>2982</v>
      </c>
      <c r="X74" s="16" t="s">
        <v>2982</v>
      </c>
      <c r="AA74" s="24"/>
      <c r="AB74" s="3"/>
      <c r="AC74" s="3"/>
      <c r="AD74" s="80"/>
      <c r="AE74" s="80"/>
      <c r="AF74" s="80"/>
      <c r="AG74" s="80"/>
      <c r="AH74" s="411"/>
      <c r="AI74" s="411"/>
      <c r="AJ74" s="411"/>
      <c r="AK74" s="411"/>
    </row>
    <row r="75" spans="1:37" x14ac:dyDescent="0.15">
      <c r="A75" s="12" t="s">
        <v>162</v>
      </c>
      <c r="B75" s="13" t="s">
        <v>163</v>
      </c>
      <c r="C75" s="13" t="s">
        <v>27</v>
      </c>
      <c r="D75" s="13" t="s">
        <v>41</v>
      </c>
      <c r="E75" s="12" t="s">
        <v>29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673197.8</v>
      </c>
      <c r="O75" s="14">
        <v>1777892.24</v>
      </c>
      <c r="P75" s="15">
        <v>43397.88</v>
      </c>
      <c r="Q75" s="15">
        <v>1645.95</v>
      </c>
      <c r="R75" s="16">
        <v>1376.63</v>
      </c>
      <c r="S75" s="16" t="s">
        <v>2982</v>
      </c>
      <c r="T75" s="16" t="s">
        <v>2982</v>
      </c>
      <c r="U75" s="16" t="s">
        <v>2982</v>
      </c>
      <c r="V75" s="16" t="s">
        <v>2982</v>
      </c>
      <c r="W75" s="16" t="s">
        <v>2982</v>
      </c>
      <c r="X75" s="16" t="s">
        <v>2982</v>
      </c>
      <c r="AA75" s="24"/>
      <c r="AB75" s="3"/>
      <c r="AC75" s="3"/>
      <c r="AD75" s="80"/>
      <c r="AE75" s="80"/>
      <c r="AF75" s="80"/>
      <c r="AG75" s="80"/>
      <c r="AH75" s="411"/>
      <c r="AI75" s="411"/>
      <c r="AJ75" s="411"/>
      <c r="AK75" s="411"/>
    </row>
    <row r="76" spans="1:37" x14ac:dyDescent="0.15">
      <c r="A76" s="12" t="s">
        <v>164</v>
      </c>
      <c r="B76" s="13" t="s">
        <v>165</v>
      </c>
      <c r="C76" s="13" t="s">
        <v>27</v>
      </c>
      <c r="D76" s="13" t="s">
        <v>54</v>
      </c>
      <c r="E76" s="12" t="s">
        <v>32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17934.27</v>
      </c>
      <c r="N76" s="14">
        <v>179945.41</v>
      </c>
      <c r="O76" s="14">
        <v>428936.92</v>
      </c>
      <c r="P76" s="15">
        <v>339799.41</v>
      </c>
      <c r="Q76" s="15" t="s">
        <v>2982</v>
      </c>
      <c r="R76" s="16" t="s">
        <v>2982</v>
      </c>
      <c r="S76" s="16" t="s">
        <v>2982</v>
      </c>
      <c r="T76" s="16" t="s">
        <v>2982</v>
      </c>
      <c r="U76" s="16" t="s">
        <v>2982</v>
      </c>
      <c r="V76" s="16" t="s">
        <v>2982</v>
      </c>
      <c r="W76" s="16" t="s">
        <v>2982</v>
      </c>
      <c r="X76" s="16" t="s">
        <v>2982</v>
      </c>
      <c r="AA76" s="24"/>
      <c r="AB76" s="3"/>
      <c r="AC76" s="3"/>
      <c r="AD76" s="80"/>
      <c r="AE76" s="80"/>
      <c r="AF76" s="80"/>
      <c r="AG76" s="80"/>
      <c r="AH76" s="411"/>
      <c r="AI76" s="411"/>
      <c r="AJ76" s="411"/>
      <c r="AK76" s="411"/>
    </row>
    <row r="77" spans="1:37" x14ac:dyDescent="0.15">
      <c r="A77" s="12" t="s">
        <v>166</v>
      </c>
      <c r="B77" s="13" t="s">
        <v>167</v>
      </c>
      <c r="C77" s="13" t="s">
        <v>27</v>
      </c>
      <c r="D77" s="13" t="s">
        <v>36</v>
      </c>
      <c r="E77" s="12" t="s">
        <v>32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52860.86</v>
      </c>
      <c r="N77" s="14">
        <v>384185.78</v>
      </c>
      <c r="O77" s="14"/>
      <c r="P77" s="15">
        <v>-987.77</v>
      </c>
      <c r="Q77" s="15" t="s">
        <v>2982</v>
      </c>
      <c r="R77" s="16" t="s">
        <v>2982</v>
      </c>
      <c r="S77" s="16" t="s">
        <v>2982</v>
      </c>
      <c r="T77" s="16" t="s">
        <v>2982</v>
      </c>
      <c r="U77" s="16" t="s">
        <v>2982</v>
      </c>
      <c r="V77" s="16" t="s">
        <v>2982</v>
      </c>
      <c r="W77" s="16" t="s">
        <v>2982</v>
      </c>
      <c r="X77" s="16" t="s">
        <v>2982</v>
      </c>
      <c r="AA77" s="24"/>
      <c r="AB77" s="3"/>
      <c r="AC77" s="3"/>
      <c r="AD77" s="80"/>
      <c r="AE77" s="80"/>
      <c r="AF77" s="80"/>
      <c r="AG77" s="80"/>
      <c r="AH77" s="411"/>
      <c r="AI77" s="411"/>
      <c r="AJ77" s="411"/>
      <c r="AK77" s="411"/>
    </row>
    <row r="78" spans="1:37" x14ac:dyDescent="0.15">
      <c r="A78" s="12" t="s">
        <v>168</v>
      </c>
      <c r="B78" s="13" t="s">
        <v>169</v>
      </c>
      <c r="C78" s="13" t="s">
        <v>27</v>
      </c>
      <c r="D78" s="13" t="s">
        <v>28</v>
      </c>
      <c r="E78" s="12" t="s">
        <v>29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2977.51</v>
      </c>
      <c r="O78" s="14">
        <v>5378.36</v>
      </c>
      <c r="P78" s="15">
        <v>405032.26</v>
      </c>
      <c r="Q78" s="15">
        <v>1351025.26</v>
      </c>
      <c r="R78" s="16">
        <v>624423.89</v>
      </c>
      <c r="S78" s="16" t="s">
        <v>2982</v>
      </c>
      <c r="T78" s="16" t="s">
        <v>2982</v>
      </c>
      <c r="U78" s="16" t="s">
        <v>2982</v>
      </c>
      <c r="V78" s="16" t="s">
        <v>2982</v>
      </c>
      <c r="W78" s="16" t="s">
        <v>2982</v>
      </c>
      <c r="X78" s="16" t="s">
        <v>2982</v>
      </c>
      <c r="AA78" s="24"/>
      <c r="AB78" s="3"/>
      <c r="AC78" s="3"/>
      <c r="AD78" s="80"/>
      <c r="AE78" s="80"/>
      <c r="AF78" s="80"/>
      <c r="AG78" s="80"/>
      <c r="AH78" s="411"/>
      <c r="AI78" s="411"/>
      <c r="AJ78" s="411"/>
      <c r="AK78" s="411"/>
    </row>
    <row r="79" spans="1:37" x14ac:dyDescent="0.15">
      <c r="A79" s="12" t="s">
        <v>171</v>
      </c>
      <c r="B79" s="13" t="s">
        <v>172</v>
      </c>
      <c r="C79" s="13" t="s">
        <v>27</v>
      </c>
      <c r="D79" s="13" t="s">
        <v>54</v>
      </c>
      <c r="E79" s="12" t="s">
        <v>32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89188.45</v>
      </c>
      <c r="O79" s="14"/>
      <c r="P79" s="15"/>
      <c r="Q79" s="15" t="s">
        <v>2982</v>
      </c>
      <c r="R79" s="16" t="s">
        <v>2982</v>
      </c>
      <c r="S79" s="16" t="s">
        <v>2982</v>
      </c>
      <c r="T79" s="16" t="s">
        <v>2982</v>
      </c>
      <c r="U79" s="16" t="s">
        <v>2982</v>
      </c>
      <c r="V79" s="16" t="s">
        <v>2982</v>
      </c>
      <c r="W79" s="16" t="s">
        <v>2982</v>
      </c>
      <c r="X79" s="16" t="s">
        <v>2982</v>
      </c>
      <c r="AA79" s="24"/>
      <c r="AB79" s="3"/>
      <c r="AC79" s="3"/>
      <c r="AD79" s="80"/>
      <c r="AE79" s="80"/>
      <c r="AF79" s="80"/>
      <c r="AG79" s="80"/>
      <c r="AH79" s="411"/>
      <c r="AI79" s="411"/>
      <c r="AJ79" s="411"/>
      <c r="AK79" s="411"/>
    </row>
    <row r="80" spans="1:37" x14ac:dyDescent="0.15">
      <c r="A80" s="12" t="s">
        <v>175</v>
      </c>
      <c r="B80" s="13" t="s">
        <v>176</v>
      </c>
      <c r="C80" s="13" t="s">
        <v>27</v>
      </c>
      <c r="D80" s="13" t="s">
        <v>44</v>
      </c>
      <c r="E80" s="12" t="s">
        <v>29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134351.37</v>
      </c>
      <c r="N80" s="14">
        <v>188691.28</v>
      </c>
      <c r="O80" s="14">
        <v>163346.25</v>
      </c>
      <c r="P80" s="15">
        <v>275845.46999999997</v>
      </c>
      <c r="Q80" s="15">
        <v>13965.75</v>
      </c>
      <c r="R80" s="16" t="s">
        <v>2982</v>
      </c>
      <c r="S80" s="16" t="s">
        <v>2982</v>
      </c>
      <c r="T80" s="16" t="s">
        <v>2982</v>
      </c>
      <c r="U80" s="16" t="s">
        <v>2982</v>
      </c>
      <c r="V80" s="16" t="s">
        <v>2982</v>
      </c>
      <c r="W80" s="16" t="s">
        <v>2982</v>
      </c>
      <c r="X80" s="16" t="s">
        <v>2982</v>
      </c>
      <c r="AA80" s="24"/>
      <c r="AB80" s="3"/>
      <c r="AC80" s="3"/>
      <c r="AD80" s="80"/>
      <c r="AE80" s="80"/>
      <c r="AF80" s="80"/>
      <c r="AG80" s="80"/>
      <c r="AH80" s="411"/>
      <c r="AI80" s="411"/>
      <c r="AJ80" s="411"/>
      <c r="AK80" s="411"/>
    </row>
    <row r="81" spans="1:37" x14ac:dyDescent="0.15">
      <c r="A81" s="12" t="s">
        <v>177</v>
      </c>
      <c r="B81" s="13" t="s">
        <v>178</v>
      </c>
      <c r="C81" s="13" t="s">
        <v>27</v>
      </c>
      <c r="D81" s="13" t="s">
        <v>40</v>
      </c>
      <c r="E81" s="12" t="s">
        <v>29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277734.34000000003</v>
      </c>
      <c r="O81" s="14">
        <v>220787.11</v>
      </c>
      <c r="P81" s="15">
        <v>827665.65</v>
      </c>
      <c r="Q81" s="15">
        <v>867407.92</v>
      </c>
      <c r="R81" s="16">
        <v>628618.21</v>
      </c>
      <c r="S81" s="16">
        <v>21538.46</v>
      </c>
      <c r="T81" s="16" t="s">
        <v>2982</v>
      </c>
      <c r="U81" s="16" t="s">
        <v>2982</v>
      </c>
      <c r="V81" s="16" t="s">
        <v>2982</v>
      </c>
      <c r="W81" s="16" t="s">
        <v>2982</v>
      </c>
      <c r="X81" s="16" t="s">
        <v>2982</v>
      </c>
      <c r="AA81" s="24"/>
      <c r="AB81" s="3"/>
      <c r="AC81" s="3"/>
      <c r="AD81" s="80"/>
      <c r="AE81" s="80"/>
      <c r="AF81" s="80"/>
      <c r="AG81" s="80"/>
      <c r="AH81" s="411"/>
      <c r="AI81" s="411"/>
      <c r="AJ81" s="411"/>
      <c r="AK81" s="411"/>
    </row>
    <row r="82" spans="1:37" x14ac:dyDescent="0.15">
      <c r="A82" s="12" t="s">
        <v>179</v>
      </c>
      <c r="B82" s="13" t="s">
        <v>180</v>
      </c>
      <c r="C82" s="13" t="s">
        <v>27</v>
      </c>
      <c r="D82" s="13" t="s">
        <v>55</v>
      </c>
      <c r="E82" s="12" t="s">
        <v>32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607819.53</v>
      </c>
      <c r="N82" s="14">
        <v>265317.2</v>
      </c>
      <c r="O82" s="14">
        <v>140277.35</v>
      </c>
      <c r="P82" s="15">
        <v>6212.29</v>
      </c>
      <c r="Q82" s="15" t="s">
        <v>2982</v>
      </c>
      <c r="R82" s="16" t="s">
        <v>2982</v>
      </c>
      <c r="S82" s="16" t="s">
        <v>2982</v>
      </c>
      <c r="T82" s="16" t="s">
        <v>2982</v>
      </c>
      <c r="U82" s="16" t="s">
        <v>2982</v>
      </c>
      <c r="V82" s="16" t="s">
        <v>2982</v>
      </c>
      <c r="W82" s="16" t="s">
        <v>2982</v>
      </c>
      <c r="X82" s="16" t="s">
        <v>2982</v>
      </c>
      <c r="AA82" s="24"/>
      <c r="AB82" s="3"/>
      <c r="AC82" s="3"/>
      <c r="AD82" s="80"/>
      <c r="AE82" s="80"/>
      <c r="AF82" s="80"/>
      <c r="AG82" s="80"/>
      <c r="AH82" s="411"/>
      <c r="AI82" s="411"/>
      <c r="AJ82" s="411"/>
      <c r="AK82" s="411"/>
    </row>
    <row r="83" spans="1:37" x14ac:dyDescent="0.15">
      <c r="A83" s="12" t="s">
        <v>181</v>
      </c>
      <c r="B83" s="13" t="s">
        <v>182</v>
      </c>
      <c r="C83" s="13" t="s">
        <v>27</v>
      </c>
      <c r="D83" s="13" t="s">
        <v>55</v>
      </c>
      <c r="E83" s="12" t="s">
        <v>32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1444350.77</v>
      </c>
      <c r="N83" s="14">
        <v>1072130.25</v>
      </c>
      <c r="O83" s="14">
        <v>98304.17</v>
      </c>
      <c r="P83" s="15">
        <v>51373.36</v>
      </c>
      <c r="Q83" s="15" t="s">
        <v>2982</v>
      </c>
      <c r="R83" s="16" t="s">
        <v>2982</v>
      </c>
      <c r="S83" s="16" t="s">
        <v>2982</v>
      </c>
      <c r="T83" s="16" t="s">
        <v>2982</v>
      </c>
      <c r="U83" s="16" t="s">
        <v>2982</v>
      </c>
      <c r="V83" s="16" t="s">
        <v>2982</v>
      </c>
      <c r="W83" s="16" t="s">
        <v>2982</v>
      </c>
      <c r="X83" s="16" t="s">
        <v>2982</v>
      </c>
      <c r="AA83" s="24"/>
      <c r="AB83" s="3"/>
      <c r="AC83" s="3"/>
      <c r="AD83" s="80"/>
      <c r="AE83" s="80"/>
      <c r="AF83" s="80"/>
      <c r="AG83" s="80"/>
      <c r="AH83" s="411"/>
      <c r="AI83" s="411"/>
      <c r="AJ83" s="411"/>
      <c r="AK83" s="411"/>
    </row>
    <row r="84" spans="1:37" x14ac:dyDescent="0.15">
      <c r="A84" s="12" t="s">
        <v>186</v>
      </c>
      <c r="B84" s="13" t="s">
        <v>2359</v>
      </c>
      <c r="C84" s="13" t="s">
        <v>27</v>
      </c>
      <c r="D84" s="13" t="s">
        <v>40</v>
      </c>
      <c r="E84" s="12" t="s">
        <v>32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9558.66</v>
      </c>
      <c r="M84" s="14">
        <v>393759.8</v>
      </c>
      <c r="N84" s="14">
        <v>643443.42000000004</v>
      </c>
      <c r="O84" s="14">
        <v>5618545.5199999996</v>
      </c>
      <c r="P84" s="15">
        <v>984885.6</v>
      </c>
      <c r="Q84" s="15" t="s">
        <v>2982</v>
      </c>
      <c r="R84" s="16" t="s">
        <v>2982</v>
      </c>
      <c r="S84" s="16" t="s">
        <v>2982</v>
      </c>
      <c r="T84" s="16" t="s">
        <v>2982</v>
      </c>
      <c r="U84" s="16" t="s">
        <v>2982</v>
      </c>
      <c r="V84" s="16" t="s">
        <v>2982</v>
      </c>
      <c r="W84" s="16" t="s">
        <v>2982</v>
      </c>
      <c r="X84" s="16" t="s">
        <v>2982</v>
      </c>
      <c r="AA84" s="24"/>
      <c r="AB84" s="3"/>
      <c r="AC84" s="3"/>
      <c r="AD84" s="80"/>
      <c r="AE84" s="80"/>
      <c r="AF84" s="80"/>
      <c r="AG84" s="80"/>
      <c r="AH84" s="411"/>
      <c r="AI84" s="411"/>
      <c r="AJ84" s="411"/>
      <c r="AK84" s="411"/>
    </row>
    <row r="85" spans="1:37" x14ac:dyDescent="0.15">
      <c r="A85" s="12" t="s">
        <v>187</v>
      </c>
      <c r="B85" s="13" t="s">
        <v>2360</v>
      </c>
      <c r="C85" s="13" t="s">
        <v>27</v>
      </c>
      <c r="D85" s="13" t="s">
        <v>40</v>
      </c>
      <c r="E85" s="12" t="s">
        <v>32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10681.96</v>
      </c>
      <c r="M85" s="14">
        <v>297096.37</v>
      </c>
      <c r="N85" s="14">
        <v>617142.07999999996</v>
      </c>
      <c r="O85" s="14">
        <v>5327208.32</v>
      </c>
      <c r="P85" s="15">
        <v>582613.27</v>
      </c>
      <c r="Q85" s="15" t="s">
        <v>2982</v>
      </c>
      <c r="R85" s="16" t="s">
        <v>2982</v>
      </c>
      <c r="S85" s="16" t="s">
        <v>2982</v>
      </c>
      <c r="T85" s="16" t="s">
        <v>2982</v>
      </c>
      <c r="U85" s="16" t="s">
        <v>2982</v>
      </c>
      <c r="V85" s="16" t="s">
        <v>2982</v>
      </c>
      <c r="W85" s="16" t="s">
        <v>2982</v>
      </c>
      <c r="X85" s="16" t="s">
        <v>2982</v>
      </c>
      <c r="AA85" s="24"/>
      <c r="AB85" s="3"/>
      <c r="AC85" s="3"/>
      <c r="AD85" s="80"/>
      <c r="AE85" s="80"/>
      <c r="AF85" s="80"/>
      <c r="AG85" s="80"/>
      <c r="AH85" s="411"/>
      <c r="AI85" s="411"/>
      <c r="AJ85" s="411"/>
      <c r="AK85" s="411"/>
    </row>
    <row r="86" spans="1:37" x14ac:dyDescent="0.15">
      <c r="A86" s="12" t="s">
        <v>188</v>
      </c>
      <c r="B86" s="13" t="s">
        <v>189</v>
      </c>
      <c r="C86" s="13" t="s">
        <v>27</v>
      </c>
      <c r="D86" s="13" t="s">
        <v>28</v>
      </c>
      <c r="E86" s="12" t="s">
        <v>45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203825.27</v>
      </c>
      <c r="M86" s="14">
        <v>133765.42000000001</v>
      </c>
      <c r="N86" s="14"/>
      <c r="O86" s="14"/>
      <c r="P86" s="15"/>
      <c r="Q86" s="15">
        <v>-337590.69</v>
      </c>
      <c r="R86" s="16" t="s">
        <v>2982</v>
      </c>
      <c r="S86" s="16" t="s">
        <v>2982</v>
      </c>
      <c r="T86" s="16" t="s">
        <v>2982</v>
      </c>
      <c r="U86" s="16" t="s">
        <v>2982</v>
      </c>
      <c r="V86" s="16" t="s">
        <v>2982</v>
      </c>
      <c r="W86" s="16" t="s">
        <v>2982</v>
      </c>
      <c r="X86" s="16" t="s">
        <v>2982</v>
      </c>
      <c r="AA86" s="24"/>
      <c r="AB86" s="3"/>
      <c r="AC86" s="3"/>
      <c r="AD86" s="80"/>
      <c r="AE86" s="80"/>
      <c r="AF86" s="80"/>
      <c r="AG86" s="80"/>
      <c r="AH86" s="411"/>
      <c r="AI86" s="411"/>
      <c r="AJ86" s="411"/>
      <c r="AK86" s="411"/>
    </row>
    <row r="87" spans="1:37" x14ac:dyDescent="0.15">
      <c r="A87" s="12" t="s">
        <v>190</v>
      </c>
      <c r="B87" s="13" t="s">
        <v>191</v>
      </c>
      <c r="C87" s="13" t="s">
        <v>27</v>
      </c>
      <c r="D87" s="13" t="s">
        <v>55</v>
      </c>
      <c r="E87" s="12" t="s">
        <v>32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124347.76</v>
      </c>
      <c r="N87" s="14">
        <v>154643.18</v>
      </c>
      <c r="O87" s="14">
        <v>482919.11</v>
      </c>
      <c r="P87" s="15">
        <v>18252.330000000002</v>
      </c>
      <c r="Q87" s="15">
        <v>2.44</v>
      </c>
      <c r="R87" s="16" t="s">
        <v>2982</v>
      </c>
      <c r="S87" s="16" t="s">
        <v>2982</v>
      </c>
      <c r="T87" s="16" t="s">
        <v>2982</v>
      </c>
      <c r="U87" s="16" t="s">
        <v>2982</v>
      </c>
      <c r="V87" s="16" t="s">
        <v>2982</v>
      </c>
      <c r="W87" s="16" t="s">
        <v>2982</v>
      </c>
      <c r="X87" s="16" t="s">
        <v>2982</v>
      </c>
      <c r="AA87" s="24"/>
      <c r="AB87" s="3"/>
      <c r="AC87" s="3"/>
      <c r="AD87" s="80"/>
      <c r="AE87" s="80"/>
      <c r="AF87" s="80"/>
      <c r="AG87" s="80"/>
      <c r="AH87" s="411"/>
      <c r="AI87" s="411"/>
      <c r="AJ87" s="411"/>
      <c r="AK87" s="411"/>
    </row>
    <row r="88" spans="1:37" x14ac:dyDescent="0.15">
      <c r="A88" s="12" t="s">
        <v>192</v>
      </c>
      <c r="B88" s="13" t="s">
        <v>2372</v>
      </c>
      <c r="C88" s="13" t="s">
        <v>27</v>
      </c>
      <c r="D88" s="13" t="s">
        <v>55</v>
      </c>
      <c r="E88" s="12" t="s">
        <v>29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/>
      <c r="O88" s="14"/>
      <c r="P88" s="15"/>
      <c r="Q88" s="15">
        <v>621294.22</v>
      </c>
      <c r="R88" s="16">
        <v>2112953.503</v>
      </c>
      <c r="S88" s="16">
        <v>2818332.08</v>
      </c>
      <c r="T88" s="16" t="s">
        <v>2982</v>
      </c>
      <c r="U88" s="16" t="s">
        <v>2982</v>
      </c>
      <c r="V88" s="16" t="s">
        <v>2982</v>
      </c>
      <c r="W88" s="16" t="s">
        <v>2982</v>
      </c>
      <c r="X88" s="16" t="s">
        <v>2982</v>
      </c>
      <c r="AA88" s="24"/>
      <c r="AB88" s="3"/>
      <c r="AC88" s="3"/>
      <c r="AD88" s="80"/>
      <c r="AE88" s="80"/>
      <c r="AF88" s="80"/>
      <c r="AG88" s="80"/>
      <c r="AH88" s="411"/>
      <c r="AI88" s="411"/>
      <c r="AJ88" s="411"/>
      <c r="AK88" s="411"/>
    </row>
    <row r="89" spans="1:37" x14ac:dyDescent="0.15">
      <c r="A89" s="12" t="s">
        <v>193</v>
      </c>
      <c r="B89" s="13" t="s">
        <v>194</v>
      </c>
      <c r="C89" s="13" t="s">
        <v>27</v>
      </c>
      <c r="D89" s="13" t="s">
        <v>55</v>
      </c>
      <c r="E89" s="12" t="s">
        <v>32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/>
      <c r="O89" s="14">
        <v>13918.48</v>
      </c>
      <c r="P89" s="15">
        <v>356943.46</v>
      </c>
      <c r="Q89" s="15">
        <v>69180.3</v>
      </c>
      <c r="R89" s="16" t="s">
        <v>2982</v>
      </c>
      <c r="S89" s="16" t="s">
        <v>2982</v>
      </c>
      <c r="T89" s="16" t="s">
        <v>2982</v>
      </c>
      <c r="U89" s="16" t="s">
        <v>2982</v>
      </c>
      <c r="V89" s="16" t="s">
        <v>2982</v>
      </c>
      <c r="W89" s="16" t="s">
        <v>2982</v>
      </c>
      <c r="X89" s="16" t="s">
        <v>2982</v>
      </c>
      <c r="AA89" s="24"/>
      <c r="AB89" s="3"/>
      <c r="AC89" s="3"/>
      <c r="AD89" s="80"/>
      <c r="AE89" s="80"/>
      <c r="AF89" s="80"/>
      <c r="AG89" s="80"/>
      <c r="AH89" s="411"/>
      <c r="AI89" s="411"/>
      <c r="AJ89" s="411"/>
      <c r="AK89" s="411"/>
    </row>
    <row r="90" spans="1:37" x14ac:dyDescent="0.15">
      <c r="A90" s="12" t="s">
        <v>196</v>
      </c>
      <c r="B90" s="13" t="s">
        <v>197</v>
      </c>
      <c r="C90" s="13" t="s">
        <v>27</v>
      </c>
      <c r="D90" s="13" t="s">
        <v>40</v>
      </c>
      <c r="E90" s="12" t="s">
        <v>29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/>
      <c r="O90" s="14">
        <v>111136.3</v>
      </c>
      <c r="P90" s="15">
        <v>245766.33</v>
      </c>
      <c r="Q90" s="15">
        <v>683150.95</v>
      </c>
      <c r="R90" s="16">
        <v>275411.82</v>
      </c>
      <c r="S90" s="16" t="s">
        <v>2982</v>
      </c>
      <c r="T90" s="16" t="s">
        <v>2982</v>
      </c>
      <c r="U90" s="16" t="s">
        <v>2982</v>
      </c>
      <c r="V90" s="16" t="s">
        <v>2982</v>
      </c>
      <c r="W90" s="16" t="s">
        <v>2982</v>
      </c>
      <c r="X90" s="16" t="s">
        <v>2982</v>
      </c>
      <c r="AA90" s="24"/>
      <c r="AB90" s="3"/>
      <c r="AC90" s="3"/>
      <c r="AD90" s="80"/>
      <c r="AE90" s="80"/>
      <c r="AF90" s="80"/>
      <c r="AG90" s="80"/>
      <c r="AH90" s="411"/>
      <c r="AI90" s="411"/>
      <c r="AJ90" s="411"/>
      <c r="AK90" s="411"/>
    </row>
    <row r="91" spans="1:37" x14ac:dyDescent="0.15">
      <c r="A91" s="12" t="s">
        <v>198</v>
      </c>
      <c r="B91" s="13" t="s">
        <v>199</v>
      </c>
      <c r="C91" s="13" t="s">
        <v>27</v>
      </c>
      <c r="D91" s="13" t="s">
        <v>28</v>
      </c>
      <c r="E91" s="12" t="s">
        <v>29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481337.1</v>
      </c>
      <c r="M91" s="14">
        <v>7208668.1500000004</v>
      </c>
      <c r="N91" s="14">
        <v>2012389.33</v>
      </c>
      <c r="O91" s="14">
        <v>-27559.39</v>
      </c>
      <c r="P91" s="15">
        <v>52963.79</v>
      </c>
      <c r="Q91" s="15" t="s">
        <v>2982</v>
      </c>
      <c r="R91" s="16" t="s">
        <v>2982</v>
      </c>
      <c r="S91" s="16" t="s">
        <v>2982</v>
      </c>
      <c r="T91" s="16" t="s">
        <v>2982</v>
      </c>
      <c r="U91" s="16" t="s">
        <v>2982</v>
      </c>
      <c r="V91" s="16" t="s">
        <v>2982</v>
      </c>
      <c r="W91" s="16" t="s">
        <v>2982</v>
      </c>
      <c r="X91" s="16" t="s">
        <v>2982</v>
      </c>
      <c r="AA91" s="24"/>
      <c r="AB91" s="3"/>
      <c r="AC91" s="3"/>
      <c r="AD91" s="80"/>
      <c r="AE91" s="80"/>
      <c r="AF91" s="80"/>
      <c r="AG91" s="80"/>
      <c r="AH91" s="411"/>
      <c r="AI91" s="411"/>
      <c r="AJ91" s="411"/>
      <c r="AK91" s="411"/>
    </row>
    <row r="92" spans="1:37" x14ac:dyDescent="0.15">
      <c r="A92" s="12" t="s">
        <v>200</v>
      </c>
      <c r="B92" s="13" t="s">
        <v>201</v>
      </c>
      <c r="C92" s="13" t="s">
        <v>27</v>
      </c>
      <c r="D92" s="13" t="s">
        <v>55</v>
      </c>
      <c r="E92" s="12" t="s">
        <v>29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/>
      <c r="O92" s="14">
        <v>43121.87</v>
      </c>
      <c r="P92" s="15">
        <v>139423.98000000001</v>
      </c>
      <c r="Q92" s="15">
        <v>354887.15</v>
      </c>
      <c r="R92" s="16">
        <v>53611.23</v>
      </c>
      <c r="S92" s="16" t="s">
        <v>2982</v>
      </c>
      <c r="T92" s="16" t="s">
        <v>2982</v>
      </c>
      <c r="U92" s="16" t="s">
        <v>2982</v>
      </c>
      <c r="V92" s="16" t="s">
        <v>2982</v>
      </c>
      <c r="W92" s="16" t="s">
        <v>2982</v>
      </c>
      <c r="X92" s="16" t="s">
        <v>2982</v>
      </c>
      <c r="AA92" s="24"/>
      <c r="AB92" s="3"/>
      <c r="AC92" s="3"/>
      <c r="AD92" s="80"/>
      <c r="AE92" s="80"/>
      <c r="AF92" s="80"/>
      <c r="AG92" s="80"/>
      <c r="AH92" s="411"/>
      <c r="AI92" s="411"/>
      <c r="AJ92" s="411"/>
      <c r="AK92" s="411"/>
    </row>
    <row r="93" spans="1:37" x14ac:dyDescent="0.15">
      <c r="A93" s="12" t="s">
        <v>203</v>
      </c>
      <c r="B93" s="13" t="s">
        <v>204</v>
      </c>
      <c r="C93" s="13" t="s">
        <v>27</v>
      </c>
      <c r="D93" s="13" t="s">
        <v>28</v>
      </c>
      <c r="E93" s="12" t="s">
        <v>29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15705.17</v>
      </c>
      <c r="M93" s="14">
        <v>3381662.43</v>
      </c>
      <c r="N93" s="14">
        <v>7363569.1200000001</v>
      </c>
      <c r="O93" s="14">
        <v>612351.55000000005</v>
      </c>
      <c r="P93" s="15">
        <v>83757.440000000002</v>
      </c>
      <c r="Q93" s="15">
        <v>271.25</v>
      </c>
      <c r="R93" s="16" t="s">
        <v>2982</v>
      </c>
      <c r="S93" s="16" t="s">
        <v>2982</v>
      </c>
      <c r="T93" s="16" t="s">
        <v>2982</v>
      </c>
      <c r="U93" s="16" t="s">
        <v>2982</v>
      </c>
      <c r="V93" s="16" t="s">
        <v>2982</v>
      </c>
      <c r="W93" s="16" t="s">
        <v>2982</v>
      </c>
      <c r="X93" s="16" t="s">
        <v>2982</v>
      </c>
      <c r="AA93" s="24"/>
      <c r="AB93" s="3"/>
      <c r="AC93" s="3"/>
      <c r="AD93" s="80"/>
      <c r="AE93" s="80"/>
      <c r="AF93" s="80"/>
      <c r="AG93" s="80"/>
      <c r="AH93" s="411"/>
      <c r="AI93" s="411"/>
      <c r="AJ93" s="411"/>
      <c r="AK93" s="411"/>
    </row>
    <row r="94" spans="1:37" x14ac:dyDescent="0.15">
      <c r="A94" s="12" t="s">
        <v>205</v>
      </c>
      <c r="B94" s="13" t="s">
        <v>206</v>
      </c>
      <c r="C94" s="13" t="s">
        <v>27</v>
      </c>
      <c r="D94" s="13" t="s">
        <v>40</v>
      </c>
      <c r="E94" s="12" t="s">
        <v>32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129826.86</v>
      </c>
      <c r="O94" s="14">
        <v>70181.259999999995</v>
      </c>
      <c r="P94" s="15">
        <v>-50000</v>
      </c>
      <c r="Q94" s="15" t="s">
        <v>2982</v>
      </c>
      <c r="R94" s="16" t="s">
        <v>2982</v>
      </c>
      <c r="S94" s="16" t="s">
        <v>2982</v>
      </c>
      <c r="T94" s="16" t="s">
        <v>2982</v>
      </c>
      <c r="U94" s="16" t="s">
        <v>2982</v>
      </c>
      <c r="V94" s="16" t="s">
        <v>2982</v>
      </c>
      <c r="W94" s="16" t="s">
        <v>2982</v>
      </c>
      <c r="X94" s="16" t="s">
        <v>2982</v>
      </c>
      <c r="AA94" s="24"/>
      <c r="AB94" s="3"/>
      <c r="AC94" s="3"/>
      <c r="AD94" s="80"/>
      <c r="AE94" s="80"/>
      <c r="AF94" s="80"/>
      <c r="AG94" s="80"/>
      <c r="AH94" s="411"/>
      <c r="AI94" s="411"/>
      <c r="AJ94" s="411"/>
      <c r="AK94" s="411"/>
    </row>
    <row r="95" spans="1:37" x14ac:dyDescent="0.15">
      <c r="A95" s="12" t="s">
        <v>207</v>
      </c>
      <c r="B95" s="13" t="s">
        <v>208</v>
      </c>
      <c r="C95" s="13" t="s">
        <v>27</v>
      </c>
      <c r="D95" s="13" t="s">
        <v>40</v>
      </c>
      <c r="E95" s="12" t="s">
        <v>112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/>
      <c r="O95" s="14"/>
      <c r="P95" s="15"/>
      <c r="Q95" s="15" t="s">
        <v>2982</v>
      </c>
      <c r="R95" s="16" t="s">
        <v>2982</v>
      </c>
      <c r="S95" s="16">
        <v>153616.09</v>
      </c>
      <c r="T95" s="16">
        <v>246434.98</v>
      </c>
      <c r="U95" s="16" t="s">
        <v>2982</v>
      </c>
      <c r="V95" s="16" t="s">
        <v>2982</v>
      </c>
      <c r="W95" s="16" t="s">
        <v>2982</v>
      </c>
      <c r="X95" s="16" t="s">
        <v>2982</v>
      </c>
      <c r="AA95" s="24"/>
      <c r="AB95" s="3"/>
      <c r="AC95" s="3"/>
      <c r="AD95" s="80"/>
      <c r="AE95" s="80"/>
      <c r="AF95" s="80"/>
      <c r="AG95" s="80"/>
      <c r="AH95" s="411"/>
      <c r="AI95" s="411"/>
      <c r="AJ95" s="411"/>
      <c r="AK95" s="411"/>
    </row>
    <row r="96" spans="1:37" x14ac:dyDescent="0.15">
      <c r="A96" s="12" t="s">
        <v>209</v>
      </c>
      <c r="B96" s="13" t="s">
        <v>210</v>
      </c>
      <c r="C96" s="13" t="s">
        <v>27</v>
      </c>
      <c r="D96" s="13" t="s">
        <v>40</v>
      </c>
      <c r="E96" s="12" t="s">
        <v>29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22293.77</v>
      </c>
      <c r="M96" s="14">
        <v>2206.4499999999998</v>
      </c>
      <c r="N96" s="14"/>
      <c r="O96" s="14">
        <v>24922.94</v>
      </c>
      <c r="P96" s="15">
        <v>1557029.81</v>
      </c>
      <c r="Q96" s="15">
        <v>1893126.4</v>
      </c>
      <c r="R96" s="16">
        <v>76596.05</v>
      </c>
      <c r="S96" s="16" t="s">
        <v>2982</v>
      </c>
      <c r="T96" s="16" t="s">
        <v>2982</v>
      </c>
      <c r="U96" s="16" t="s">
        <v>2982</v>
      </c>
      <c r="V96" s="16" t="s">
        <v>2982</v>
      </c>
      <c r="W96" s="16" t="s">
        <v>2982</v>
      </c>
      <c r="X96" s="16" t="s">
        <v>2982</v>
      </c>
      <c r="AA96" s="24"/>
      <c r="AB96" s="3"/>
      <c r="AC96" s="3"/>
      <c r="AD96" s="80"/>
      <c r="AE96" s="80"/>
      <c r="AF96" s="80"/>
      <c r="AG96" s="80"/>
      <c r="AH96" s="411"/>
      <c r="AI96" s="411"/>
      <c r="AJ96" s="411"/>
      <c r="AK96" s="411"/>
    </row>
    <row r="97" spans="1:37" x14ac:dyDescent="0.15">
      <c r="A97" s="12" t="s">
        <v>212</v>
      </c>
      <c r="B97" s="13" t="s">
        <v>213</v>
      </c>
      <c r="C97" s="13" t="s">
        <v>27</v>
      </c>
      <c r="D97" s="13" t="s">
        <v>36</v>
      </c>
      <c r="E97" s="12" t="s">
        <v>32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/>
      <c r="O97" s="14">
        <v>15748.67</v>
      </c>
      <c r="P97" s="15">
        <v>-2762.64</v>
      </c>
      <c r="Q97" s="15" t="s">
        <v>2982</v>
      </c>
      <c r="R97" s="16" t="s">
        <v>2982</v>
      </c>
      <c r="S97" s="16" t="s">
        <v>2982</v>
      </c>
      <c r="T97" s="16" t="s">
        <v>2982</v>
      </c>
      <c r="U97" s="16" t="s">
        <v>2982</v>
      </c>
      <c r="V97" s="16" t="s">
        <v>2982</v>
      </c>
      <c r="W97" s="16" t="s">
        <v>2982</v>
      </c>
      <c r="X97" s="16" t="s">
        <v>2982</v>
      </c>
      <c r="AA97" s="24"/>
      <c r="AB97" s="3"/>
      <c r="AC97" s="3"/>
      <c r="AD97" s="80"/>
      <c r="AE97" s="80"/>
      <c r="AF97" s="80"/>
      <c r="AG97" s="80"/>
      <c r="AH97" s="411"/>
      <c r="AI97" s="411"/>
      <c r="AJ97" s="411"/>
      <c r="AK97" s="411"/>
    </row>
    <row r="98" spans="1:37" x14ac:dyDescent="0.15">
      <c r="A98" s="12" t="s">
        <v>214</v>
      </c>
      <c r="B98" s="13" t="s">
        <v>215</v>
      </c>
      <c r="C98" s="13" t="s">
        <v>27</v>
      </c>
      <c r="D98" s="13" t="s">
        <v>36</v>
      </c>
      <c r="E98" s="12" t="s">
        <v>32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/>
      <c r="O98" s="14">
        <v>118677.6</v>
      </c>
      <c r="P98" s="15">
        <v>36888.410000000003</v>
      </c>
      <c r="Q98" s="15">
        <v>6470.75</v>
      </c>
      <c r="R98" s="16" t="s">
        <v>2982</v>
      </c>
      <c r="S98" s="16" t="s">
        <v>2982</v>
      </c>
      <c r="T98" s="16" t="s">
        <v>2982</v>
      </c>
      <c r="U98" s="16" t="s">
        <v>2982</v>
      </c>
      <c r="V98" s="16" t="s">
        <v>2982</v>
      </c>
      <c r="W98" s="16" t="s">
        <v>2982</v>
      </c>
      <c r="X98" s="16" t="s">
        <v>2982</v>
      </c>
      <c r="AA98" s="24"/>
      <c r="AB98" s="3"/>
      <c r="AC98" s="3"/>
      <c r="AD98" s="80"/>
      <c r="AE98" s="80"/>
      <c r="AF98" s="80"/>
      <c r="AG98" s="80"/>
      <c r="AH98" s="411"/>
      <c r="AI98" s="411"/>
      <c r="AJ98" s="411"/>
      <c r="AK98" s="411"/>
    </row>
    <row r="99" spans="1:37" x14ac:dyDescent="0.15">
      <c r="A99" s="12" t="s">
        <v>216</v>
      </c>
      <c r="B99" s="13" t="s">
        <v>217</v>
      </c>
      <c r="C99" s="13" t="s">
        <v>27</v>
      </c>
      <c r="D99" s="13" t="s">
        <v>40</v>
      </c>
      <c r="E99" s="12" t="s">
        <v>29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/>
      <c r="O99" s="14">
        <v>329673.95</v>
      </c>
      <c r="P99" s="15">
        <v>170681.92</v>
      </c>
      <c r="Q99" s="15">
        <v>469435.6</v>
      </c>
      <c r="R99" s="16">
        <v>682972.21</v>
      </c>
      <c r="S99" s="16">
        <v>27278.95</v>
      </c>
      <c r="T99" s="16" t="s">
        <v>2982</v>
      </c>
      <c r="U99" s="16" t="s">
        <v>2982</v>
      </c>
      <c r="V99" s="16" t="s">
        <v>2982</v>
      </c>
      <c r="W99" s="16" t="s">
        <v>2982</v>
      </c>
      <c r="X99" s="16" t="s">
        <v>2982</v>
      </c>
      <c r="AA99" s="24"/>
      <c r="AB99" s="3"/>
      <c r="AC99" s="3"/>
      <c r="AD99" s="80"/>
      <c r="AE99" s="80"/>
      <c r="AF99" s="80"/>
      <c r="AG99" s="80"/>
      <c r="AH99" s="411"/>
      <c r="AI99" s="411"/>
      <c r="AJ99" s="411"/>
      <c r="AK99" s="411"/>
    </row>
    <row r="100" spans="1:37" x14ac:dyDescent="0.15">
      <c r="A100" s="12" t="s">
        <v>218</v>
      </c>
      <c r="B100" s="13" t="s">
        <v>219</v>
      </c>
      <c r="C100" s="13" t="s">
        <v>27</v>
      </c>
      <c r="D100" s="13" t="s">
        <v>55</v>
      </c>
      <c r="E100" s="12" t="s">
        <v>112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/>
      <c r="O100" s="14"/>
      <c r="P100" s="15"/>
      <c r="Q100" s="15" t="s">
        <v>2982</v>
      </c>
      <c r="R100" s="16">
        <v>138005.93</v>
      </c>
      <c r="S100" s="16">
        <v>604534.41</v>
      </c>
      <c r="T100" s="16">
        <v>613501.81000000006</v>
      </c>
      <c r="U100" s="16" t="s">
        <v>2982</v>
      </c>
      <c r="V100" s="16" t="s">
        <v>2982</v>
      </c>
      <c r="W100" s="16" t="s">
        <v>2982</v>
      </c>
      <c r="X100" s="16" t="s">
        <v>2982</v>
      </c>
      <c r="AA100" s="24"/>
      <c r="AB100" s="3"/>
      <c r="AC100" s="3"/>
      <c r="AD100" s="80"/>
      <c r="AE100" s="80"/>
      <c r="AF100" s="80"/>
      <c r="AG100" s="80"/>
      <c r="AH100" s="411"/>
      <c r="AI100" s="411"/>
      <c r="AJ100" s="411"/>
      <c r="AK100" s="411"/>
    </row>
    <row r="101" spans="1:37" x14ac:dyDescent="0.15">
      <c r="A101" s="12" t="s">
        <v>220</v>
      </c>
      <c r="B101" s="13" t="s">
        <v>2373</v>
      </c>
      <c r="C101" s="13" t="s">
        <v>27</v>
      </c>
      <c r="D101" s="13" t="s">
        <v>55</v>
      </c>
      <c r="E101" s="12" t="s">
        <v>29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/>
      <c r="O101" s="14">
        <v>25072.28</v>
      </c>
      <c r="P101" s="15">
        <v>355103.46</v>
      </c>
      <c r="Q101" s="15">
        <v>95565.09</v>
      </c>
      <c r="R101" s="16">
        <v>9100.81</v>
      </c>
      <c r="S101" s="16" t="s">
        <v>2982</v>
      </c>
      <c r="T101" s="16" t="s">
        <v>2982</v>
      </c>
      <c r="U101" s="16" t="s">
        <v>2982</v>
      </c>
      <c r="V101" s="16" t="s">
        <v>2982</v>
      </c>
      <c r="W101" s="16" t="s">
        <v>2982</v>
      </c>
      <c r="X101" s="16" t="s">
        <v>2982</v>
      </c>
      <c r="AA101" s="24"/>
      <c r="AB101" s="3"/>
      <c r="AC101" s="3"/>
      <c r="AD101" s="80"/>
      <c r="AE101" s="80"/>
      <c r="AF101" s="80"/>
      <c r="AG101" s="80"/>
      <c r="AH101" s="411"/>
      <c r="AI101" s="411"/>
      <c r="AJ101" s="411"/>
      <c r="AK101" s="411"/>
    </row>
    <row r="102" spans="1:37" x14ac:dyDescent="0.15">
      <c r="A102" s="12" t="s">
        <v>221</v>
      </c>
      <c r="B102" s="13" t="s">
        <v>222</v>
      </c>
      <c r="C102" s="13" t="s">
        <v>27</v>
      </c>
      <c r="D102" s="13" t="s">
        <v>55</v>
      </c>
      <c r="E102" s="12" t="s">
        <v>32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/>
      <c r="O102" s="14">
        <v>168079.52</v>
      </c>
      <c r="P102" s="15">
        <v>507544.2</v>
      </c>
      <c r="Q102" s="15">
        <v>145338.79999999999</v>
      </c>
      <c r="R102" s="16" t="s">
        <v>2982</v>
      </c>
      <c r="S102" s="16" t="s">
        <v>2982</v>
      </c>
      <c r="T102" s="16" t="s">
        <v>2982</v>
      </c>
      <c r="U102" s="16" t="s">
        <v>2982</v>
      </c>
      <c r="V102" s="16" t="s">
        <v>2982</v>
      </c>
      <c r="W102" s="16" t="s">
        <v>2982</v>
      </c>
      <c r="X102" s="16" t="s">
        <v>2982</v>
      </c>
      <c r="AA102" s="24"/>
      <c r="AB102" s="3"/>
      <c r="AC102" s="3"/>
      <c r="AD102" s="80"/>
      <c r="AE102" s="80"/>
      <c r="AF102" s="80"/>
      <c r="AG102" s="80"/>
      <c r="AH102" s="411"/>
      <c r="AI102" s="411"/>
      <c r="AJ102" s="411"/>
      <c r="AK102" s="411"/>
    </row>
    <row r="103" spans="1:37" x14ac:dyDescent="0.15">
      <c r="A103" s="12" t="s">
        <v>223</v>
      </c>
      <c r="B103" s="13" t="s">
        <v>224</v>
      </c>
      <c r="C103" s="13" t="s">
        <v>27</v>
      </c>
      <c r="D103" s="13" t="s">
        <v>40</v>
      </c>
      <c r="E103" s="12" t="s">
        <v>29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/>
      <c r="O103" s="14"/>
      <c r="P103" s="15">
        <v>28007.03</v>
      </c>
      <c r="Q103" s="15">
        <v>695453.93</v>
      </c>
      <c r="R103" s="16">
        <v>2153163.7000000002</v>
      </c>
      <c r="S103" s="16">
        <v>912042.87</v>
      </c>
      <c r="T103" s="16" t="s">
        <v>2982</v>
      </c>
      <c r="U103" s="16" t="s">
        <v>2982</v>
      </c>
      <c r="V103" s="16" t="s">
        <v>2982</v>
      </c>
      <c r="W103" s="16" t="s">
        <v>2982</v>
      </c>
      <c r="X103" s="16" t="s">
        <v>2982</v>
      </c>
      <c r="AA103" s="24"/>
      <c r="AB103" s="3"/>
      <c r="AC103" s="3"/>
      <c r="AD103" s="80"/>
      <c r="AE103" s="80"/>
      <c r="AF103" s="80"/>
      <c r="AG103" s="80"/>
      <c r="AH103" s="411"/>
      <c r="AI103" s="411"/>
      <c r="AJ103" s="411"/>
      <c r="AK103" s="411"/>
    </row>
    <row r="104" spans="1:37" x14ac:dyDescent="0.15">
      <c r="A104" s="12" t="s">
        <v>225</v>
      </c>
      <c r="B104" s="13" t="s">
        <v>226</v>
      </c>
      <c r="C104" s="13" t="s">
        <v>27</v>
      </c>
      <c r="D104" s="13" t="s">
        <v>55</v>
      </c>
      <c r="E104" s="12" t="s">
        <v>32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/>
      <c r="O104" s="14">
        <v>5520.76</v>
      </c>
      <c r="P104" s="15">
        <v>41285.660000000003</v>
      </c>
      <c r="Q104" s="15" t="s">
        <v>2982</v>
      </c>
      <c r="R104" s="16" t="s">
        <v>2982</v>
      </c>
      <c r="S104" s="16" t="s">
        <v>2982</v>
      </c>
      <c r="T104" s="16" t="s">
        <v>2982</v>
      </c>
      <c r="U104" s="16" t="s">
        <v>2982</v>
      </c>
      <c r="V104" s="16" t="s">
        <v>2982</v>
      </c>
      <c r="W104" s="16" t="s">
        <v>2982</v>
      </c>
      <c r="X104" s="16" t="s">
        <v>2982</v>
      </c>
      <c r="AA104" s="24"/>
      <c r="AB104" s="3"/>
      <c r="AC104" s="3"/>
      <c r="AD104" s="80"/>
      <c r="AE104" s="80"/>
      <c r="AF104" s="80"/>
      <c r="AG104" s="80"/>
      <c r="AH104" s="411"/>
      <c r="AI104" s="411"/>
      <c r="AJ104" s="411"/>
      <c r="AK104" s="411"/>
    </row>
    <row r="105" spans="1:37" x14ac:dyDescent="0.15">
      <c r="A105" s="12" t="s">
        <v>227</v>
      </c>
      <c r="B105" s="13" t="s">
        <v>228</v>
      </c>
      <c r="C105" s="13" t="s">
        <v>27</v>
      </c>
      <c r="D105" s="13" t="s">
        <v>36</v>
      </c>
      <c r="E105" s="12" t="s">
        <v>32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/>
      <c r="O105" s="14">
        <v>180219.19</v>
      </c>
      <c r="P105" s="15">
        <v>-15569.69</v>
      </c>
      <c r="Q105" s="15" t="s">
        <v>2982</v>
      </c>
      <c r="R105" s="16" t="s">
        <v>2982</v>
      </c>
      <c r="S105" s="16" t="s">
        <v>2982</v>
      </c>
      <c r="T105" s="16" t="s">
        <v>2982</v>
      </c>
      <c r="U105" s="16" t="s">
        <v>2982</v>
      </c>
      <c r="V105" s="16" t="s">
        <v>2982</v>
      </c>
      <c r="W105" s="16" t="s">
        <v>2982</v>
      </c>
      <c r="X105" s="16" t="s">
        <v>2982</v>
      </c>
      <c r="AA105" s="24"/>
      <c r="AB105" s="3"/>
      <c r="AC105" s="3"/>
      <c r="AD105" s="80"/>
      <c r="AE105" s="80"/>
      <c r="AF105" s="80"/>
      <c r="AG105" s="80"/>
      <c r="AH105" s="411"/>
      <c r="AI105" s="411"/>
      <c r="AJ105" s="411"/>
      <c r="AK105" s="411"/>
    </row>
    <row r="106" spans="1:37" x14ac:dyDescent="0.15">
      <c r="A106" s="12" t="s">
        <v>229</v>
      </c>
      <c r="B106" s="13" t="s">
        <v>230</v>
      </c>
      <c r="C106" s="13" t="s">
        <v>27</v>
      </c>
      <c r="D106" s="13" t="s">
        <v>60</v>
      </c>
      <c r="E106" s="12" t="s">
        <v>32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/>
      <c r="O106" s="14">
        <v>1991085.2</v>
      </c>
      <c r="P106" s="15"/>
      <c r="Q106" s="15">
        <v>-16.18</v>
      </c>
      <c r="R106" s="16" t="s">
        <v>2982</v>
      </c>
      <c r="S106" s="16" t="s">
        <v>2982</v>
      </c>
      <c r="T106" s="16" t="s">
        <v>2982</v>
      </c>
      <c r="U106" s="16" t="s">
        <v>2982</v>
      </c>
      <c r="V106" s="16" t="s">
        <v>2982</v>
      </c>
      <c r="W106" s="16" t="s">
        <v>2982</v>
      </c>
      <c r="X106" s="16" t="s">
        <v>2982</v>
      </c>
      <c r="AA106" s="24"/>
      <c r="AB106" s="3"/>
      <c r="AC106" s="3"/>
      <c r="AD106" s="80"/>
      <c r="AE106" s="80"/>
      <c r="AF106" s="80"/>
      <c r="AG106" s="80"/>
      <c r="AH106" s="411"/>
      <c r="AI106" s="411"/>
      <c r="AJ106" s="411"/>
      <c r="AK106" s="411"/>
    </row>
    <row r="107" spans="1:37" x14ac:dyDescent="0.15">
      <c r="A107" s="12" t="s">
        <v>231</v>
      </c>
      <c r="B107" s="13" t="s">
        <v>232</v>
      </c>
      <c r="C107" s="13" t="s">
        <v>27</v>
      </c>
      <c r="D107" s="13" t="s">
        <v>54</v>
      </c>
      <c r="E107" s="12" t="s">
        <v>29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73819.259999999995</v>
      </c>
      <c r="O107" s="14">
        <v>1176181.29</v>
      </c>
      <c r="P107" s="15">
        <v>5432407.5999999996</v>
      </c>
      <c r="Q107" s="15">
        <v>1522285.4</v>
      </c>
      <c r="R107" s="16">
        <v>737404.31999999983</v>
      </c>
      <c r="S107" s="16">
        <v>75390.740000000005</v>
      </c>
      <c r="T107" s="16" t="s">
        <v>2982</v>
      </c>
      <c r="U107" s="16" t="s">
        <v>2982</v>
      </c>
      <c r="V107" s="16" t="s">
        <v>2982</v>
      </c>
      <c r="W107" s="16" t="s">
        <v>2982</v>
      </c>
      <c r="X107" s="16" t="s">
        <v>2982</v>
      </c>
      <c r="AA107" s="24"/>
      <c r="AB107" s="3"/>
      <c r="AC107" s="3"/>
      <c r="AD107" s="80"/>
      <c r="AE107" s="80"/>
      <c r="AF107" s="80"/>
      <c r="AG107" s="80"/>
      <c r="AH107" s="411"/>
      <c r="AI107" s="411"/>
      <c r="AJ107" s="411"/>
      <c r="AK107" s="411"/>
    </row>
    <row r="108" spans="1:37" x14ac:dyDescent="0.15">
      <c r="A108" s="12" t="s">
        <v>233</v>
      </c>
      <c r="B108" s="13" t="s">
        <v>2299</v>
      </c>
      <c r="C108" s="13" t="s">
        <v>27</v>
      </c>
      <c r="D108" s="13" t="s">
        <v>55</v>
      </c>
      <c r="E108" s="12" t="s">
        <v>112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/>
      <c r="O108" s="14"/>
      <c r="P108" s="15"/>
      <c r="Q108" s="15" t="s">
        <v>2982</v>
      </c>
      <c r="R108" s="16" t="s">
        <v>2982</v>
      </c>
      <c r="S108" s="16">
        <v>744066.42</v>
      </c>
      <c r="T108" s="16">
        <v>956119.15</v>
      </c>
      <c r="U108" s="16" t="s">
        <v>2982</v>
      </c>
      <c r="V108" s="16" t="s">
        <v>2982</v>
      </c>
      <c r="W108" s="16" t="s">
        <v>2982</v>
      </c>
      <c r="X108" s="16" t="s">
        <v>2982</v>
      </c>
      <c r="AA108" s="24"/>
      <c r="AB108" s="3"/>
      <c r="AC108" s="3"/>
      <c r="AD108" s="80"/>
      <c r="AE108" s="80"/>
      <c r="AF108" s="80"/>
      <c r="AG108" s="80"/>
      <c r="AH108" s="411"/>
      <c r="AI108" s="411"/>
      <c r="AJ108" s="411"/>
      <c r="AK108" s="411"/>
    </row>
    <row r="109" spans="1:37" x14ac:dyDescent="0.15">
      <c r="A109" s="12" t="s">
        <v>234</v>
      </c>
      <c r="B109" s="13" t="s">
        <v>2374</v>
      </c>
      <c r="C109" s="13" t="s">
        <v>27</v>
      </c>
      <c r="D109" s="13" t="s">
        <v>55</v>
      </c>
      <c r="E109" s="12" t="s">
        <v>29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58928.5</v>
      </c>
      <c r="O109" s="14">
        <v>11460.27</v>
      </c>
      <c r="P109" s="15">
        <v>-37171.56</v>
      </c>
      <c r="Q109" s="15">
        <v>937145.45</v>
      </c>
      <c r="R109" s="16">
        <v>233145.55</v>
      </c>
      <c r="S109" s="16" t="s">
        <v>2982</v>
      </c>
      <c r="T109" s="16" t="s">
        <v>2982</v>
      </c>
      <c r="U109" s="16" t="s">
        <v>2982</v>
      </c>
      <c r="V109" s="16" t="s">
        <v>2982</v>
      </c>
      <c r="W109" s="16" t="s">
        <v>2982</v>
      </c>
      <c r="X109" s="16" t="s">
        <v>2982</v>
      </c>
      <c r="AA109" s="24"/>
      <c r="AB109" s="3"/>
      <c r="AC109" s="3"/>
      <c r="AD109" s="80"/>
      <c r="AE109" s="80"/>
      <c r="AF109" s="80"/>
      <c r="AG109" s="80"/>
      <c r="AH109" s="411"/>
      <c r="AI109" s="411"/>
      <c r="AJ109" s="411"/>
      <c r="AK109" s="411"/>
    </row>
    <row r="110" spans="1:37" x14ac:dyDescent="0.15">
      <c r="A110" s="12" t="s">
        <v>235</v>
      </c>
      <c r="B110" s="13" t="s">
        <v>236</v>
      </c>
      <c r="C110" s="13" t="s">
        <v>27</v>
      </c>
      <c r="D110" s="13" t="s">
        <v>28</v>
      </c>
      <c r="E110" s="12" t="s">
        <v>29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/>
      <c r="O110" s="14">
        <v>9013.5</v>
      </c>
      <c r="P110" s="15">
        <v>404991.72</v>
      </c>
      <c r="Q110" s="15">
        <v>1644815.3600000001</v>
      </c>
      <c r="R110" s="16">
        <v>1577460.9479999999</v>
      </c>
      <c r="S110" s="16">
        <v>12987.87</v>
      </c>
      <c r="T110" s="16" t="s">
        <v>2982</v>
      </c>
      <c r="U110" s="16" t="s">
        <v>2982</v>
      </c>
      <c r="V110" s="16" t="s">
        <v>2982</v>
      </c>
      <c r="W110" s="16" t="s">
        <v>2982</v>
      </c>
      <c r="X110" s="16" t="s">
        <v>2982</v>
      </c>
      <c r="AA110" s="24"/>
      <c r="AB110" s="3"/>
      <c r="AC110" s="3"/>
      <c r="AD110" s="80"/>
      <c r="AE110" s="80"/>
      <c r="AF110" s="80"/>
      <c r="AG110" s="80"/>
      <c r="AH110" s="411"/>
      <c r="AI110" s="411"/>
      <c r="AJ110" s="411"/>
      <c r="AK110" s="411"/>
    </row>
    <row r="111" spans="1:37" x14ac:dyDescent="0.15">
      <c r="A111" s="12" t="s">
        <v>237</v>
      </c>
      <c r="B111" s="13" t="s">
        <v>238</v>
      </c>
      <c r="C111" s="13" t="s">
        <v>27</v>
      </c>
      <c r="D111" s="13" t="s">
        <v>36</v>
      </c>
      <c r="E111" s="12" t="s">
        <v>32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/>
      <c r="O111" s="14">
        <v>188173.23</v>
      </c>
      <c r="P111" s="15">
        <v>12484.04</v>
      </c>
      <c r="Q111" s="15">
        <v>-2221.56</v>
      </c>
      <c r="R111" s="16" t="s">
        <v>2982</v>
      </c>
      <c r="S111" s="16" t="s">
        <v>2982</v>
      </c>
      <c r="T111" s="16" t="s">
        <v>2982</v>
      </c>
      <c r="U111" s="16" t="s">
        <v>2982</v>
      </c>
      <c r="V111" s="16" t="s">
        <v>2982</v>
      </c>
      <c r="W111" s="16" t="s">
        <v>2982</v>
      </c>
      <c r="X111" s="16" t="s">
        <v>2982</v>
      </c>
      <c r="AA111" s="24"/>
      <c r="AB111" s="3"/>
      <c r="AC111" s="3"/>
      <c r="AD111" s="80"/>
      <c r="AE111" s="80"/>
      <c r="AF111" s="80"/>
      <c r="AG111" s="80"/>
      <c r="AH111" s="411"/>
      <c r="AI111" s="411"/>
      <c r="AJ111" s="411"/>
      <c r="AK111" s="411"/>
    </row>
    <row r="112" spans="1:37" x14ac:dyDescent="0.15">
      <c r="A112" s="12" t="s">
        <v>239</v>
      </c>
      <c r="B112" s="13" t="s">
        <v>240</v>
      </c>
      <c r="C112" s="13" t="s">
        <v>27</v>
      </c>
      <c r="D112" s="13" t="s">
        <v>36</v>
      </c>
      <c r="E112" s="12" t="s">
        <v>29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/>
      <c r="O112" s="14"/>
      <c r="P112" s="15">
        <v>5363.33</v>
      </c>
      <c r="Q112" s="15">
        <v>19460.88</v>
      </c>
      <c r="R112" s="16" t="s">
        <v>2982</v>
      </c>
      <c r="S112" s="16" t="s">
        <v>2982</v>
      </c>
      <c r="T112" s="16" t="s">
        <v>2982</v>
      </c>
      <c r="U112" s="16" t="s">
        <v>2982</v>
      </c>
      <c r="V112" s="16" t="s">
        <v>2982</v>
      </c>
      <c r="W112" s="16" t="s">
        <v>2982</v>
      </c>
      <c r="X112" s="16" t="s">
        <v>2982</v>
      </c>
      <c r="AA112" s="24"/>
      <c r="AB112" s="3"/>
      <c r="AC112" s="3"/>
      <c r="AD112" s="80"/>
      <c r="AE112" s="80"/>
      <c r="AF112" s="80"/>
      <c r="AG112" s="80"/>
      <c r="AH112" s="411"/>
      <c r="AI112" s="411"/>
      <c r="AJ112" s="411"/>
      <c r="AK112" s="411"/>
    </row>
    <row r="113" spans="1:37" x14ac:dyDescent="0.15">
      <c r="A113" s="12" t="s">
        <v>241</v>
      </c>
      <c r="B113" s="13" t="s">
        <v>242</v>
      </c>
      <c r="C113" s="13" t="s">
        <v>27</v>
      </c>
      <c r="D113" s="13" t="s">
        <v>40</v>
      </c>
      <c r="E113" s="12" t="s">
        <v>29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/>
      <c r="O113" s="14">
        <v>185599.88</v>
      </c>
      <c r="P113" s="15">
        <v>57958.92</v>
      </c>
      <c r="Q113" s="15">
        <v>272461.01</v>
      </c>
      <c r="R113" s="16">
        <v>1859024.6399999997</v>
      </c>
      <c r="S113" s="16">
        <v>5845519.1600000001</v>
      </c>
      <c r="T113" s="16">
        <v>20619.009999999998</v>
      </c>
      <c r="U113" s="16" t="s">
        <v>2982</v>
      </c>
      <c r="V113" s="16" t="s">
        <v>2982</v>
      </c>
      <c r="W113" s="16" t="s">
        <v>2982</v>
      </c>
      <c r="X113" s="16" t="s">
        <v>2982</v>
      </c>
      <c r="AA113" s="24"/>
      <c r="AB113" s="3"/>
      <c r="AC113" s="3"/>
      <c r="AD113" s="80"/>
      <c r="AE113" s="80"/>
      <c r="AF113" s="80"/>
      <c r="AG113" s="80"/>
      <c r="AH113" s="411"/>
      <c r="AI113" s="411"/>
      <c r="AJ113" s="411"/>
      <c r="AK113" s="411"/>
    </row>
    <row r="114" spans="1:37" x14ac:dyDescent="0.15">
      <c r="A114" s="12" t="s">
        <v>243</v>
      </c>
      <c r="B114" s="13" t="s">
        <v>244</v>
      </c>
      <c r="C114" s="13" t="s">
        <v>27</v>
      </c>
      <c r="D114" s="13" t="s">
        <v>28</v>
      </c>
      <c r="E114" s="12" t="s">
        <v>29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/>
      <c r="O114" s="14">
        <v>213853.45</v>
      </c>
      <c r="P114" s="15">
        <v>6982366.7400000002</v>
      </c>
      <c r="Q114" s="15">
        <v>352979.84</v>
      </c>
      <c r="R114" s="16">
        <v>566068.5</v>
      </c>
      <c r="S114" s="16">
        <v>5497092</v>
      </c>
      <c r="T114" s="16">
        <v>141141.39000000001</v>
      </c>
      <c r="U114" s="16" t="s">
        <v>2982</v>
      </c>
      <c r="V114" s="16" t="s">
        <v>2982</v>
      </c>
      <c r="W114" s="16" t="s">
        <v>2982</v>
      </c>
      <c r="X114" s="16" t="s">
        <v>2982</v>
      </c>
      <c r="AA114" s="24"/>
      <c r="AB114" s="3"/>
      <c r="AC114" s="3"/>
      <c r="AD114" s="80"/>
      <c r="AE114" s="80"/>
      <c r="AF114" s="80"/>
      <c r="AG114" s="80"/>
      <c r="AH114" s="411"/>
      <c r="AI114" s="411"/>
      <c r="AJ114" s="411"/>
      <c r="AK114" s="411"/>
    </row>
    <row r="115" spans="1:37" x14ac:dyDescent="0.15">
      <c r="A115" s="12" t="s">
        <v>245</v>
      </c>
      <c r="B115" s="13" t="s">
        <v>246</v>
      </c>
      <c r="C115" s="13" t="s">
        <v>27</v>
      </c>
      <c r="D115" s="13" t="s">
        <v>44</v>
      </c>
      <c r="E115" s="12" t="s">
        <v>29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25275.63</v>
      </c>
      <c r="M115" s="14">
        <v>1818104.54</v>
      </c>
      <c r="N115" s="14">
        <v>1336997.8400000001</v>
      </c>
      <c r="O115" s="14">
        <v>1345162.35</v>
      </c>
      <c r="P115" s="15">
        <v>467414.19</v>
      </c>
      <c r="Q115" s="15">
        <v>5959798.7699999996</v>
      </c>
      <c r="R115" s="16">
        <v>1084223.23</v>
      </c>
      <c r="S115" s="16" t="s">
        <v>2982</v>
      </c>
      <c r="T115" s="16" t="s">
        <v>2982</v>
      </c>
      <c r="U115" s="16" t="s">
        <v>2982</v>
      </c>
      <c r="V115" s="16" t="s">
        <v>2982</v>
      </c>
      <c r="W115" s="16" t="s">
        <v>2982</v>
      </c>
      <c r="X115" s="16" t="s">
        <v>2982</v>
      </c>
      <c r="AA115" s="24"/>
      <c r="AB115" s="3"/>
      <c r="AC115" s="3"/>
      <c r="AD115" s="80"/>
      <c r="AE115" s="80"/>
      <c r="AF115" s="80"/>
      <c r="AG115" s="80"/>
      <c r="AH115" s="411"/>
      <c r="AI115" s="411"/>
      <c r="AJ115" s="411"/>
      <c r="AK115" s="411"/>
    </row>
    <row r="116" spans="1:37" x14ac:dyDescent="0.15">
      <c r="A116" s="12" t="s">
        <v>248</v>
      </c>
      <c r="B116" s="13" t="s">
        <v>249</v>
      </c>
      <c r="C116" s="13" t="s">
        <v>27</v>
      </c>
      <c r="D116" s="13" t="s">
        <v>28</v>
      </c>
      <c r="E116" s="12" t="s">
        <v>29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5538.17</v>
      </c>
      <c r="O116" s="14">
        <v>366.94</v>
      </c>
      <c r="P116" s="15">
        <v>59297.46</v>
      </c>
      <c r="Q116" s="15">
        <v>254711.33</v>
      </c>
      <c r="R116" s="16">
        <v>622763.67000000004</v>
      </c>
      <c r="S116" s="16">
        <v>49035.16</v>
      </c>
      <c r="T116" s="16">
        <v>482404</v>
      </c>
      <c r="U116" s="16">
        <v>11475</v>
      </c>
      <c r="V116" s="16" t="s">
        <v>2982</v>
      </c>
      <c r="W116" s="16" t="s">
        <v>2982</v>
      </c>
      <c r="X116" s="16" t="s">
        <v>2982</v>
      </c>
      <c r="AA116" s="24"/>
      <c r="AB116" s="3"/>
      <c r="AC116" s="3"/>
      <c r="AD116" s="80"/>
      <c r="AE116" s="80"/>
      <c r="AF116" s="80"/>
      <c r="AG116" s="80"/>
      <c r="AH116" s="411"/>
      <c r="AI116" s="411"/>
      <c r="AJ116" s="411"/>
      <c r="AK116" s="411"/>
    </row>
    <row r="117" spans="1:37" x14ac:dyDescent="0.15">
      <c r="A117" s="12" t="s">
        <v>250</v>
      </c>
      <c r="B117" s="13" t="s">
        <v>251</v>
      </c>
      <c r="C117" s="13" t="s">
        <v>27</v>
      </c>
      <c r="D117" s="13" t="s">
        <v>54</v>
      </c>
      <c r="E117" s="12" t="s">
        <v>29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68794.92</v>
      </c>
      <c r="O117" s="14">
        <v>-68794.92</v>
      </c>
      <c r="P117" s="15">
        <v>41663.269999999997</v>
      </c>
      <c r="Q117" s="15">
        <v>90058.53</v>
      </c>
      <c r="R117" s="16">
        <v>905959.05</v>
      </c>
      <c r="S117" s="16">
        <v>151502.29</v>
      </c>
      <c r="T117" s="16" t="s">
        <v>2982</v>
      </c>
      <c r="U117" s="16" t="s">
        <v>2982</v>
      </c>
      <c r="V117" s="16" t="s">
        <v>2982</v>
      </c>
      <c r="W117" s="16" t="s">
        <v>2982</v>
      </c>
      <c r="X117" s="16" t="s">
        <v>2982</v>
      </c>
      <c r="AA117" s="24"/>
      <c r="AB117" s="3"/>
      <c r="AC117" s="3"/>
      <c r="AD117" s="80"/>
      <c r="AE117" s="80"/>
      <c r="AF117" s="80"/>
      <c r="AG117" s="80"/>
      <c r="AH117" s="411"/>
      <c r="AI117" s="411"/>
      <c r="AJ117" s="411"/>
      <c r="AK117" s="411"/>
    </row>
    <row r="118" spans="1:37" x14ac:dyDescent="0.15">
      <c r="A118" s="12" t="s">
        <v>252</v>
      </c>
      <c r="B118" s="13" t="s">
        <v>253</v>
      </c>
      <c r="C118" s="13" t="s">
        <v>27</v>
      </c>
      <c r="D118" s="13" t="s">
        <v>36</v>
      </c>
      <c r="E118" s="12" t="s">
        <v>29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/>
      <c r="O118" s="14"/>
      <c r="P118" s="15">
        <v>26995.38</v>
      </c>
      <c r="Q118" s="15">
        <v>10361.02</v>
      </c>
      <c r="R118" s="16" t="s">
        <v>2982</v>
      </c>
      <c r="S118" s="16" t="s">
        <v>2982</v>
      </c>
      <c r="T118" s="16" t="s">
        <v>2982</v>
      </c>
      <c r="U118" s="16" t="s">
        <v>2982</v>
      </c>
      <c r="V118" s="16" t="s">
        <v>2982</v>
      </c>
      <c r="W118" s="16" t="s">
        <v>2982</v>
      </c>
      <c r="X118" s="16" t="s">
        <v>2982</v>
      </c>
      <c r="AA118" s="24"/>
      <c r="AB118" s="3"/>
      <c r="AC118" s="3"/>
      <c r="AD118" s="80"/>
      <c r="AE118" s="80"/>
      <c r="AF118" s="80"/>
      <c r="AG118" s="80"/>
      <c r="AH118" s="411"/>
      <c r="AI118" s="411"/>
      <c r="AJ118" s="411"/>
      <c r="AK118" s="411"/>
    </row>
    <row r="119" spans="1:37" x14ac:dyDescent="0.15">
      <c r="A119" s="12" t="s">
        <v>254</v>
      </c>
      <c r="B119" s="13" t="s">
        <v>2375</v>
      </c>
      <c r="C119" s="13" t="s">
        <v>27</v>
      </c>
      <c r="D119" s="13" t="s">
        <v>36</v>
      </c>
      <c r="E119" s="12" t="s">
        <v>32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/>
      <c r="O119" s="14"/>
      <c r="P119" s="15">
        <v>76855.67</v>
      </c>
      <c r="Q119" s="15">
        <v>160.63999999999999</v>
      </c>
      <c r="R119" s="16" t="s">
        <v>2982</v>
      </c>
      <c r="S119" s="16" t="s">
        <v>2982</v>
      </c>
      <c r="T119" s="16" t="s">
        <v>2982</v>
      </c>
      <c r="U119" s="16" t="s">
        <v>2982</v>
      </c>
      <c r="V119" s="16" t="s">
        <v>2982</v>
      </c>
      <c r="W119" s="16" t="s">
        <v>2982</v>
      </c>
      <c r="X119" s="16" t="s">
        <v>2982</v>
      </c>
      <c r="AA119" s="24"/>
      <c r="AB119" s="3"/>
      <c r="AC119" s="3"/>
      <c r="AD119" s="80"/>
      <c r="AE119" s="80"/>
      <c r="AF119" s="80"/>
      <c r="AG119" s="80"/>
      <c r="AH119" s="411"/>
      <c r="AI119" s="411"/>
      <c r="AJ119" s="411"/>
      <c r="AK119" s="411"/>
    </row>
    <row r="120" spans="1:37" x14ac:dyDescent="0.15">
      <c r="A120" s="12" t="s">
        <v>255</v>
      </c>
      <c r="B120" s="13" t="s">
        <v>256</v>
      </c>
      <c r="C120" s="13" t="s">
        <v>27</v>
      </c>
      <c r="D120" s="13" t="s">
        <v>36</v>
      </c>
      <c r="E120" s="12" t="s">
        <v>29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/>
      <c r="O120" s="14"/>
      <c r="P120" s="15">
        <v>52854.23</v>
      </c>
      <c r="Q120" s="15">
        <v>119018.32</v>
      </c>
      <c r="R120" s="16" t="s">
        <v>2982</v>
      </c>
      <c r="S120" s="16" t="s">
        <v>2982</v>
      </c>
      <c r="T120" s="16" t="s">
        <v>2982</v>
      </c>
      <c r="U120" s="16" t="s">
        <v>2982</v>
      </c>
      <c r="V120" s="16" t="s">
        <v>2982</v>
      </c>
      <c r="W120" s="16" t="s">
        <v>2982</v>
      </c>
      <c r="X120" s="16" t="s">
        <v>2982</v>
      </c>
      <c r="AA120" s="24"/>
      <c r="AB120" s="3"/>
      <c r="AC120" s="3"/>
      <c r="AD120" s="80"/>
      <c r="AE120" s="80"/>
      <c r="AF120" s="80"/>
      <c r="AG120" s="80"/>
      <c r="AH120" s="411"/>
      <c r="AI120" s="411"/>
      <c r="AJ120" s="411"/>
      <c r="AK120" s="411"/>
    </row>
    <row r="121" spans="1:37" x14ac:dyDescent="0.15">
      <c r="A121" s="12" t="s">
        <v>257</v>
      </c>
      <c r="B121" s="13" t="s">
        <v>2376</v>
      </c>
      <c r="C121" s="13" t="s">
        <v>27</v>
      </c>
      <c r="D121" s="13" t="s">
        <v>36</v>
      </c>
      <c r="E121" s="12" t="s">
        <v>32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/>
      <c r="O121" s="14"/>
      <c r="P121" s="15">
        <v>152850.15</v>
      </c>
      <c r="Q121" s="15">
        <v>1448.55</v>
      </c>
      <c r="R121" s="16" t="s">
        <v>2982</v>
      </c>
      <c r="S121" s="16" t="s">
        <v>2982</v>
      </c>
      <c r="T121" s="16" t="s">
        <v>2982</v>
      </c>
      <c r="U121" s="16" t="s">
        <v>2982</v>
      </c>
      <c r="V121" s="16" t="s">
        <v>2982</v>
      </c>
      <c r="W121" s="16" t="s">
        <v>2982</v>
      </c>
      <c r="X121" s="16" t="s">
        <v>2982</v>
      </c>
      <c r="AA121" s="24"/>
      <c r="AB121" s="3"/>
      <c r="AC121" s="3"/>
      <c r="AD121" s="80"/>
      <c r="AE121" s="80"/>
      <c r="AF121" s="80"/>
      <c r="AG121" s="80"/>
      <c r="AH121" s="411"/>
      <c r="AI121" s="411"/>
      <c r="AJ121" s="411"/>
      <c r="AK121" s="411"/>
    </row>
    <row r="122" spans="1:37" x14ac:dyDescent="0.15">
      <c r="A122" s="12" t="s">
        <v>258</v>
      </c>
      <c r="B122" s="13" t="s">
        <v>259</v>
      </c>
      <c r="C122" s="13" t="s">
        <v>27</v>
      </c>
      <c r="D122" s="13" t="s">
        <v>54</v>
      </c>
      <c r="E122" s="12" t="s">
        <v>29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/>
      <c r="O122" s="14"/>
      <c r="P122" s="15">
        <v>15509.49</v>
      </c>
      <c r="Q122" s="15">
        <v>200798.96</v>
      </c>
      <c r="R122" s="16">
        <v>293092.66000000003</v>
      </c>
      <c r="S122" s="16" t="s">
        <v>2982</v>
      </c>
      <c r="T122" s="16" t="s">
        <v>2982</v>
      </c>
      <c r="U122" s="16" t="s">
        <v>2982</v>
      </c>
      <c r="V122" s="16" t="s">
        <v>2982</v>
      </c>
      <c r="W122" s="16" t="s">
        <v>2982</v>
      </c>
      <c r="X122" s="16" t="s">
        <v>2982</v>
      </c>
      <c r="AA122" s="24"/>
      <c r="AB122" s="3"/>
      <c r="AC122" s="3"/>
      <c r="AD122" s="80"/>
      <c r="AE122" s="80"/>
      <c r="AF122" s="80"/>
      <c r="AG122" s="80"/>
      <c r="AH122" s="411"/>
      <c r="AI122" s="411"/>
      <c r="AJ122" s="411"/>
      <c r="AK122" s="411"/>
    </row>
    <row r="123" spans="1:37" x14ac:dyDescent="0.15">
      <c r="A123" s="12" t="s">
        <v>260</v>
      </c>
      <c r="B123" s="13" t="s">
        <v>261</v>
      </c>
      <c r="C123" s="13" t="s">
        <v>27</v>
      </c>
      <c r="D123" s="13" t="s">
        <v>54</v>
      </c>
      <c r="E123" s="12" t="s">
        <v>29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/>
      <c r="O123" s="14">
        <v>34784.730000000003</v>
      </c>
      <c r="P123" s="15">
        <v>558714.82999999996</v>
      </c>
      <c r="Q123" s="15">
        <v>1619551.99</v>
      </c>
      <c r="R123" s="16">
        <v>217555.03</v>
      </c>
      <c r="S123" s="16" t="s">
        <v>2982</v>
      </c>
      <c r="T123" s="16" t="s">
        <v>2982</v>
      </c>
      <c r="U123" s="16" t="s">
        <v>2982</v>
      </c>
      <c r="V123" s="16" t="s">
        <v>2982</v>
      </c>
      <c r="W123" s="16" t="s">
        <v>2982</v>
      </c>
      <c r="X123" s="16" t="s">
        <v>2982</v>
      </c>
      <c r="AA123" s="24"/>
      <c r="AB123" s="3"/>
      <c r="AC123" s="3"/>
      <c r="AD123" s="80"/>
      <c r="AE123" s="80"/>
      <c r="AF123" s="80"/>
      <c r="AG123" s="80"/>
      <c r="AH123" s="411"/>
      <c r="AI123" s="411"/>
      <c r="AJ123" s="411"/>
      <c r="AK123" s="411"/>
    </row>
    <row r="124" spans="1:37" x14ac:dyDescent="0.15">
      <c r="A124" s="12" t="s">
        <v>262</v>
      </c>
      <c r="B124" s="13" t="s">
        <v>263</v>
      </c>
      <c r="C124" s="13" t="s">
        <v>27</v>
      </c>
      <c r="D124" s="13" t="s">
        <v>40</v>
      </c>
      <c r="E124" s="12" t="s">
        <v>29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/>
      <c r="O124" s="14">
        <v>9136.58</v>
      </c>
      <c r="P124" s="15">
        <v>71459.929999999993</v>
      </c>
      <c r="Q124" s="15">
        <v>546308.9</v>
      </c>
      <c r="R124" s="16">
        <v>139833.53</v>
      </c>
      <c r="S124" s="16" t="s">
        <v>2982</v>
      </c>
      <c r="T124" s="16" t="s">
        <v>2982</v>
      </c>
      <c r="U124" s="16" t="s">
        <v>2982</v>
      </c>
      <c r="V124" s="16" t="s">
        <v>2982</v>
      </c>
      <c r="W124" s="16" t="s">
        <v>2982</v>
      </c>
      <c r="X124" s="16" t="s">
        <v>2982</v>
      </c>
      <c r="AA124" s="24"/>
      <c r="AB124" s="3"/>
      <c r="AC124" s="3"/>
      <c r="AD124" s="80"/>
      <c r="AE124" s="80"/>
      <c r="AF124" s="80"/>
      <c r="AG124" s="80"/>
      <c r="AH124" s="411"/>
      <c r="AI124" s="411"/>
      <c r="AJ124" s="411"/>
      <c r="AK124" s="411"/>
    </row>
    <row r="125" spans="1:37" x14ac:dyDescent="0.15">
      <c r="A125" s="12" t="s">
        <v>264</v>
      </c>
      <c r="B125" s="13" t="s">
        <v>265</v>
      </c>
      <c r="C125" s="13" t="s">
        <v>27</v>
      </c>
      <c r="D125" s="13" t="s">
        <v>40</v>
      </c>
      <c r="E125" s="12" t="s">
        <v>112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/>
      <c r="O125" s="14"/>
      <c r="P125" s="15"/>
      <c r="Q125" s="15" t="s">
        <v>2982</v>
      </c>
      <c r="R125" s="16" t="s">
        <v>2982</v>
      </c>
      <c r="S125" s="16">
        <v>1080778.8400000001</v>
      </c>
      <c r="T125" s="16">
        <v>2040077.85</v>
      </c>
      <c r="U125" s="16">
        <v>6569.78</v>
      </c>
      <c r="V125" s="16" t="s">
        <v>2982</v>
      </c>
      <c r="W125" s="16" t="s">
        <v>2982</v>
      </c>
      <c r="X125" s="16" t="s">
        <v>2982</v>
      </c>
      <c r="AA125" s="24"/>
      <c r="AB125" s="3"/>
      <c r="AC125" s="3"/>
      <c r="AD125" s="80"/>
      <c r="AE125" s="80"/>
      <c r="AF125" s="80"/>
      <c r="AG125" s="80"/>
      <c r="AH125" s="411"/>
      <c r="AI125" s="411"/>
      <c r="AJ125" s="411"/>
      <c r="AK125" s="411"/>
    </row>
    <row r="126" spans="1:37" x14ac:dyDescent="0.15">
      <c r="A126" s="12" t="s">
        <v>266</v>
      </c>
      <c r="B126" s="13" t="s">
        <v>267</v>
      </c>
      <c r="C126" s="13" t="s">
        <v>27</v>
      </c>
      <c r="D126" s="13" t="s">
        <v>40</v>
      </c>
      <c r="E126" s="12" t="s">
        <v>45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/>
      <c r="O126" s="14">
        <v>74100.3</v>
      </c>
      <c r="P126" s="15">
        <v>93952.53</v>
      </c>
      <c r="Q126" s="15" t="s">
        <v>2982</v>
      </c>
      <c r="R126" s="16">
        <v>23569.94</v>
      </c>
      <c r="S126" s="16">
        <v>99136.93</v>
      </c>
      <c r="T126" s="16" t="s">
        <v>2982</v>
      </c>
      <c r="U126" s="16" t="s">
        <v>2982</v>
      </c>
      <c r="V126" s="16" t="s">
        <v>2982</v>
      </c>
      <c r="W126" s="16" t="s">
        <v>2982</v>
      </c>
      <c r="X126" s="16" t="s">
        <v>2982</v>
      </c>
      <c r="AA126" s="24"/>
      <c r="AB126" s="3"/>
      <c r="AC126" s="3"/>
      <c r="AD126" s="80"/>
      <c r="AE126" s="80"/>
      <c r="AF126" s="80"/>
      <c r="AG126" s="80"/>
      <c r="AH126" s="411"/>
      <c r="AI126" s="411"/>
      <c r="AJ126" s="411"/>
      <c r="AK126" s="411"/>
    </row>
    <row r="127" spans="1:37" x14ac:dyDescent="0.15">
      <c r="A127" s="12" t="s">
        <v>268</v>
      </c>
      <c r="B127" s="13" t="s">
        <v>269</v>
      </c>
      <c r="C127" s="13" t="s">
        <v>27</v>
      </c>
      <c r="D127" s="13" t="s">
        <v>55</v>
      </c>
      <c r="E127" s="12" t="s">
        <v>29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/>
      <c r="O127" s="14">
        <v>1132106.48</v>
      </c>
      <c r="P127" s="15">
        <v>1936776</v>
      </c>
      <c r="Q127" s="15">
        <v>692825.16</v>
      </c>
      <c r="R127" s="16" t="s">
        <v>2982</v>
      </c>
      <c r="S127" s="16" t="s">
        <v>2982</v>
      </c>
      <c r="T127" s="16" t="s">
        <v>2982</v>
      </c>
      <c r="U127" s="16" t="s">
        <v>2982</v>
      </c>
      <c r="V127" s="16" t="s">
        <v>2982</v>
      </c>
      <c r="W127" s="16" t="s">
        <v>2982</v>
      </c>
      <c r="X127" s="16" t="s">
        <v>2982</v>
      </c>
      <c r="AA127" s="24"/>
      <c r="AB127" s="3"/>
      <c r="AC127" s="3"/>
      <c r="AD127" s="80"/>
      <c r="AE127" s="80"/>
      <c r="AF127" s="80"/>
      <c r="AG127" s="80"/>
      <c r="AH127" s="411"/>
      <c r="AI127" s="411"/>
      <c r="AJ127" s="411"/>
      <c r="AK127" s="411"/>
    </row>
    <row r="128" spans="1:37" x14ac:dyDescent="0.15">
      <c r="A128" s="12" t="s">
        <v>270</v>
      </c>
      <c r="B128" s="13" t="s">
        <v>271</v>
      </c>
      <c r="C128" s="13" t="s">
        <v>27</v>
      </c>
      <c r="D128" s="13" t="s">
        <v>55</v>
      </c>
      <c r="E128" s="12" t="s">
        <v>29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2789.9</v>
      </c>
      <c r="O128" s="14">
        <v>1200719.51</v>
      </c>
      <c r="P128" s="15">
        <v>975419.31</v>
      </c>
      <c r="Q128" s="15">
        <v>406569.87</v>
      </c>
      <c r="R128" s="16" t="s">
        <v>2982</v>
      </c>
      <c r="S128" s="16" t="s">
        <v>2982</v>
      </c>
      <c r="T128" s="16" t="s">
        <v>2982</v>
      </c>
      <c r="U128" s="16" t="s">
        <v>2982</v>
      </c>
      <c r="V128" s="16" t="s">
        <v>2982</v>
      </c>
      <c r="W128" s="16" t="s">
        <v>2982</v>
      </c>
      <c r="X128" s="16" t="s">
        <v>2982</v>
      </c>
      <c r="AA128" s="24"/>
      <c r="AB128" s="3"/>
      <c r="AC128" s="3"/>
      <c r="AD128" s="80"/>
      <c r="AE128" s="80"/>
      <c r="AF128" s="80"/>
      <c r="AG128" s="80"/>
      <c r="AH128" s="411"/>
      <c r="AI128" s="411"/>
      <c r="AJ128" s="411"/>
      <c r="AK128" s="411"/>
    </row>
    <row r="129" spans="1:37" x14ac:dyDescent="0.15">
      <c r="A129" s="12" t="s">
        <v>272</v>
      </c>
      <c r="B129" s="13" t="s">
        <v>273</v>
      </c>
      <c r="C129" s="13" t="s">
        <v>27</v>
      </c>
      <c r="D129" s="13" t="s">
        <v>55</v>
      </c>
      <c r="E129" s="12" t="s">
        <v>29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/>
      <c r="O129" s="14">
        <v>105135.8</v>
      </c>
      <c r="P129" s="15">
        <v>1736547.31</v>
      </c>
      <c r="Q129" s="15">
        <v>354965.81</v>
      </c>
      <c r="R129" s="16">
        <v>37919.650000000023</v>
      </c>
      <c r="S129" s="16" t="s">
        <v>2982</v>
      </c>
      <c r="T129" s="16" t="s">
        <v>2982</v>
      </c>
      <c r="U129" s="16" t="s">
        <v>2982</v>
      </c>
      <c r="V129" s="16" t="s">
        <v>2982</v>
      </c>
      <c r="W129" s="16" t="s">
        <v>2982</v>
      </c>
      <c r="X129" s="16" t="s">
        <v>2982</v>
      </c>
      <c r="AA129" s="24"/>
      <c r="AB129" s="3"/>
      <c r="AC129" s="3"/>
      <c r="AD129" s="80"/>
      <c r="AE129" s="80"/>
      <c r="AF129" s="80"/>
      <c r="AG129" s="80"/>
      <c r="AH129" s="411"/>
      <c r="AI129" s="411"/>
      <c r="AJ129" s="411"/>
      <c r="AK129" s="411"/>
    </row>
    <row r="130" spans="1:37" x14ac:dyDescent="0.15">
      <c r="A130" s="12" t="s">
        <v>274</v>
      </c>
      <c r="B130" s="13" t="s">
        <v>275</v>
      </c>
      <c r="C130" s="13" t="s">
        <v>27</v>
      </c>
      <c r="D130" s="13" t="s">
        <v>55</v>
      </c>
      <c r="E130" s="12" t="s">
        <v>29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/>
      <c r="O130" s="14">
        <v>376301.33</v>
      </c>
      <c r="P130" s="15">
        <v>891785.15</v>
      </c>
      <c r="Q130" s="15">
        <v>475188.83</v>
      </c>
      <c r="R130" s="16">
        <v>15404.339999999997</v>
      </c>
      <c r="S130" s="16" t="s">
        <v>2982</v>
      </c>
      <c r="T130" s="16" t="s">
        <v>2982</v>
      </c>
      <c r="U130" s="16" t="s">
        <v>2982</v>
      </c>
      <c r="V130" s="16" t="s">
        <v>2982</v>
      </c>
      <c r="W130" s="16" t="s">
        <v>2982</v>
      </c>
      <c r="X130" s="16" t="s">
        <v>2982</v>
      </c>
      <c r="AA130" s="24"/>
      <c r="AB130" s="3"/>
      <c r="AC130" s="3"/>
      <c r="AD130" s="80"/>
      <c r="AE130" s="80"/>
      <c r="AF130" s="80"/>
      <c r="AG130" s="80"/>
      <c r="AH130" s="411"/>
      <c r="AI130" s="411"/>
      <c r="AJ130" s="411"/>
      <c r="AK130" s="411"/>
    </row>
    <row r="131" spans="1:37" x14ac:dyDescent="0.15">
      <c r="A131" s="12" t="s">
        <v>276</v>
      </c>
      <c r="B131" s="13" t="s">
        <v>2377</v>
      </c>
      <c r="C131" s="13" t="s">
        <v>27</v>
      </c>
      <c r="D131" s="13" t="s">
        <v>36</v>
      </c>
      <c r="E131" s="12" t="s">
        <v>32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/>
      <c r="O131" s="14"/>
      <c r="P131" s="15">
        <v>276166.64</v>
      </c>
      <c r="Q131" s="15" t="s">
        <v>2982</v>
      </c>
      <c r="R131" s="16" t="s">
        <v>2982</v>
      </c>
      <c r="S131" s="16" t="s">
        <v>2982</v>
      </c>
      <c r="T131" s="16" t="s">
        <v>2982</v>
      </c>
      <c r="U131" s="16" t="s">
        <v>2982</v>
      </c>
      <c r="V131" s="16" t="s">
        <v>2982</v>
      </c>
      <c r="W131" s="16" t="s">
        <v>2982</v>
      </c>
      <c r="X131" s="16" t="s">
        <v>2982</v>
      </c>
      <c r="AA131" s="24"/>
      <c r="AB131" s="3"/>
      <c r="AC131" s="3"/>
      <c r="AD131" s="80"/>
      <c r="AE131" s="80"/>
      <c r="AF131" s="80"/>
      <c r="AG131" s="80"/>
      <c r="AH131" s="411"/>
      <c r="AI131" s="411"/>
      <c r="AJ131" s="411"/>
      <c r="AK131" s="411"/>
    </row>
    <row r="132" spans="1:37" x14ac:dyDescent="0.15">
      <c r="A132" s="12" t="s">
        <v>277</v>
      </c>
      <c r="B132" s="13" t="s">
        <v>278</v>
      </c>
      <c r="C132" s="13" t="s">
        <v>27</v>
      </c>
      <c r="D132" s="13" t="s">
        <v>60</v>
      </c>
      <c r="E132" s="12" t="s">
        <v>32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/>
      <c r="O132" s="14"/>
      <c r="P132" s="15">
        <v>1433079.98</v>
      </c>
      <c r="Q132" s="15">
        <v>295783.40999999997</v>
      </c>
      <c r="R132" s="16" t="s">
        <v>2982</v>
      </c>
      <c r="S132" s="16" t="s">
        <v>2982</v>
      </c>
      <c r="T132" s="16" t="s">
        <v>2982</v>
      </c>
      <c r="U132" s="16" t="s">
        <v>2982</v>
      </c>
      <c r="V132" s="16" t="s">
        <v>2982</v>
      </c>
      <c r="W132" s="16" t="s">
        <v>2982</v>
      </c>
      <c r="X132" s="16" t="s">
        <v>2982</v>
      </c>
      <c r="AA132" s="24"/>
      <c r="AB132" s="3"/>
      <c r="AC132" s="3"/>
      <c r="AD132" s="80"/>
      <c r="AE132" s="80"/>
      <c r="AF132" s="80"/>
      <c r="AG132" s="80"/>
      <c r="AH132" s="411"/>
      <c r="AI132" s="411"/>
      <c r="AJ132" s="411"/>
      <c r="AK132" s="411"/>
    </row>
    <row r="133" spans="1:37" x14ac:dyDescent="0.15">
      <c r="A133" s="12" t="s">
        <v>280</v>
      </c>
      <c r="B133" s="13" t="s">
        <v>281</v>
      </c>
      <c r="C133" s="13" t="s">
        <v>27</v>
      </c>
      <c r="D133" s="13" t="s">
        <v>40</v>
      </c>
      <c r="E133" s="12" t="s">
        <v>32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23847.37</v>
      </c>
      <c r="M133" s="14">
        <v>215992.62</v>
      </c>
      <c r="N133" s="14">
        <v>3121327.19</v>
      </c>
      <c r="O133" s="14">
        <v>1677702.37</v>
      </c>
      <c r="P133" s="15">
        <v>123214.48</v>
      </c>
      <c r="Q133" s="15" t="s">
        <v>2982</v>
      </c>
      <c r="R133" s="16" t="s">
        <v>2982</v>
      </c>
      <c r="S133" s="16" t="s">
        <v>2982</v>
      </c>
      <c r="T133" s="16" t="s">
        <v>2982</v>
      </c>
      <c r="U133" s="16" t="s">
        <v>2982</v>
      </c>
      <c r="V133" s="16" t="s">
        <v>2982</v>
      </c>
      <c r="W133" s="16" t="s">
        <v>2982</v>
      </c>
      <c r="X133" s="16" t="s">
        <v>2982</v>
      </c>
      <c r="AA133" s="24"/>
      <c r="AB133" s="3"/>
      <c r="AC133" s="3"/>
      <c r="AD133" s="80"/>
      <c r="AE133" s="80"/>
      <c r="AF133" s="80"/>
      <c r="AG133" s="80"/>
      <c r="AH133" s="411"/>
      <c r="AI133" s="411"/>
      <c r="AJ133" s="411"/>
      <c r="AK133" s="411"/>
    </row>
    <row r="134" spans="1:37" x14ac:dyDescent="0.15">
      <c r="A134" s="12" t="s">
        <v>282</v>
      </c>
      <c r="B134" s="13" t="s">
        <v>283</v>
      </c>
      <c r="C134" s="13" t="s">
        <v>27</v>
      </c>
      <c r="D134" s="13" t="s">
        <v>28</v>
      </c>
      <c r="E134" s="12" t="s">
        <v>45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/>
      <c r="O134" s="14">
        <v>189979.94</v>
      </c>
      <c r="P134" s="15">
        <v>69611.05</v>
      </c>
      <c r="Q134" s="15" t="s">
        <v>2982</v>
      </c>
      <c r="R134" s="16">
        <v>329199.02</v>
      </c>
      <c r="S134" s="16">
        <v>438705.14</v>
      </c>
      <c r="T134" s="16" t="s">
        <v>2982</v>
      </c>
      <c r="U134" s="16" t="s">
        <v>2982</v>
      </c>
      <c r="V134" s="16" t="s">
        <v>2982</v>
      </c>
      <c r="W134" s="16" t="s">
        <v>2982</v>
      </c>
      <c r="X134" s="16" t="s">
        <v>2982</v>
      </c>
      <c r="AA134" s="24"/>
      <c r="AB134" s="3"/>
      <c r="AC134" s="3"/>
      <c r="AD134" s="80"/>
      <c r="AE134" s="80"/>
      <c r="AF134" s="80"/>
      <c r="AG134" s="80"/>
      <c r="AH134" s="411"/>
      <c r="AI134" s="411"/>
      <c r="AJ134" s="411"/>
      <c r="AK134" s="411"/>
    </row>
    <row r="135" spans="1:37" x14ac:dyDescent="0.15">
      <c r="A135" s="12" t="s">
        <v>284</v>
      </c>
      <c r="B135" s="13" t="s">
        <v>2378</v>
      </c>
      <c r="C135" s="13" t="s">
        <v>27</v>
      </c>
      <c r="D135" s="13" t="s">
        <v>36</v>
      </c>
      <c r="E135" s="12" t="s">
        <v>32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/>
      <c r="O135" s="14"/>
      <c r="P135" s="15">
        <v>83668.19</v>
      </c>
      <c r="Q135" s="15" t="s">
        <v>2982</v>
      </c>
      <c r="R135" s="16" t="s">
        <v>2982</v>
      </c>
      <c r="S135" s="16" t="s">
        <v>2982</v>
      </c>
      <c r="T135" s="16" t="s">
        <v>2982</v>
      </c>
      <c r="U135" s="16" t="s">
        <v>2982</v>
      </c>
      <c r="V135" s="16" t="s">
        <v>2982</v>
      </c>
      <c r="W135" s="16" t="s">
        <v>2982</v>
      </c>
      <c r="X135" s="16" t="s">
        <v>2982</v>
      </c>
      <c r="AA135" s="24"/>
      <c r="AB135" s="3"/>
      <c r="AC135" s="3"/>
      <c r="AD135" s="80"/>
      <c r="AE135" s="80"/>
      <c r="AF135" s="80"/>
      <c r="AG135" s="80"/>
      <c r="AH135" s="411"/>
      <c r="AI135" s="411"/>
      <c r="AJ135" s="411"/>
      <c r="AK135" s="411"/>
    </row>
    <row r="136" spans="1:37" x14ac:dyDescent="0.15">
      <c r="A136" s="12" t="s">
        <v>285</v>
      </c>
      <c r="B136" s="13" t="s">
        <v>286</v>
      </c>
      <c r="C136" s="13" t="s">
        <v>27</v>
      </c>
      <c r="D136" s="13" t="s">
        <v>36</v>
      </c>
      <c r="E136" s="12" t="s">
        <v>29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/>
      <c r="O136" s="14"/>
      <c r="P136" s="15"/>
      <c r="Q136" s="15">
        <v>258600.87</v>
      </c>
      <c r="R136" s="16" t="s">
        <v>2982</v>
      </c>
      <c r="S136" s="16" t="s">
        <v>2982</v>
      </c>
      <c r="T136" s="16" t="s">
        <v>2982</v>
      </c>
      <c r="U136" s="16" t="s">
        <v>2982</v>
      </c>
      <c r="V136" s="16" t="s">
        <v>2982</v>
      </c>
      <c r="W136" s="16" t="s">
        <v>2982</v>
      </c>
      <c r="X136" s="16" t="s">
        <v>2982</v>
      </c>
      <c r="AA136" s="24"/>
      <c r="AB136" s="3"/>
      <c r="AC136" s="3"/>
      <c r="AD136" s="80"/>
      <c r="AE136" s="80"/>
      <c r="AF136" s="80"/>
      <c r="AG136" s="80"/>
      <c r="AH136" s="411"/>
      <c r="AI136" s="411"/>
      <c r="AJ136" s="411"/>
      <c r="AK136" s="411"/>
    </row>
    <row r="137" spans="1:37" x14ac:dyDescent="0.15">
      <c r="A137" s="12" t="s">
        <v>287</v>
      </c>
      <c r="B137" s="13" t="s">
        <v>288</v>
      </c>
      <c r="C137" s="13" t="s">
        <v>27</v>
      </c>
      <c r="D137" s="13" t="s">
        <v>28</v>
      </c>
      <c r="E137" s="12" t="s">
        <v>32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/>
      <c r="O137" s="14"/>
      <c r="P137" s="15"/>
      <c r="Q137" s="15" t="s">
        <v>2982</v>
      </c>
      <c r="R137" s="16" t="s">
        <v>2982</v>
      </c>
      <c r="S137" s="16" t="s">
        <v>2982</v>
      </c>
      <c r="T137" s="16" t="s">
        <v>2982</v>
      </c>
      <c r="U137" s="16" t="s">
        <v>2982</v>
      </c>
      <c r="V137" s="16" t="s">
        <v>2982</v>
      </c>
      <c r="W137" s="16" t="s">
        <v>2982</v>
      </c>
      <c r="X137" s="16" t="s">
        <v>2982</v>
      </c>
      <c r="AA137" s="24"/>
      <c r="AB137" s="3"/>
      <c r="AC137" s="3"/>
      <c r="AD137" s="80"/>
      <c r="AE137" s="80"/>
      <c r="AF137" s="80"/>
      <c r="AG137" s="80"/>
      <c r="AH137" s="411"/>
      <c r="AI137" s="411"/>
      <c r="AJ137" s="411"/>
      <c r="AK137" s="411"/>
    </row>
    <row r="138" spans="1:37" x14ac:dyDescent="0.15">
      <c r="A138" s="12" t="s">
        <v>289</v>
      </c>
      <c r="B138" s="13" t="s">
        <v>290</v>
      </c>
      <c r="C138" s="13" t="s">
        <v>27</v>
      </c>
      <c r="D138" s="13" t="s">
        <v>40</v>
      </c>
      <c r="E138" s="12" t="s">
        <v>29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/>
      <c r="O138" s="14"/>
      <c r="P138" s="15">
        <v>9229.4500000000007</v>
      </c>
      <c r="Q138" s="15">
        <v>3056298.04</v>
      </c>
      <c r="R138" s="16">
        <v>4462565.58</v>
      </c>
      <c r="S138" s="16" t="s">
        <v>2982</v>
      </c>
      <c r="T138" s="16" t="s">
        <v>2982</v>
      </c>
      <c r="U138" s="16" t="s">
        <v>2982</v>
      </c>
      <c r="V138" s="16" t="s">
        <v>2982</v>
      </c>
      <c r="W138" s="16" t="s">
        <v>2982</v>
      </c>
      <c r="X138" s="16" t="s">
        <v>2982</v>
      </c>
      <c r="AA138" s="24"/>
      <c r="AB138" s="3"/>
      <c r="AC138" s="3"/>
      <c r="AD138" s="80"/>
      <c r="AE138" s="80"/>
      <c r="AF138" s="80"/>
      <c r="AG138" s="80"/>
      <c r="AH138" s="411"/>
      <c r="AI138" s="411"/>
      <c r="AJ138" s="411"/>
      <c r="AK138" s="411"/>
    </row>
    <row r="139" spans="1:37" x14ac:dyDescent="0.15">
      <c r="A139" s="12" t="s">
        <v>291</v>
      </c>
      <c r="B139" s="13" t="s">
        <v>292</v>
      </c>
      <c r="C139" s="13" t="s">
        <v>27</v>
      </c>
      <c r="D139" s="13" t="s">
        <v>54</v>
      </c>
      <c r="E139" s="12" t="s">
        <v>29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/>
      <c r="O139" s="14">
        <v>20669.349999999999</v>
      </c>
      <c r="P139" s="15">
        <v>91992.08</v>
      </c>
      <c r="Q139" s="15">
        <v>1594839.93</v>
      </c>
      <c r="R139" s="16">
        <v>554857.90000000014</v>
      </c>
      <c r="S139" s="16">
        <v>81046.94</v>
      </c>
      <c r="T139" s="16" t="s">
        <v>2982</v>
      </c>
      <c r="U139" s="16" t="s">
        <v>2982</v>
      </c>
      <c r="V139" s="16" t="s">
        <v>2982</v>
      </c>
      <c r="W139" s="16" t="s">
        <v>2982</v>
      </c>
      <c r="X139" s="16" t="s">
        <v>2982</v>
      </c>
      <c r="AA139" s="24"/>
      <c r="AB139" s="3"/>
      <c r="AC139" s="3"/>
      <c r="AD139" s="80"/>
      <c r="AE139" s="80"/>
      <c r="AF139" s="80"/>
      <c r="AG139" s="80"/>
      <c r="AH139" s="411"/>
      <c r="AI139" s="411"/>
      <c r="AJ139" s="411"/>
      <c r="AK139" s="411"/>
    </row>
    <row r="140" spans="1:37" x14ac:dyDescent="0.15">
      <c r="A140" s="12" t="s">
        <v>293</v>
      </c>
      <c r="B140" s="13" t="s">
        <v>294</v>
      </c>
      <c r="C140" s="13" t="s">
        <v>27</v>
      </c>
      <c r="D140" s="13" t="s">
        <v>54</v>
      </c>
      <c r="E140" s="12" t="s">
        <v>45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31134.87</v>
      </c>
      <c r="M140" s="14">
        <v>53363.040000000001</v>
      </c>
      <c r="N140" s="14">
        <v>186355.87</v>
      </c>
      <c r="O140" s="14"/>
      <c r="P140" s="15"/>
      <c r="Q140" s="15" t="s">
        <v>2982</v>
      </c>
      <c r="R140" s="16" t="s">
        <v>2982</v>
      </c>
      <c r="S140" s="16" t="s">
        <v>2982</v>
      </c>
      <c r="T140" s="16" t="s">
        <v>2982</v>
      </c>
      <c r="U140" s="16" t="s">
        <v>2982</v>
      </c>
      <c r="V140" s="16" t="s">
        <v>2982</v>
      </c>
      <c r="W140" s="16" t="s">
        <v>2982</v>
      </c>
      <c r="X140" s="16" t="s">
        <v>2982</v>
      </c>
      <c r="AA140" s="24"/>
      <c r="AB140" s="3"/>
      <c r="AC140" s="3"/>
      <c r="AD140" s="80"/>
      <c r="AE140" s="80"/>
      <c r="AF140" s="80"/>
      <c r="AG140" s="80"/>
      <c r="AH140" s="411"/>
      <c r="AI140" s="411"/>
      <c r="AJ140" s="411"/>
      <c r="AK140" s="411"/>
    </row>
    <row r="141" spans="1:37" x14ac:dyDescent="0.15">
      <c r="A141" s="12" t="s">
        <v>295</v>
      </c>
      <c r="B141" s="13" t="s">
        <v>296</v>
      </c>
      <c r="C141" s="13" t="s">
        <v>27</v>
      </c>
      <c r="D141" s="13" t="s">
        <v>44</v>
      </c>
      <c r="E141" s="12" t="s">
        <v>29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607039.51</v>
      </c>
      <c r="O141" s="14">
        <v>92274.96</v>
      </c>
      <c r="P141" s="15">
        <v>141920.79</v>
      </c>
      <c r="Q141" s="15">
        <v>50298.3</v>
      </c>
      <c r="R141" s="16">
        <v>209187.53000000003</v>
      </c>
      <c r="S141" s="16" t="s">
        <v>2982</v>
      </c>
      <c r="T141" s="16" t="s">
        <v>2982</v>
      </c>
      <c r="U141" s="16" t="s">
        <v>2982</v>
      </c>
      <c r="V141" s="16" t="s">
        <v>2982</v>
      </c>
      <c r="W141" s="16" t="s">
        <v>2982</v>
      </c>
      <c r="X141" s="16" t="s">
        <v>2982</v>
      </c>
      <c r="AA141" s="24"/>
      <c r="AB141" s="3"/>
      <c r="AC141" s="3"/>
      <c r="AD141" s="80"/>
      <c r="AE141" s="80"/>
      <c r="AF141" s="80"/>
      <c r="AG141" s="80"/>
      <c r="AH141" s="411"/>
      <c r="AI141" s="411"/>
      <c r="AJ141" s="411"/>
      <c r="AK141" s="411"/>
    </row>
    <row r="142" spans="1:37" x14ac:dyDescent="0.15">
      <c r="A142" s="12" t="s">
        <v>297</v>
      </c>
      <c r="B142" s="13" t="s">
        <v>298</v>
      </c>
      <c r="C142" s="13" t="s">
        <v>27</v>
      </c>
      <c r="D142" s="13" t="s">
        <v>44</v>
      </c>
      <c r="E142" s="12" t="s">
        <v>29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99401.85</v>
      </c>
      <c r="O142" s="14">
        <v>76064.539999999994</v>
      </c>
      <c r="P142" s="15">
        <v>3427784.1</v>
      </c>
      <c r="Q142" s="15">
        <v>684952.33</v>
      </c>
      <c r="R142" s="16">
        <v>901831.12999999989</v>
      </c>
      <c r="S142" s="16" t="s">
        <v>2982</v>
      </c>
      <c r="T142" s="16" t="s">
        <v>2982</v>
      </c>
      <c r="U142" s="16" t="s">
        <v>2982</v>
      </c>
      <c r="V142" s="16" t="s">
        <v>2982</v>
      </c>
      <c r="W142" s="16" t="s">
        <v>2982</v>
      </c>
      <c r="X142" s="16" t="s">
        <v>2982</v>
      </c>
      <c r="AA142" s="24"/>
      <c r="AB142" s="3"/>
      <c r="AC142" s="3"/>
      <c r="AD142" s="80"/>
      <c r="AE142" s="80"/>
      <c r="AF142" s="80"/>
      <c r="AG142" s="80"/>
      <c r="AH142" s="411"/>
      <c r="AI142" s="411"/>
      <c r="AJ142" s="411"/>
      <c r="AK142" s="411"/>
    </row>
    <row r="143" spans="1:37" x14ac:dyDescent="0.15">
      <c r="A143" s="819" t="s">
        <v>299</v>
      </c>
      <c r="B143" s="819" t="s">
        <v>2300</v>
      </c>
      <c r="C143" s="819" t="s">
        <v>27</v>
      </c>
      <c r="D143" s="819" t="s">
        <v>55</v>
      </c>
      <c r="E143" s="819" t="s">
        <v>29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/>
      <c r="O143" s="14"/>
      <c r="P143" s="15"/>
      <c r="Q143" s="15">
        <v>700766.42</v>
      </c>
      <c r="R143" s="16">
        <v>1234384.68</v>
      </c>
      <c r="S143" s="16" t="s">
        <v>2982</v>
      </c>
      <c r="T143" s="16" t="s">
        <v>2982</v>
      </c>
      <c r="U143" s="16" t="s">
        <v>2982</v>
      </c>
      <c r="V143" s="16" t="s">
        <v>2982</v>
      </c>
      <c r="W143" s="16" t="s">
        <v>2982</v>
      </c>
      <c r="X143" s="16" t="s">
        <v>2982</v>
      </c>
      <c r="AA143" s="24"/>
      <c r="AB143" s="3"/>
      <c r="AC143" s="3"/>
      <c r="AD143" s="80"/>
      <c r="AE143" s="80"/>
      <c r="AF143" s="80"/>
      <c r="AG143" s="80"/>
      <c r="AH143" s="411"/>
      <c r="AI143" s="411"/>
      <c r="AJ143" s="411"/>
      <c r="AK143" s="411"/>
    </row>
    <row r="144" spans="1:37" x14ac:dyDescent="0.15">
      <c r="A144" s="12" t="s">
        <v>300</v>
      </c>
      <c r="B144" s="13" t="s">
        <v>301</v>
      </c>
      <c r="C144" s="13" t="s">
        <v>27</v>
      </c>
      <c r="D144" s="13" t="s">
        <v>40</v>
      </c>
      <c r="E144" s="12" t="s">
        <v>29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37048.43</v>
      </c>
      <c r="N144" s="14">
        <v>484827.3</v>
      </c>
      <c r="O144" s="14">
        <v>138716.12</v>
      </c>
      <c r="P144" s="15">
        <v>42278.81</v>
      </c>
      <c r="Q144" s="15">
        <v>3202479.63</v>
      </c>
      <c r="R144" s="16">
        <v>2419026.0300000003</v>
      </c>
      <c r="S144" s="16">
        <v>483.81</v>
      </c>
      <c r="T144" s="16" t="s">
        <v>2982</v>
      </c>
      <c r="U144" s="16" t="s">
        <v>2982</v>
      </c>
      <c r="V144" s="16" t="s">
        <v>2982</v>
      </c>
      <c r="W144" s="16" t="s">
        <v>2982</v>
      </c>
      <c r="X144" s="16" t="s">
        <v>2982</v>
      </c>
      <c r="AA144" s="24"/>
      <c r="AB144" s="3"/>
      <c r="AC144" s="3"/>
      <c r="AD144" s="80"/>
      <c r="AE144" s="80"/>
      <c r="AF144" s="80"/>
      <c r="AG144" s="80"/>
      <c r="AH144" s="411"/>
      <c r="AI144" s="411"/>
      <c r="AJ144" s="411"/>
      <c r="AK144" s="411"/>
    </row>
    <row r="145" spans="1:37" x14ac:dyDescent="0.15">
      <c r="A145" s="12" t="s">
        <v>302</v>
      </c>
      <c r="B145" s="13" t="s">
        <v>303</v>
      </c>
      <c r="C145" s="13" t="s">
        <v>27</v>
      </c>
      <c r="D145" s="13" t="s">
        <v>54</v>
      </c>
      <c r="E145" s="12" t="s">
        <v>29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490301.42</v>
      </c>
      <c r="O145" s="14">
        <v>531448.59</v>
      </c>
      <c r="P145" s="15">
        <v>1053221.75</v>
      </c>
      <c r="Q145" s="15">
        <v>4814778.12</v>
      </c>
      <c r="R145" s="16">
        <v>1695872.72</v>
      </c>
      <c r="S145" s="16">
        <v>16880.09</v>
      </c>
      <c r="T145" s="16" t="s">
        <v>2982</v>
      </c>
      <c r="U145" s="16" t="s">
        <v>2982</v>
      </c>
      <c r="V145" s="16" t="s">
        <v>2982</v>
      </c>
      <c r="W145" s="16" t="s">
        <v>2982</v>
      </c>
      <c r="X145" s="16" t="s">
        <v>2982</v>
      </c>
      <c r="AA145" s="24"/>
      <c r="AB145" s="3"/>
      <c r="AC145" s="3"/>
      <c r="AD145" s="80"/>
      <c r="AE145" s="80"/>
      <c r="AF145" s="80"/>
      <c r="AG145" s="80"/>
      <c r="AH145" s="411"/>
      <c r="AI145" s="411"/>
      <c r="AJ145" s="411"/>
      <c r="AK145" s="411"/>
    </row>
    <row r="146" spans="1:37" x14ac:dyDescent="0.15">
      <c r="A146" s="12" t="s">
        <v>304</v>
      </c>
      <c r="B146" s="13" t="s">
        <v>305</v>
      </c>
      <c r="C146" s="13" t="s">
        <v>27</v>
      </c>
      <c r="D146" s="13" t="s">
        <v>28</v>
      </c>
      <c r="E146" s="12" t="s">
        <v>32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8221.2099999999991</v>
      </c>
      <c r="O146" s="14">
        <v>317591.37</v>
      </c>
      <c r="P146" s="15">
        <v>1332108.6299999999</v>
      </c>
      <c r="Q146" s="15">
        <v>1116.27</v>
      </c>
      <c r="R146" s="16" t="s">
        <v>2982</v>
      </c>
      <c r="S146" s="16" t="s">
        <v>2982</v>
      </c>
      <c r="T146" s="16" t="s">
        <v>2982</v>
      </c>
      <c r="U146" s="16" t="s">
        <v>2982</v>
      </c>
      <c r="V146" s="16" t="s">
        <v>2982</v>
      </c>
      <c r="W146" s="16" t="s">
        <v>2982</v>
      </c>
      <c r="X146" s="16" t="s">
        <v>2982</v>
      </c>
      <c r="AA146" s="24"/>
      <c r="AB146" s="3"/>
      <c r="AC146" s="3"/>
      <c r="AD146" s="80"/>
      <c r="AE146" s="80"/>
      <c r="AF146" s="80"/>
      <c r="AG146" s="80"/>
      <c r="AH146" s="411"/>
      <c r="AI146" s="411"/>
      <c r="AJ146" s="411"/>
      <c r="AK146" s="411"/>
    </row>
    <row r="147" spans="1:37" x14ac:dyDescent="0.15">
      <c r="A147" s="819" t="s">
        <v>306</v>
      </c>
      <c r="B147" s="819" t="s">
        <v>307</v>
      </c>
      <c r="C147" s="819" t="s">
        <v>27</v>
      </c>
      <c r="D147" s="819" t="s">
        <v>40</v>
      </c>
      <c r="E147" s="819" t="s">
        <v>29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/>
      <c r="O147" s="14"/>
      <c r="P147" s="15">
        <v>87606.14</v>
      </c>
      <c r="Q147" s="15">
        <v>272528.40000000002</v>
      </c>
      <c r="R147" s="16">
        <v>5832720.7239999995</v>
      </c>
      <c r="S147" s="16">
        <v>3691354.4</v>
      </c>
      <c r="T147" s="16">
        <v>6378</v>
      </c>
      <c r="U147" s="16" t="s">
        <v>2982</v>
      </c>
      <c r="V147" s="16" t="s">
        <v>2982</v>
      </c>
      <c r="W147" s="16" t="s">
        <v>2982</v>
      </c>
      <c r="X147" s="16" t="s">
        <v>2982</v>
      </c>
      <c r="AA147" s="24"/>
      <c r="AB147" s="3"/>
      <c r="AC147" s="3"/>
      <c r="AD147" s="80"/>
      <c r="AE147" s="80"/>
      <c r="AF147" s="80"/>
      <c r="AG147" s="80"/>
      <c r="AH147" s="411"/>
      <c r="AI147" s="411"/>
      <c r="AJ147" s="411"/>
      <c r="AK147" s="411"/>
    </row>
    <row r="148" spans="1:37" x14ac:dyDescent="0.15">
      <c r="A148" s="12" t="s">
        <v>308</v>
      </c>
      <c r="B148" s="13" t="s">
        <v>2379</v>
      </c>
      <c r="C148" s="13" t="s">
        <v>27</v>
      </c>
      <c r="D148" s="13" t="s">
        <v>40</v>
      </c>
      <c r="E148" s="12" t="s">
        <v>29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/>
      <c r="O148" s="14">
        <v>60003.55</v>
      </c>
      <c r="P148" s="15">
        <v>414454.11</v>
      </c>
      <c r="Q148" s="15">
        <v>1183162.21</v>
      </c>
      <c r="R148" s="16">
        <v>7211593.597000001</v>
      </c>
      <c r="S148" s="16">
        <v>2400878.88</v>
      </c>
      <c r="T148" s="16" t="s">
        <v>2982</v>
      </c>
      <c r="U148" s="16" t="s">
        <v>2982</v>
      </c>
      <c r="V148" s="16" t="s">
        <v>2982</v>
      </c>
      <c r="W148" s="16" t="s">
        <v>2982</v>
      </c>
      <c r="X148" s="16" t="s">
        <v>2982</v>
      </c>
      <c r="AA148" s="24"/>
      <c r="AB148" s="3"/>
      <c r="AC148" s="3"/>
      <c r="AD148" s="80"/>
      <c r="AE148" s="80"/>
      <c r="AF148" s="80"/>
      <c r="AG148" s="80"/>
      <c r="AH148" s="411"/>
      <c r="AI148" s="411"/>
      <c r="AJ148" s="411"/>
      <c r="AK148" s="411"/>
    </row>
    <row r="149" spans="1:37" x14ac:dyDescent="0.15">
      <c r="A149" s="12" t="s">
        <v>310</v>
      </c>
      <c r="B149" s="13" t="s">
        <v>311</v>
      </c>
      <c r="C149" s="13" t="s">
        <v>27</v>
      </c>
      <c r="D149" s="13" t="s">
        <v>40</v>
      </c>
      <c r="E149" s="12" t="s">
        <v>29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/>
      <c r="O149" s="14">
        <v>9388.5499999999993</v>
      </c>
      <c r="P149" s="15">
        <v>231514.37</v>
      </c>
      <c r="Q149" s="15">
        <v>1693220.48</v>
      </c>
      <c r="R149" s="16">
        <v>376268.24</v>
      </c>
      <c r="S149" s="16">
        <v>4527.9399999999996</v>
      </c>
      <c r="T149" s="16" t="s">
        <v>2982</v>
      </c>
      <c r="U149" s="16" t="s">
        <v>2982</v>
      </c>
      <c r="V149" s="16" t="s">
        <v>2982</v>
      </c>
      <c r="W149" s="16" t="s">
        <v>2982</v>
      </c>
      <c r="X149" s="16" t="s">
        <v>2982</v>
      </c>
      <c r="AA149" s="24"/>
      <c r="AB149" s="3"/>
      <c r="AC149" s="3"/>
      <c r="AD149" s="80"/>
      <c r="AE149" s="80"/>
      <c r="AF149" s="80"/>
      <c r="AG149" s="80"/>
      <c r="AH149" s="411"/>
      <c r="AI149" s="411"/>
      <c r="AJ149" s="411"/>
      <c r="AK149" s="411"/>
    </row>
    <row r="150" spans="1:37" x14ac:dyDescent="0.15">
      <c r="A150" s="12" t="s">
        <v>312</v>
      </c>
      <c r="B150" s="13" t="s">
        <v>313</v>
      </c>
      <c r="C150" s="13" t="s">
        <v>27</v>
      </c>
      <c r="D150" s="13" t="s">
        <v>36</v>
      </c>
      <c r="E150" s="12" t="s">
        <v>29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/>
      <c r="O150" s="14"/>
      <c r="P150" s="15"/>
      <c r="Q150" s="15">
        <v>375366.15</v>
      </c>
      <c r="R150" s="16">
        <v>32125.1</v>
      </c>
      <c r="S150" s="16" t="s">
        <v>2982</v>
      </c>
      <c r="T150" s="16" t="s">
        <v>2982</v>
      </c>
      <c r="U150" s="16" t="s">
        <v>2982</v>
      </c>
      <c r="V150" s="16" t="s">
        <v>2982</v>
      </c>
      <c r="W150" s="16" t="s">
        <v>2982</v>
      </c>
      <c r="X150" s="16" t="s">
        <v>2982</v>
      </c>
      <c r="AA150" s="24"/>
      <c r="AB150" s="3"/>
      <c r="AC150" s="3"/>
      <c r="AD150" s="80"/>
      <c r="AE150" s="80"/>
      <c r="AF150" s="80"/>
      <c r="AG150" s="80"/>
      <c r="AH150" s="411"/>
      <c r="AI150" s="411"/>
      <c r="AJ150" s="411"/>
      <c r="AK150" s="411"/>
    </row>
    <row r="151" spans="1:37" x14ac:dyDescent="0.15">
      <c r="A151" s="12" t="s">
        <v>314</v>
      </c>
      <c r="B151" s="13" t="s">
        <v>315</v>
      </c>
      <c r="C151" s="13" t="s">
        <v>27</v>
      </c>
      <c r="D151" s="13" t="s">
        <v>60</v>
      </c>
      <c r="E151" s="12" t="s">
        <v>29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/>
      <c r="O151" s="14"/>
      <c r="P151" s="15"/>
      <c r="Q151" s="15">
        <v>1122835.1100000001</v>
      </c>
      <c r="R151" s="16">
        <v>817606.31</v>
      </c>
      <c r="S151" s="16" t="s">
        <v>2982</v>
      </c>
      <c r="T151" s="16" t="s">
        <v>2982</v>
      </c>
      <c r="U151" s="16" t="s">
        <v>2982</v>
      </c>
      <c r="V151" s="16" t="s">
        <v>2982</v>
      </c>
      <c r="W151" s="16" t="s">
        <v>2982</v>
      </c>
      <c r="X151" s="16" t="s">
        <v>2982</v>
      </c>
      <c r="AA151" s="24"/>
      <c r="AB151" s="3"/>
      <c r="AC151" s="3"/>
      <c r="AD151" s="80"/>
      <c r="AE151" s="80"/>
      <c r="AF151" s="80"/>
      <c r="AG151" s="80"/>
      <c r="AH151" s="411"/>
      <c r="AI151" s="411"/>
      <c r="AJ151" s="411"/>
      <c r="AK151" s="411"/>
    </row>
    <row r="152" spans="1:37" x14ac:dyDescent="0.15">
      <c r="A152" s="12" t="s">
        <v>318</v>
      </c>
      <c r="B152" s="13" t="s">
        <v>2301</v>
      </c>
      <c r="C152" s="13" t="s">
        <v>27</v>
      </c>
      <c r="D152" s="13" t="s">
        <v>55</v>
      </c>
      <c r="E152" s="12" t="s">
        <v>29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/>
      <c r="O152" s="14"/>
      <c r="P152" s="15"/>
      <c r="Q152" s="15">
        <v>422628.44</v>
      </c>
      <c r="R152" s="16">
        <v>453335.06999999995</v>
      </c>
      <c r="S152" s="16" t="s">
        <v>2982</v>
      </c>
      <c r="T152" s="16" t="s">
        <v>2982</v>
      </c>
      <c r="U152" s="16" t="s">
        <v>2982</v>
      </c>
      <c r="V152" s="16" t="s">
        <v>2982</v>
      </c>
      <c r="W152" s="16" t="s">
        <v>2982</v>
      </c>
      <c r="X152" s="16" t="s">
        <v>2982</v>
      </c>
      <c r="AA152" s="24"/>
      <c r="AB152" s="3"/>
      <c r="AC152" s="3"/>
      <c r="AD152" s="80"/>
      <c r="AE152" s="80"/>
      <c r="AF152" s="80"/>
      <c r="AG152" s="80"/>
      <c r="AH152" s="411"/>
      <c r="AI152" s="411"/>
      <c r="AJ152" s="411"/>
      <c r="AK152" s="411"/>
    </row>
    <row r="153" spans="1:37" x14ac:dyDescent="0.15">
      <c r="A153" s="12" t="s">
        <v>319</v>
      </c>
      <c r="B153" s="13" t="s">
        <v>320</v>
      </c>
      <c r="C153" s="13" t="s">
        <v>27</v>
      </c>
      <c r="D153" s="13" t="s">
        <v>55</v>
      </c>
      <c r="E153" s="12" t="s">
        <v>29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/>
      <c r="O153" s="14">
        <v>8096.17</v>
      </c>
      <c r="P153" s="15">
        <v>165269.04</v>
      </c>
      <c r="Q153" s="15">
        <v>265960.96999999997</v>
      </c>
      <c r="R153" s="16">
        <v>84614.3</v>
      </c>
      <c r="S153" s="16" t="s">
        <v>2982</v>
      </c>
      <c r="T153" s="16" t="s">
        <v>2982</v>
      </c>
      <c r="U153" s="16" t="s">
        <v>2982</v>
      </c>
      <c r="V153" s="16" t="s">
        <v>2982</v>
      </c>
      <c r="W153" s="16" t="s">
        <v>2982</v>
      </c>
      <c r="X153" s="16" t="s">
        <v>2982</v>
      </c>
      <c r="AA153" s="24"/>
      <c r="AB153" s="3"/>
      <c r="AC153" s="3"/>
      <c r="AD153" s="80"/>
      <c r="AE153" s="80"/>
      <c r="AF153" s="80"/>
      <c r="AG153" s="80"/>
      <c r="AH153" s="411"/>
      <c r="AI153" s="411"/>
      <c r="AJ153" s="411"/>
      <c r="AK153" s="411"/>
    </row>
    <row r="154" spans="1:37" x14ac:dyDescent="0.15">
      <c r="A154" s="12" t="s">
        <v>322</v>
      </c>
      <c r="B154" s="13" t="s">
        <v>323</v>
      </c>
      <c r="C154" s="13" t="s">
        <v>27</v>
      </c>
      <c r="D154" s="13" t="s">
        <v>55</v>
      </c>
      <c r="E154" s="12" t="s">
        <v>112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/>
      <c r="O154" s="14"/>
      <c r="P154" s="15"/>
      <c r="Q154" s="15" t="s">
        <v>2982</v>
      </c>
      <c r="R154" s="16" t="s">
        <v>2982</v>
      </c>
      <c r="S154" s="16" t="s">
        <v>2982</v>
      </c>
      <c r="T154" s="16">
        <v>232980.63</v>
      </c>
      <c r="U154" s="16">
        <v>480328.71</v>
      </c>
      <c r="V154" s="16">
        <v>615520.34</v>
      </c>
      <c r="W154" s="16">
        <v>280182.5</v>
      </c>
      <c r="X154" s="16" t="s">
        <v>2982</v>
      </c>
      <c r="AA154" s="24"/>
      <c r="AB154" s="3"/>
      <c r="AC154" s="3"/>
      <c r="AD154" s="80"/>
      <c r="AE154" s="80"/>
      <c r="AF154" s="80"/>
      <c r="AG154" s="80"/>
      <c r="AH154" s="411"/>
      <c r="AI154" s="411"/>
      <c r="AJ154" s="411"/>
      <c r="AK154" s="411"/>
    </row>
    <row r="155" spans="1:37" x14ac:dyDescent="0.15">
      <c r="A155" s="511" t="s">
        <v>324</v>
      </c>
      <c r="B155" s="512" t="s">
        <v>325</v>
      </c>
      <c r="C155" s="512" t="s">
        <v>27</v>
      </c>
      <c r="D155" s="512" t="s">
        <v>40</v>
      </c>
      <c r="E155" s="511" t="s">
        <v>29</v>
      </c>
      <c r="F155" s="518">
        <v>0</v>
      </c>
      <c r="G155" s="518">
        <v>0</v>
      </c>
      <c r="H155" s="518">
        <v>0</v>
      </c>
      <c r="I155" s="518">
        <v>0</v>
      </c>
      <c r="J155" s="518">
        <v>0</v>
      </c>
      <c r="K155" s="518">
        <v>0</v>
      </c>
      <c r="L155" s="518">
        <v>0</v>
      </c>
      <c r="M155" s="518">
        <v>3325.07</v>
      </c>
      <c r="N155" s="518">
        <v>665573.62</v>
      </c>
      <c r="O155" s="518">
        <v>655963.36</v>
      </c>
      <c r="P155" s="513">
        <v>2745396.56</v>
      </c>
      <c r="Q155" s="513">
        <v>3849743.01</v>
      </c>
      <c r="R155" s="513" t="s">
        <v>2982</v>
      </c>
      <c r="S155" s="513" t="s">
        <v>2982</v>
      </c>
      <c r="T155" s="513" t="s">
        <v>2982</v>
      </c>
      <c r="U155" s="513" t="s">
        <v>2982</v>
      </c>
      <c r="V155" s="513" t="s">
        <v>2982</v>
      </c>
      <c r="W155" s="513" t="s">
        <v>2982</v>
      </c>
      <c r="X155" s="513" t="s">
        <v>2982</v>
      </c>
      <c r="AA155" s="24"/>
      <c r="AB155" s="3"/>
      <c r="AC155" s="3"/>
      <c r="AD155" s="654">
        <v>0.25</v>
      </c>
      <c r="AE155" s="654">
        <v>0</v>
      </c>
      <c r="AF155" s="654">
        <v>0</v>
      </c>
      <c r="AG155" s="654">
        <v>0</v>
      </c>
      <c r="AH155" s="654">
        <v>0</v>
      </c>
      <c r="AI155" s="654">
        <v>0</v>
      </c>
      <c r="AJ155" s="654">
        <v>0</v>
      </c>
      <c r="AK155" s="411"/>
    </row>
    <row r="156" spans="1:37" x14ac:dyDescent="0.15">
      <c r="A156" s="12" t="s">
        <v>326</v>
      </c>
      <c r="B156" s="13" t="s">
        <v>2361</v>
      </c>
      <c r="C156" s="13" t="s">
        <v>27</v>
      </c>
      <c r="D156" s="13" t="s">
        <v>40</v>
      </c>
      <c r="E156" s="12" t="s">
        <v>32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15962.64</v>
      </c>
      <c r="M156" s="14">
        <v>500401.04</v>
      </c>
      <c r="N156" s="14">
        <v>4492442.0999999996</v>
      </c>
      <c r="O156" s="14">
        <v>1076465.56</v>
      </c>
      <c r="P156" s="15">
        <v>255005.82</v>
      </c>
      <c r="Q156" s="15">
        <v>9399.75</v>
      </c>
      <c r="R156" s="16" t="s">
        <v>2982</v>
      </c>
      <c r="S156" s="16" t="s">
        <v>2982</v>
      </c>
      <c r="T156" s="16" t="s">
        <v>2982</v>
      </c>
      <c r="U156" s="16" t="s">
        <v>2982</v>
      </c>
      <c r="V156" s="16" t="s">
        <v>2982</v>
      </c>
      <c r="W156" s="16" t="s">
        <v>2982</v>
      </c>
      <c r="X156" s="16" t="s">
        <v>2982</v>
      </c>
      <c r="AA156" s="24"/>
      <c r="AB156" s="3"/>
      <c r="AC156" s="3"/>
      <c r="AD156" s="80"/>
      <c r="AE156" s="80"/>
      <c r="AF156" s="80"/>
      <c r="AG156" s="80"/>
      <c r="AH156" s="411"/>
      <c r="AI156" s="411"/>
      <c r="AJ156" s="411"/>
      <c r="AK156" s="411"/>
    </row>
    <row r="157" spans="1:37" x14ac:dyDescent="0.15">
      <c r="A157" s="12" t="s">
        <v>327</v>
      </c>
      <c r="B157" s="13" t="s">
        <v>328</v>
      </c>
      <c r="C157" s="13" t="s">
        <v>27</v>
      </c>
      <c r="D157" s="13" t="s">
        <v>28</v>
      </c>
      <c r="E157" s="12" t="s">
        <v>29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235792.68</v>
      </c>
      <c r="O157" s="14">
        <v>351063.65</v>
      </c>
      <c r="P157" s="15">
        <v>1940704.88</v>
      </c>
      <c r="Q157" s="15">
        <v>736892.78</v>
      </c>
      <c r="R157" s="16">
        <v>61207.039999999979</v>
      </c>
      <c r="S157" s="16" t="s">
        <v>2982</v>
      </c>
      <c r="T157" s="16" t="s">
        <v>2982</v>
      </c>
      <c r="U157" s="16" t="s">
        <v>2982</v>
      </c>
      <c r="V157" s="16" t="s">
        <v>2982</v>
      </c>
      <c r="W157" s="16" t="s">
        <v>2982</v>
      </c>
      <c r="X157" s="16" t="s">
        <v>2982</v>
      </c>
      <c r="AA157" s="24"/>
      <c r="AB157" s="3"/>
      <c r="AC157" s="3"/>
      <c r="AD157" s="80"/>
      <c r="AE157" s="80"/>
      <c r="AF157" s="80"/>
      <c r="AG157" s="80"/>
      <c r="AH157" s="411"/>
      <c r="AI157" s="411"/>
      <c r="AJ157" s="411"/>
      <c r="AK157" s="411"/>
    </row>
    <row r="158" spans="1:37" x14ac:dyDescent="0.15">
      <c r="A158" s="12" t="s">
        <v>329</v>
      </c>
      <c r="B158" s="13" t="s">
        <v>330</v>
      </c>
      <c r="C158" s="13" t="s">
        <v>27</v>
      </c>
      <c r="D158" s="13" t="s">
        <v>31</v>
      </c>
      <c r="E158" s="12" t="s">
        <v>29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68042.98</v>
      </c>
      <c r="M158" s="14">
        <v>482239.01</v>
      </c>
      <c r="N158" s="14">
        <v>984921.21</v>
      </c>
      <c r="O158" s="14">
        <v>618196.63</v>
      </c>
      <c r="P158" s="15">
        <v>2583838.58</v>
      </c>
      <c r="Q158" s="15">
        <v>3107491.93</v>
      </c>
      <c r="R158" s="16">
        <v>-31122.78</v>
      </c>
      <c r="S158" s="16" t="s">
        <v>2982</v>
      </c>
      <c r="T158" s="16" t="s">
        <v>2982</v>
      </c>
      <c r="U158" s="16" t="s">
        <v>2982</v>
      </c>
      <c r="V158" s="16" t="s">
        <v>2982</v>
      </c>
      <c r="W158" s="16" t="s">
        <v>2982</v>
      </c>
      <c r="X158" s="16" t="s">
        <v>2982</v>
      </c>
      <c r="AA158" s="24"/>
      <c r="AB158" s="3"/>
      <c r="AC158" s="3"/>
      <c r="AD158" s="80"/>
      <c r="AE158" s="80"/>
      <c r="AF158" s="80"/>
      <c r="AG158" s="80"/>
      <c r="AH158" s="411"/>
      <c r="AI158" s="411"/>
      <c r="AJ158" s="411"/>
      <c r="AK158" s="411"/>
    </row>
    <row r="159" spans="1:37" x14ac:dyDescent="0.15">
      <c r="A159" s="12" t="s">
        <v>332</v>
      </c>
      <c r="B159" s="13" t="s">
        <v>333</v>
      </c>
      <c r="C159" s="13" t="s">
        <v>27</v>
      </c>
      <c r="D159" s="13" t="s">
        <v>54</v>
      </c>
      <c r="E159" s="12" t="s">
        <v>112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/>
      <c r="O159" s="14"/>
      <c r="P159" s="15"/>
      <c r="Q159" s="15" t="s">
        <v>2982</v>
      </c>
      <c r="R159" s="16">
        <v>898126.09000000008</v>
      </c>
      <c r="S159" s="16">
        <v>264870.75</v>
      </c>
      <c r="T159" s="16" t="s">
        <v>2982</v>
      </c>
      <c r="U159" s="16" t="s">
        <v>2982</v>
      </c>
      <c r="V159" s="16" t="s">
        <v>2982</v>
      </c>
      <c r="W159" s="16" t="s">
        <v>2982</v>
      </c>
      <c r="X159" s="16" t="s">
        <v>2982</v>
      </c>
      <c r="AA159" s="24"/>
      <c r="AB159" s="3"/>
      <c r="AC159" s="3"/>
      <c r="AD159" s="80"/>
      <c r="AE159" s="80"/>
      <c r="AF159" s="80"/>
      <c r="AG159" s="80"/>
      <c r="AH159" s="411"/>
      <c r="AI159" s="411"/>
      <c r="AJ159" s="411"/>
      <c r="AK159" s="411"/>
    </row>
    <row r="160" spans="1:37" x14ac:dyDescent="0.15">
      <c r="A160" s="12" t="s">
        <v>334</v>
      </c>
      <c r="B160" s="13" t="s">
        <v>335</v>
      </c>
      <c r="C160" s="13" t="s">
        <v>27</v>
      </c>
      <c r="D160" s="13" t="s">
        <v>40</v>
      </c>
      <c r="E160" s="12" t="s">
        <v>29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553053.62</v>
      </c>
      <c r="O160" s="14">
        <v>2539573.15</v>
      </c>
      <c r="P160" s="15">
        <v>301859.86</v>
      </c>
      <c r="Q160" s="15">
        <v>30966.25</v>
      </c>
      <c r="R160" s="16">
        <v>31259.46</v>
      </c>
      <c r="S160" s="16" t="s">
        <v>2982</v>
      </c>
      <c r="T160" s="16" t="s">
        <v>2982</v>
      </c>
      <c r="U160" s="16" t="s">
        <v>2982</v>
      </c>
      <c r="V160" s="16" t="s">
        <v>2982</v>
      </c>
      <c r="W160" s="16" t="s">
        <v>2982</v>
      </c>
      <c r="X160" s="16" t="s">
        <v>2982</v>
      </c>
      <c r="AA160" s="24"/>
      <c r="AB160" s="3"/>
      <c r="AC160" s="3"/>
      <c r="AD160" s="80"/>
      <c r="AE160" s="80"/>
      <c r="AF160" s="80"/>
      <c r="AG160" s="80"/>
      <c r="AH160" s="411"/>
      <c r="AI160" s="411"/>
      <c r="AJ160" s="411"/>
      <c r="AK160" s="411"/>
    </row>
    <row r="161" spans="1:37" x14ac:dyDescent="0.15">
      <c r="A161" s="12" t="s">
        <v>336</v>
      </c>
      <c r="B161" s="13" t="s">
        <v>337</v>
      </c>
      <c r="C161" s="13" t="s">
        <v>27</v>
      </c>
      <c r="D161" s="13" t="s">
        <v>40</v>
      </c>
      <c r="E161" s="12" t="s">
        <v>112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/>
      <c r="O161" s="14"/>
      <c r="P161" s="15"/>
      <c r="Q161" s="15" t="s">
        <v>2982</v>
      </c>
      <c r="R161" s="16" t="s">
        <v>2982</v>
      </c>
      <c r="S161" s="16" t="s">
        <v>2982</v>
      </c>
      <c r="T161" s="16" t="s">
        <v>2982</v>
      </c>
      <c r="U161" s="16">
        <v>116311.16</v>
      </c>
      <c r="V161" s="16">
        <v>152406.03</v>
      </c>
      <c r="W161" s="16">
        <v>138339.10999999999</v>
      </c>
      <c r="X161" s="16" t="s">
        <v>2982</v>
      </c>
      <c r="AA161" s="24"/>
      <c r="AB161" s="3"/>
      <c r="AC161" s="3"/>
      <c r="AD161" s="80"/>
      <c r="AE161" s="80"/>
      <c r="AF161" s="80"/>
      <c r="AG161" s="80"/>
      <c r="AH161" s="411"/>
      <c r="AI161" s="411"/>
      <c r="AJ161" s="411"/>
      <c r="AK161" s="411"/>
    </row>
    <row r="162" spans="1:37" x14ac:dyDescent="0.15">
      <c r="A162" s="12" t="s">
        <v>338</v>
      </c>
      <c r="B162" s="13" t="s">
        <v>339</v>
      </c>
      <c r="C162" s="13" t="s">
        <v>27</v>
      </c>
      <c r="D162" s="13" t="s">
        <v>40</v>
      </c>
      <c r="E162" s="12" t="s">
        <v>29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/>
      <c r="O162" s="14">
        <v>157936.68</v>
      </c>
      <c r="P162" s="15">
        <v>735154.39</v>
      </c>
      <c r="Q162" s="15">
        <v>2776255.09</v>
      </c>
      <c r="R162" s="16">
        <v>1560488.0499999998</v>
      </c>
      <c r="S162" s="16">
        <v>91871.34</v>
      </c>
      <c r="T162" s="16">
        <v>10749.8</v>
      </c>
      <c r="U162" s="16" t="s">
        <v>2982</v>
      </c>
      <c r="V162" s="16" t="s">
        <v>2982</v>
      </c>
      <c r="W162" s="16" t="s">
        <v>2982</v>
      </c>
      <c r="X162" s="16" t="s">
        <v>2982</v>
      </c>
      <c r="AA162" s="24"/>
      <c r="AB162" s="3"/>
      <c r="AC162" s="3"/>
      <c r="AD162" s="80"/>
      <c r="AE162" s="80"/>
      <c r="AF162" s="80"/>
      <c r="AG162" s="80"/>
      <c r="AH162" s="411"/>
      <c r="AI162" s="411"/>
      <c r="AJ162" s="411"/>
      <c r="AK162" s="411"/>
    </row>
    <row r="163" spans="1:37" x14ac:dyDescent="0.15">
      <c r="A163" s="12" t="s">
        <v>340</v>
      </c>
      <c r="B163" s="13" t="s">
        <v>142</v>
      </c>
      <c r="C163" s="13" t="s">
        <v>27</v>
      </c>
      <c r="D163" s="13" t="s">
        <v>28</v>
      </c>
      <c r="E163" s="12" t="s">
        <v>29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185716.89</v>
      </c>
      <c r="N163" s="14">
        <v>254436.19</v>
      </c>
      <c r="O163" s="14">
        <v>414371.98</v>
      </c>
      <c r="P163" s="15">
        <v>375632.94</v>
      </c>
      <c r="Q163" s="15">
        <v>353737.62</v>
      </c>
      <c r="R163" s="16">
        <v>346.73999999999978</v>
      </c>
      <c r="S163" s="16" t="s">
        <v>2982</v>
      </c>
      <c r="T163" s="16" t="s">
        <v>2982</v>
      </c>
      <c r="U163" s="16" t="s">
        <v>2982</v>
      </c>
      <c r="V163" s="16" t="s">
        <v>2982</v>
      </c>
      <c r="W163" s="16" t="s">
        <v>2982</v>
      </c>
      <c r="X163" s="16" t="s">
        <v>2982</v>
      </c>
      <c r="AA163" s="24"/>
      <c r="AB163" s="3"/>
      <c r="AC163" s="3"/>
      <c r="AD163" s="80"/>
      <c r="AE163" s="80"/>
      <c r="AF163" s="80"/>
      <c r="AG163" s="80"/>
      <c r="AH163" s="411"/>
      <c r="AI163" s="411"/>
      <c r="AJ163" s="411"/>
      <c r="AK163" s="411"/>
    </row>
    <row r="164" spans="1:37" x14ac:dyDescent="0.15">
      <c r="A164" s="12" t="s">
        <v>341</v>
      </c>
      <c r="B164" s="13" t="s">
        <v>342</v>
      </c>
      <c r="C164" s="13" t="s">
        <v>27</v>
      </c>
      <c r="D164" s="13" t="s">
        <v>40</v>
      </c>
      <c r="E164" s="12" t="s">
        <v>29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/>
      <c r="O164" s="14"/>
      <c r="P164" s="15">
        <v>21297.82</v>
      </c>
      <c r="Q164" s="15">
        <v>746487.72</v>
      </c>
      <c r="R164" s="16">
        <v>371423.38000000012</v>
      </c>
      <c r="S164" s="16">
        <v>20583.72</v>
      </c>
      <c r="T164" s="16" t="s">
        <v>2982</v>
      </c>
      <c r="U164" s="16" t="s">
        <v>2982</v>
      </c>
      <c r="V164" s="16" t="s">
        <v>2982</v>
      </c>
      <c r="W164" s="16" t="s">
        <v>2982</v>
      </c>
      <c r="X164" s="16" t="s">
        <v>2982</v>
      </c>
      <c r="AA164" s="24"/>
      <c r="AB164" s="3"/>
      <c r="AC164" s="3"/>
      <c r="AD164" s="80"/>
      <c r="AE164" s="80"/>
      <c r="AF164" s="80"/>
      <c r="AG164" s="80"/>
      <c r="AH164" s="411"/>
      <c r="AI164" s="411"/>
      <c r="AJ164" s="411"/>
      <c r="AK164" s="411"/>
    </row>
    <row r="165" spans="1:37" x14ac:dyDescent="0.15">
      <c r="A165" s="12" t="s">
        <v>343</v>
      </c>
      <c r="B165" s="13" t="s">
        <v>344</v>
      </c>
      <c r="C165" s="13" t="s">
        <v>27</v>
      </c>
      <c r="D165" s="13" t="s">
        <v>40</v>
      </c>
      <c r="E165" s="12" t="s">
        <v>112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/>
      <c r="O165" s="14"/>
      <c r="P165" s="15"/>
      <c r="Q165" s="15" t="s">
        <v>2982</v>
      </c>
      <c r="R165" s="16" t="s">
        <v>2982</v>
      </c>
      <c r="S165" s="16" t="s">
        <v>2982</v>
      </c>
      <c r="T165" s="16">
        <v>149108.54</v>
      </c>
      <c r="U165" s="16">
        <v>411022.43</v>
      </c>
      <c r="V165" s="16">
        <v>408976.33</v>
      </c>
      <c r="W165" s="16" t="s">
        <v>2982</v>
      </c>
      <c r="X165" s="16" t="s">
        <v>2982</v>
      </c>
      <c r="AA165" s="24"/>
      <c r="AB165" s="3"/>
      <c r="AC165" s="3"/>
      <c r="AD165" s="80"/>
      <c r="AE165" s="80"/>
      <c r="AF165" s="80"/>
      <c r="AG165" s="80"/>
      <c r="AH165" s="411"/>
      <c r="AI165" s="411"/>
      <c r="AJ165" s="411"/>
      <c r="AK165" s="411"/>
    </row>
    <row r="166" spans="1:37" x14ac:dyDescent="0.15">
      <c r="A166" s="819" t="s">
        <v>345</v>
      </c>
      <c r="B166" s="819" t="s">
        <v>2380</v>
      </c>
      <c r="C166" s="819" t="s">
        <v>27</v>
      </c>
      <c r="D166" s="819" t="s">
        <v>55</v>
      </c>
      <c r="E166" s="819" t="s">
        <v>29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/>
      <c r="O166" s="14"/>
      <c r="P166" s="15"/>
      <c r="Q166" s="15">
        <v>1296648.57</v>
      </c>
      <c r="R166" s="16">
        <v>1982259.8800000004</v>
      </c>
      <c r="S166" s="16" t="s">
        <v>2982</v>
      </c>
      <c r="T166" s="16" t="s">
        <v>2982</v>
      </c>
      <c r="U166" s="16" t="s">
        <v>2982</v>
      </c>
      <c r="V166" s="16" t="s">
        <v>2982</v>
      </c>
      <c r="W166" s="16" t="s">
        <v>2982</v>
      </c>
      <c r="X166" s="16" t="s">
        <v>2982</v>
      </c>
      <c r="AA166" s="24"/>
      <c r="AB166" s="3"/>
      <c r="AC166" s="3"/>
      <c r="AD166" s="80"/>
      <c r="AE166" s="80"/>
      <c r="AF166" s="80"/>
      <c r="AG166" s="80"/>
      <c r="AH166" s="411"/>
      <c r="AI166" s="411"/>
      <c r="AJ166" s="411"/>
      <c r="AK166" s="411"/>
    </row>
    <row r="167" spans="1:37" x14ac:dyDescent="0.15">
      <c r="A167" s="12" t="s">
        <v>346</v>
      </c>
      <c r="B167" s="13" t="s">
        <v>2302</v>
      </c>
      <c r="C167" s="13" t="s">
        <v>27</v>
      </c>
      <c r="D167" s="13" t="s">
        <v>55</v>
      </c>
      <c r="E167" s="12" t="s">
        <v>29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/>
      <c r="O167" s="14"/>
      <c r="P167" s="15"/>
      <c r="Q167" s="15">
        <v>1359944.46</v>
      </c>
      <c r="R167" s="16">
        <v>177678.10999999987</v>
      </c>
      <c r="S167" s="16">
        <v>293682.89</v>
      </c>
      <c r="T167" s="16" t="s">
        <v>2982</v>
      </c>
      <c r="U167" s="16" t="s">
        <v>2982</v>
      </c>
      <c r="V167" s="16" t="s">
        <v>2982</v>
      </c>
      <c r="W167" s="16" t="s">
        <v>2982</v>
      </c>
      <c r="X167" s="16" t="s">
        <v>2982</v>
      </c>
      <c r="AA167" s="24"/>
      <c r="AB167" s="3"/>
      <c r="AC167" s="3"/>
      <c r="AD167" s="80"/>
      <c r="AE167" s="80"/>
      <c r="AF167" s="80"/>
      <c r="AG167" s="80"/>
      <c r="AH167" s="411"/>
      <c r="AI167" s="411"/>
      <c r="AJ167" s="411"/>
      <c r="AK167" s="411"/>
    </row>
    <row r="168" spans="1:37" x14ac:dyDescent="0.15">
      <c r="A168" s="12" t="s">
        <v>347</v>
      </c>
      <c r="B168" s="13" t="s">
        <v>2303</v>
      </c>
      <c r="C168" s="13" t="s">
        <v>27</v>
      </c>
      <c r="D168" s="13" t="s">
        <v>55</v>
      </c>
      <c r="E168" s="12" t="s">
        <v>112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/>
      <c r="O168" s="14"/>
      <c r="P168" s="15"/>
      <c r="Q168" s="15">
        <v>12916.74</v>
      </c>
      <c r="R168" s="16">
        <v>283769.04000000004</v>
      </c>
      <c r="S168" s="16">
        <v>641728.28</v>
      </c>
      <c r="T168" s="16">
        <v>15493.93</v>
      </c>
      <c r="U168" s="16" t="s">
        <v>2982</v>
      </c>
      <c r="V168" s="16" t="s">
        <v>2982</v>
      </c>
      <c r="W168" s="16" t="s">
        <v>2982</v>
      </c>
      <c r="X168" s="16" t="s">
        <v>2982</v>
      </c>
      <c r="AA168" s="24"/>
      <c r="AB168" s="3"/>
      <c r="AC168" s="3"/>
      <c r="AD168" s="80"/>
      <c r="AE168" s="80"/>
      <c r="AF168" s="80"/>
      <c r="AG168" s="80"/>
      <c r="AH168" s="411"/>
      <c r="AI168" s="411"/>
      <c r="AJ168" s="411"/>
      <c r="AK168" s="411"/>
    </row>
    <row r="169" spans="1:37" x14ac:dyDescent="0.15">
      <c r="A169" s="12" t="s">
        <v>348</v>
      </c>
      <c r="B169" s="13" t="s">
        <v>349</v>
      </c>
      <c r="C169" s="13" t="s">
        <v>27</v>
      </c>
      <c r="D169" s="13" t="s">
        <v>40</v>
      </c>
      <c r="E169" s="12" t="s">
        <v>29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/>
      <c r="O169" s="14"/>
      <c r="P169" s="15"/>
      <c r="Q169" s="15">
        <v>89704.41</v>
      </c>
      <c r="R169" s="16">
        <v>439732.82000000007</v>
      </c>
      <c r="S169" s="16">
        <v>734376.1</v>
      </c>
      <c r="T169" s="16" t="s">
        <v>2982</v>
      </c>
      <c r="U169" s="16" t="s">
        <v>2982</v>
      </c>
      <c r="V169" s="16" t="s">
        <v>2982</v>
      </c>
      <c r="W169" s="16" t="s">
        <v>2982</v>
      </c>
      <c r="X169" s="16" t="s">
        <v>2982</v>
      </c>
      <c r="AA169" s="24"/>
      <c r="AB169" s="3"/>
      <c r="AC169" s="3"/>
      <c r="AD169" s="80"/>
      <c r="AE169" s="80"/>
      <c r="AF169" s="80"/>
      <c r="AG169" s="80"/>
      <c r="AH169" s="411"/>
      <c r="AI169" s="411"/>
      <c r="AJ169" s="411"/>
      <c r="AK169" s="411"/>
    </row>
    <row r="170" spans="1:37" x14ac:dyDescent="0.15">
      <c r="A170" s="12" t="s">
        <v>352</v>
      </c>
      <c r="B170" s="13" t="s">
        <v>353</v>
      </c>
      <c r="C170" s="13" t="s">
        <v>27</v>
      </c>
      <c r="D170" s="13" t="s">
        <v>36</v>
      </c>
      <c r="E170" s="12" t="s">
        <v>112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/>
      <c r="O170" s="14"/>
      <c r="P170" s="15"/>
      <c r="Q170" s="15" t="s">
        <v>2982</v>
      </c>
      <c r="R170" s="16">
        <v>129916.44</v>
      </c>
      <c r="S170" s="16" t="s">
        <v>2982</v>
      </c>
      <c r="T170" s="16" t="s">
        <v>2982</v>
      </c>
      <c r="U170" s="16" t="s">
        <v>2982</v>
      </c>
      <c r="V170" s="16" t="s">
        <v>2982</v>
      </c>
      <c r="W170" s="16" t="s">
        <v>2982</v>
      </c>
      <c r="X170" s="16" t="s">
        <v>2982</v>
      </c>
      <c r="AA170" s="24"/>
      <c r="AB170" s="3"/>
      <c r="AC170" s="3"/>
      <c r="AD170" s="80"/>
      <c r="AE170" s="80"/>
      <c r="AF170" s="80"/>
      <c r="AG170" s="80"/>
      <c r="AH170" s="411"/>
      <c r="AI170" s="411"/>
      <c r="AJ170" s="411"/>
      <c r="AK170" s="411"/>
    </row>
    <row r="171" spans="1:37" x14ac:dyDescent="0.15">
      <c r="A171" s="12" t="s">
        <v>354</v>
      </c>
      <c r="B171" s="13" t="s">
        <v>355</v>
      </c>
      <c r="C171" s="13" t="s">
        <v>27</v>
      </c>
      <c r="D171" s="13" t="s">
        <v>36</v>
      </c>
      <c r="E171" s="12" t="s">
        <v>112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/>
      <c r="O171" s="14"/>
      <c r="P171" s="15"/>
      <c r="Q171" s="15" t="s">
        <v>2982</v>
      </c>
      <c r="R171" s="16">
        <v>235886.13</v>
      </c>
      <c r="S171" s="16" t="s">
        <v>2982</v>
      </c>
      <c r="T171" s="16" t="s">
        <v>2982</v>
      </c>
      <c r="U171" s="16" t="s">
        <v>2982</v>
      </c>
      <c r="V171" s="16" t="s">
        <v>2982</v>
      </c>
      <c r="W171" s="16" t="s">
        <v>2982</v>
      </c>
      <c r="X171" s="16" t="s">
        <v>2982</v>
      </c>
      <c r="AA171" s="24"/>
      <c r="AB171" s="3"/>
      <c r="AC171" s="3"/>
      <c r="AD171" s="80"/>
      <c r="AE171" s="80"/>
      <c r="AF171" s="80"/>
      <c r="AG171" s="80"/>
      <c r="AH171" s="411"/>
      <c r="AI171" s="411"/>
      <c r="AJ171" s="411"/>
      <c r="AK171" s="411"/>
    </row>
    <row r="172" spans="1:37" x14ac:dyDescent="0.15">
      <c r="A172" s="12" t="s">
        <v>356</v>
      </c>
      <c r="B172" s="13" t="s">
        <v>357</v>
      </c>
      <c r="C172" s="13" t="s">
        <v>27</v>
      </c>
      <c r="D172" s="13" t="s">
        <v>36</v>
      </c>
      <c r="E172" s="12" t="s">
        <v>112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/>
      <c r="O172" s="14"/>
      <c r="P172" s="15"/>
      <c r="Q172" s="15" t="s">
        <v>2982</v>
      </c>
      <c r="R172" s="16">
        <v>144999.41</v>
      </c>
      <c r="S172" s="16" t="s">
        <v>2982</v>
      </c>
      <c r="T172" s="16" t="s">
        <v>2982</v>
      </c>
      <c r="U172" s="16" t="s">
        <v>2982</v>
      </c>
      <c r="V172" s="16" t="s">
        <v>2982</v>
      </c>
      <c r="W172" s="16" t="s">
        <v>2982</v>
      </c>
      <c r="X172" s="16" t="s">
        <v>2982</v>
      </c>
      <c r="AA172" s="24"/>
      <c r="AB172" s="3"/>
      <c r="AC172" s="3"/>
      <c r="AD172" s="80"/>
      <c r="AE172" s="80"/>
      <c r="AF172" s="80"/>
      <c r="AG172" s="80"/>
      <c r="AH172" s="411"/>
      <c r="AI172" s="411"/>
      <c r="AJ172" s="411"/>
      <c r="AK172" s="411"/>
    </row>
    <row r="173" spans="1:37" x14ac:dyDescent="0.15">
      <c r="A173" s="511" t="s">
        <v>358</v>
      </c>
      <c r="B173" s="512" t="s">
        <v>359</v>
      </c>
      <c r="C173" s="512" t="s">
        <v>27</v>
      </c>
      <c r="D173" s="512" t="s">
        <v>40</v>
      </c>
      <c r="E173" s="511" t="s">
        <v>29</v>
      </c>
      <c r="F173" s="518">
        <v>0</v>
      </c>
      <c r="G173" s="518">
        <v>0</v>
      </c>
      <c r="H173" s="518">
        <v>0</v>
      </c>
      <c r="I173" s="518">
        <v>0</v>
      </c>
      <c r="J173" s="518">
        <v>0</v>
      </c>
      <c r="K173" s="518">
        <v>0</v>
      </c>
      <c r="L173" s="518">
        <v>0</v>
      </c>
      <c r="M173" s="518">
        <v>0</v>
      </c>
      <c r="N173" s="518">
        <v>1609920.14</v>
      </c>
      <c r="O173" s="518">
        <v>9232886.5999999996</v>
      </c>
      <c r="P173" s="513">
        <v>14013854.380000001</v>
      </c>
      <c r="Q173" s="513" t="s">
        <v>2982</v>
      </c>
      <c r="R173" s="513">
        <v>6233506.8899999997</v>
      </c>
      <c r="S173" s="513" t="s">
        <v>2982</v>
      </c>
      <c r="T173" s="513" t="s">
        <v>2982</v>
      </c>
      <c r="U173" s="513" t="s">
        <v>2982</v>
      </c>
      <c r="V173" s="513" t="s">
        <v>2982</v>
      </c>
      <c r="W173" s="513" t="s">
        <v>2982</v>
      </c>
      <c r="X173" s="513" t="s">
        <v>2982</v>
      </c>
      <c r="AA173" s="24"/>
      <c r="AB173" s="3"/>
      <c r="AC173" s="3"/>
      <c r="AD173" s="653">
        <v>0.5</v>
      </c>
      <c r="AE173" s="80">
        <v>0</v>
      </c>
      <c r="AF173" s="80">
        <v>0</v>
      </c>
      <c r="AG173" s="80">
        <v>0</v>
      </c>
      <c r="AH173" s="411">
        <v>0</v>
      </c>
      <c r="AI173" s="411">
        <v>0</v>
      </c>
      <c r="AJ173" s="411">
        <v>0</v>
      </c>
      <c r="AK173" s="411"/>
    </row>
    <row r="174" spans="1:37" x14ac:dyDescent="0.15">
      <c r="A174" s="12" t="s">
        <v>360</v>
      </c>
      <c r="B174" s="13" t="s">
        <v>361</v>
      </c>
      <c r="C174" s="13" t="s">
        <v>27</v>
      </c>
      <c r="D174" s="13" t="s">
        <v>60</v>
      </c>
      <c r="E174" s="12" t="s">
        <v>112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/>
      <c r="O174" s="14"/>
      <c r="P174" s="15"/>
      <c r="Q174" s="15" t="s">
        <v>2982</v>
      </c>
      <c r="R174" s="16">
        <v>449164.74</v>
      </c>
      <c r="S174" s="16" t="s">
        <v>2982</v>
      </c>
      <c r="T174" s="16" t="s">
        <v>2982</v>
      </c>
      <c r="U174" s="16" t="s">
        <v>2982</v>
      </c>
      <c r="V174" s="16" t="s">
        <v>2982</v>
      </c>
      <c r="W174" s="16" t="s">
        <v>2982</v>
      </c>
      <c r="X174" s="16" t="s">
        <v>2982</v>
      </c>
      <c r="AA174" s="24"/>
      <c r="AB174" s="3"/>
      <c r="AC174" s="3"/>
      <c r="AD174" s="80"/>
      <c r="AE174" s="80"/>
      <c r="AF174" s="80"/>
      <c r="AG174" s="80"/>
      <c r="AH174" s="411"/>
      <c r="AI174" s="411"/>
      <c r="AJ174" s="411"/>
      <c r="AK174" s="411"/>
    </row>
    <row r="175" spans="1:37" x14ac:dyDescent="0.15">
      <c r="A175" s="12" t="s">
        <v>362</v>
      </c>
      <c r="B175" s="13" t="s">
        <v>363</v>
      </c>
      <c r="C175" s="13" t="s">
        <v>27</v>
      </c>
      <c r="D175" s="13" t="s">
        <v>40</v>
      </c>
      <c r="E175" s="12" t="s">
        <v>29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/>
      <c r="O175" s="14">
        <v>1049455.56</v>
      </c>
      <c r="P175" s="15">
        <v>1220165.2</v>
      </c>
      <c r="Q175" s="15">
        <v>782146.92</v>
      </c>
      <c r="R175" s="16">
        <v>67859.679999999993</v>
      </c>
      <c r="S175" s="16" t="s">
        <v>2982</v>
      </c>
      <c r="T175" s="16" t="s">
        <v>2982</v>
      </c>
      <c r="U175" s="16" t="s">
        <v>2982</v>
      </c>
      <c r="V175" s="16" t="s">
        <v>2982</v>
      </c>
      <c r="W175" s="16" t="s">
        <v>2982</v>
      </c>
      <c r="X175" s="16" t="s">
        <v>2982</v>
      </c>
      <c r="AA175" s="24"/>
      <c r="AB175" s="3"/>
      <c r="AC175" s="3"/>
      <c r="AD175" s="80"/>
      <c r="AE175" s="80"/>
      <c r="AF175" s="80"/>
      <c r="AG175" s="80"/>
      <c r="AH175" s="411"/>
      <c r="AI175" s="411"/>
      <c r="AJ175" s="411"/>
      <c r="AK175" s="411"/>
    </row>
    <row r="176" spans="1:37" x14ac:dyDescent="0.15">
      <c r="A176" s="12" t="s">
        <v>364</v>
      </c>
      <c r="B176" s="13" t="s">
        <v>365</v>
      </c>
      <c r="C176" s="13" t="s">
        <v>27</v>
      </c>
      <c r="D176" s="13" t="s">
        <v>36</v>
      </c>
      <c r="E176" s="12" t="s">
        <v>112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/>
      <c r="O176" s="14"/>
      <c r="P176" s="15"/>
      <c r="Q176" s="15" t="s">
        <v>2982</v>
      </c>
      <c r="R176" s="16">
        <v>219998.98</v>
      </c>
      <c r="S176" s="16" t="s">
        <v>2982</v>
      </c>
      <c r="T176" s="16" t="s">
        <v>2982</v>
      </c>
      <c r="U176" s="16" t="s">
        <v>2982</v>
      </c>
      <c r="V176" s="16" t="s">
        <v>2982</v>
      </c>
      <c r="W176" s="16" t="s">
        <v>2982</v>
      </c>
      <c r="X176" s="16" t="s">
        <v>2982</v>
      </c>
      <c r="AA176" s="24"/>
      <c r="AB176" s="3"/>
      <c r="AC176" s="3"/>
      <c r="AD176" s="80"/>
      <c r="AE176" s="80"/>
      <c r="AF176" s="80"/>
      <c r="AG176" s="80"/>
      <c r="AH176" s="411"/>
      <c r="AI176" s="411"/>
      <c r="AJ176" s="411"/>
      <c r="AK176" s="411"/>
    </row>
    <row r="177" spans="1:37" x14ac:dyDescent="0.15">
      <c r="A177" s="819" t="s">
        <v>366</v>
      </c>
      <c r="B177" s="819" t="s">
        <v>2381</v>
      </c>
      <c r="C177" s="819" t="s">
        <v>27</v>
      </c>
      <c r="D177" s="819" t="s">
        <v>55</v>
      </c>
      <c r="E177" s="819" t="s">
        <v>29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/>
      <c r="O177" s="14"/>
      <c r="P177" s="15"/>
      <c r="Q177" s="15">
        <v>278733.82</v>
      </c>
      <c r="R177" s="16">
        <v>1271120.9100000001</v>
      </c>
      <c r="S177" s="16" t="s">
        <v>2982</v>
      </c>
      <c r="T177" s="16" t="s">
        <v>2982</v>
      </c>
      <c r="U177" s="16" t="s">
        <v>2982</v>
      </c>
      <c r="V177" s="16" t="s">
        <v>2982</v>
      </c>
      <c r="W177" s="16" t="s">
        <v>2982</v>
      </c>
      <c r="X177" s="16" t="s">
        <v>2982</v>
      </c>
      <c r="AA177" s="24"/>
      <c r="AB177" s="3"/>
      <c r="AC177" s="3"/>
      <c r="AD177" s="80"/>
      <c r="AE177" s="80"/>
      <c r="AF177" s="80"/>
      <c r="AG177" s="80"/>
      <c r="AH177" s="411"/>
      <c r="AI177" s="411"/>
      <c r="AJ177" s="411"/>
      <c r="AK177" s="411"/>
    </row>
    <row r="178" spans="1:37" x14ac:dyDescent="0.15">
      <c r="A178" s="12" t="s">
        <v>368</v>
      </c>
      <c r="B178" s="13" t="s">
        <v>369</v>
      </c>
      <c r="C178" s="13" t="s">
        <v>27</v>
      </c>
      <c r="D178" s="13" t="s">
        <v>44</v>
      </c>
      <c r="E178" s="12" t="s">
        <v>45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3436.96</v>
      </c>
      <c r="N178" s="14"/>
      <c r="O178" s="14"/>
      <c r="P178" s="15"/>
      <c r="Q178" s="15">
        <v>-3436.96</v>
      </c>
      <c r="R178" s="16" t="s">
        <v>2982</v>
      </c>
      <c r="S178" s="16" t="s">
        <v>2982</v>
      </c>
      <c r="T178" s="16" t="s">
        <v>2982</v>
      </c>
      <c r="U178" s="16" t="s">
        <v>2982</v>
      </c>
      <c r="V178" s="16" t="s">
        <v>2982</v>
      </c>
      <c r="W178" s="16" t="s">
        <v>2982</v>
      </c>
      <c r="X178" s="16">
        <v>658309.81000000006</v>
      </c>
      <c r="AA178" s="24"/>
      <c r="AB178" s="3"/>
      <c r="AC178" s="3"/>
      <c r="AD178" s="80"/>
      <c r="AE178" s="80"/>
      <c r="AF178" s="80"/>
      <c r="AG178" s="80"/>
      <c r="AH178" s="411"/>
      <c r="AI178" s="411"/>
      <c r="AJ178" s="411"/>
      <c r="AK178" s="411"/>
    </row>
    <row r="179" spans="1:37" x14ac:dyDescent="0.15">
      <c r="A179" s="12" t="s">
        <v>371</v>
      </c>
      <c r="B179" s="13" t="s">
        <v>2304</v>
      </c>
      <c r="C179" s="13" t="s">
        <v>27</v>
      </c>
      <c r="D179" s="13" t="s">
        <v>55</v>
      </c>
      <c r="E179" s="12" t="s">
        <v>112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/>
      <c r="O179" s="14"/>
      <c r="P179" s="15"/>
      <c r="Q179" s="15" t="s">
        <v>2982</v>
      </c>
      <c r="R179" s="16" t="s">
        <v>2982</v>
      </c>
      <c r="S179" s="16">
        <v>213544.52</v>
      </c>
      <c r="T179" s="16">
        <v>57860.39</v>
      </c>
      <c r="U179" s="16" t="s">
        <v>2982</v>
      </c>
      <c r="V179" s="16" t="s">
        <v>2982</v>
      </c>
      <c r="W179" s="16" t="s">
        <v>2982</v>
      </c>
      <c r="X179" s="16" t="s">
        <v>2982</v>
      </c>
      <c r="AA179" s="24"/>
      <c r="AB179" s="3"/>
      <c r="AC179" s="3"/>
      <c r="AD179" s="80"/>
      <c r="AE179" s="80"/>
      <c r="AF179" s="80"/>
      <c r="AG179" s="80"/>
      <c r="AH179" s="411"/>
      <c r="AI179" s="411"/>
      <c r="AJ179" s="411"/>
      <c r="AK179" s="411"/>
    </row>
    <row r="180" spans="1:37" x14ac:dyDescent="0.15">
      <c r="A180" s="12" t="s">
        <v>372</v>
      </c>
      <c r="B180" s="13" t="s">
        <v>373</v>
      </c>
      <c r="C180" s="13" t="s">
        <v>27</v>
      </c>
      <c r="D180" s="13" t="s">
        <v>36</v>
      </c>
      <c r="E180" s="12" t="s">
        <v>112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/>
      <c r="O180" s="14"/>
      <c r="P180" s="15"/>
      <c r="Q180" s="15" t="s">
        <v>2982</v>
      </c>
      <c r="R180" s="16" t="s">
        <v>2982</v>
      </c>
      <c r="S180" s="16">
        <v>355454.37</v>
      </c>
      <c r="T180" s="16" t="s">
        <v>2982</v>
      </c>
      <c r="U180" s="16" t="s">
        <v>2982</v>
      </c>
      <c r="V180" s="16" t="s">
        <v>2982</v>
      </c>
      <c r="W180" s="16" t="s">
        <v>2982</v>
      </c>
      <c r="X180" s="16" t="s">
        <v>2982</v>
      </c>
      <c r="AA180" s="24"/>
      <c r="AB180" s="3"/>
      <c r="AC180" s="3"/>
      <c r="AD180" s="80"/>
      <c r="AE180" s="80"/>
      <c r="AF180" s="80"/>
      <c r="AG180" s="80"/>
      <c r="AH180" s="411"/>
      <c r="AI180" s="411"/>
      <c r="AJ180" s="411"/>
      <c r="AK180" s="411"/>
    </row>
    <row r="181" spans="1:37" x14ac:dyDescent="0.15">
      <c r="A181" s="12" t="s">
        <v>374</v>
      </c>
      <c r="B181" s="13" t="s">
        <v>375</v>
      </c>
      <c r="C181" s="13" t="s">
        <v>27</v>
      </c>
      <c r="D181" s="13" t="s">
        <v>36</v>
      </c>
      <c r="E181" s="12" t="s">
        <v>112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/>
      <c r="O181" s="14"/>
      <c r="P181" s="15"/>
      <c r="Q181" s="15" t="s">
        <v>2982</v>
      </c>
      <c r="R181" s="16" t="s">
        <v>2982</v>
      </c>
      <c r="S181" s="16">
        <v>149936.10999999999</v>
      </c>
      <c r="T181" s="16" t="s">
        <v>2982</v>
      </c>
      <c r="U181" s="16" t="s">
        <v>2982</v>
      </c>
      <c r="V181" s="16" t="s">
        <v>2982</v>
      </c>
      <c r="W181" s="16" t="s">
        <v>2982</v>
      </c>
      <c r="X181" s="16" t="s">
        <v>2982</v>
      </c>
      <c r="AA181" s="24"/>
      <c r="AB181" s="3"/>
      <c r="AC181" s="3"/>
      <c r="AD181" s="80"/>
      <c r="AE181" s="80"/>
      <c r="AF181" s="80"/>
      <c r="AG181" s="80"/>
      <c r="AH181" s="411"/>
      <c r="AI181" s="411"/>
      <c r="AJ181" s="411"/>
      <c r="AK181" s="411"/>
    </row>
    <row r="182" spans="1:37" x14ac:dyDescent="0.15">
      <c r="A182" s="12" t="s">
        <v>376</v>
      </c>
      <c r="B182" s="13" t="s">
        <v>377</v>
      </c>
      <c r="C182" s="13" t="s">
        <v>27</v>
      </c>
      <c r="D182" s="13" t="s">
        <v>40</v>
      </c>
      <c r="E182" s="12" t="s">
        <v>112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/>
      <c r="O182" s="14"/>
      <c r="P182" s="15"/>
      <c r="Q182" s="15" t="s">
        <v>2982</v>
      </c>
      <c r="R182" s="16" t="s">
        <v>2982</v>
      </c>
      <c r="S182" s="16">
        <v>92260.66</v>
      </c>
      <c r="T182" s="16">
        <v>563459.74</v>
      </c>
      <c r="U182" s="16">
        <v>575697.14</v>
      </c>
      <c r="V182" s="16">
        <v>590458.02</v>
      </c>
      <c r="W182" s="16">
        <v>483063.42</v>
      </c>
      <c r="X182" s="16" t="s">
        <v>2982</v>
      </c>
      <c r="AA182" s="24"/>
      <c r="AB182" s="3"/>
      <c r="AC182" s="3"/>
      <c r="AD182" s="80"/>
      <c r="AE182" s="80"/>
      <c r="AF182" s="80"/>
      <c r="AG182" s="80"/>
      <c r="AH182" s="411"/>
      <c r="AI182" s="411"/>
      <c r="AJ182" s="411"/>
      <c r="AK182" s="411"/>
    </row>
    <row r="183" spans="1:37" x14ac:dyDescent="0.15">
      <c r="A183" s="12" t="s">
        <v>379</v>
      </c>
      <c r="B183" s="13" t="s">
        <v>380</v>
      </c>
      <c r="C183" s="13" t="s">
        <v>27</v>
      </c>
      <c r="D183" s="13" t="s">
        <v>60</v>
      </c>
      <c r="E183" s="12" t="s">
        <v>112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/>
      <c r="O183" s="14"/>
      <c r="P183" s="15"/>
      <c r="Q183" s="15" t="s">
        <v>2982</v>
      </c>
      <c r="R183" s="16" t="s">
        <v>2982</v>
      </c>
      <c r="S183" s="16">
        <v>2371160.02</v>
      </c>
      <c r="T183" s="16" t="s">
        <v>2982</v>
      </c>
      <c r="U183" s="16" t="s">
        <v>2982</v>
      </c>
      <c r="V183" s="16" t="s">
        <v>2982</v>
      </c>
      <c r="W183" s="16" t="s">
        <v>2982</v>
      </c>
      <c r="X183" s="16" t="s">
        <v>2982</v>
      </c>
      <c r="AA183" s="24"/>
      <c r="AB183" s="3"/>
      <c r="AC183" s="3"/>
      <c r="AD183" s="80"/>
      <c r="AE183" s="80"/>
      <c r="AF183" s="80"/>
      <c r="AG183" s="80"/>
      <c r="AH183" s="411"/>
      <c r="AI183" s="411"/>
      <c r="AJ183" s="411"/>
      <c r="AK183" s="411"/>
    </row>
    <row r="184" spans="1:37" x14ac:dyDescent="0.15">
      <c r="A184" s="12" t="s">
        <v>381</v>
      </c>
      <c r="B184" s="13" t="s">
        <v>2305</v>
      </c>
      <c r="C184" s="13" t="s">
        <v>27</v>
      </c>
      <c r="D184" s="13" t="s">
        <v>55</v>
      </c>
      <c r="E184" s="12" t="s">
        <v>112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/>
      <c r="O184" s="14"/>
      <c r="P184" s="15"/>
      <c r="Q184" s="15" t="s">
        <v>2982</v>
      </c>
      <c r="R184" s="16" t="s">
        <v>2982</v>
      </c>
      <c r="S184" s="16" t="s">
        <v>2982</v>
      </c>
      <c r="T184" s="16" t="s">
        <v>2982</v>
      </c>
      <c r="U184" s="16">
        <v>98490.85</v>
      </c>
      <c r="V184" s="16">
        <v>2002457.79</v>
      </c>
      <c r="W184" s="16" t="s">
        <v>2982</v>
      </c>
      <c r="X184" s="16" t="s">
        <v>2982</v>
      </c>
      <c r="AA184" s="24"/>
      <c r="AB184" s="3"/>
      <c r="AC184" s="3"/>
      <c r="AD184" s="80"/>
      <c r="AE184" s="80"/>
      <c r="AF184" s="80"/>
      <c r="AG184" s="80"/>
      <c r="AH184" s="411"/>
      <c r="AI184" s="411"/>
      <c r="AJ184" s="411"/>
      <c r="AK184" s="411"/>
    </row>
    <row r="185" spans="1:37" x14ac:dyDescent="0.15">
      <c r="A185" s="12" t="s">
        <v>382</v>
      </c>
      <c r="B185" s="13" t="s">
        <v>2306</v>
      </c>
      <c r="C185" s="13" t="s">
        <v>27</v>
      </c>
      <c r="D185" s="13" t="s">
        <v>55</v>
      </c>
      <c r="E185" s="12" t="s">
        <v>112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/>
      <c r="O185" s="14"/>
      <c r="P185" s="15"/>
      <c r="Q185" s="15" t="s">
        <v>2982</v>
      </c>
      <c r="R185" s="16">
        <v>556968.09</v>
      </c>
      <c r="S185" s="16">
        <v>626096.69999999995</v>
      </c>
      <c r="T185" s="16" t="s">
        <v>2982</v>
      </c>
      <c r="U185" s="16" t="s">
        <v>2982</v>
      </c>
      <c r="V185" s="16" t="s">
        <v>2982</v>
      </c>
      <c r="W185" s="16" t="s">
        <v>2982</v>
      </c>
      <c r="X185" s="16" t="s">
        <v>2982</v>
      </c>
      <c r="AA185" s="24"/>
      <c r="AB185" s="3"/>
      <c r="AC185" s="3"/>
      <c r="AD185" s="80"/>
      <c r="AE185" s="80"/>
      <c r="AF185" s="80"/>
      <c r="AG185" s="80"/>
      <c r="AH185" s="411"/>
      <c r="AI185" s="411"/>
      <c r="AJ185" s="411"/>
      <c r="AK185" s="411"/>
    </row>
    <row r="186" spans="1:37" x14ac:dyDescent="0.15">
      <c r="A186" s="12" t="s">
        <v>383</v>
      </c>
      <c r="B186" s="13" t="s">
        <v>384</v>
      </c>
      <c r="C186" s="13" t="s">
        <v>27</v>
      </c>
      <c r="D186" s="13" t="s">
        <v>55</v>
      </c>
      <c r="E186" s="12" t="s">
        <v>112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/>
      <c r="O186" s="14"/>
      <c r="P186" s="15"/>
      <c r="Q186" s="15" t="s">
        <v>2982</v>
      </c>
      <c r="R186" s="16" t="s">
        <v>2982</v>
      </c>
      <c r="S186" s="16">
        <v>108307.37</v>
      </c>
      <c r="T186" s="16">
        <v>1280986.47</v>
      </c>
      <c r="U186" s="16">
        <v>1137453.3</v>
      </c>
      <c r="V186" s="16">
        <v>8966.48</v>
      </c>
      <c r="W186" s="16" t="s">
        <v>2982</v>
      </c>
      <c r="X186" s="16" t="s">
        <v>2982</v>
      </c>
      <c r="AA186" s="24"/>
      <c r="AB186" s="3"/>
      <c r="AC186" s="3"/>
      <c r="AD186" s="80"/>
      <c r="AE186" s="80"/>
      <c r="AF186" s="80"/>
      <c r="AG186" s="80"/>
      <c r="AH186" s="411"/>
      <c r="AI186" s="411"/>
      <c r="AJ186" s="411"/>
      <c r="AK186" s="411"/>
    </row>
    <row r="187" spans="1:37" x14ac:dyDescent="0.15">
      <c r="A187" s="12" t="s">
        <v>385</v>
      </c>
      <c r="B187" s="13" t="s">
        <v>2307</v>
      </c>
      <c r="C187" s="13" t="s">
        <v>27</v>
      </c>
      <c r="D187" s="13" t="s">
        <v>55</v>
      </c>
      <c r="E187" s="12" t="s">
        <v>112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/>
      <c r="O187" s="14"/>
      <c r="P187" s="15"/>
      <c r="Q187" s="15" t="s">
        <v>2982</v>
      </c>
      <c r="R187" s="16" t="s">
        <v>2982</v>
      </c>
      <c r="S187" s="16" t="s">
        <v>2982</v>
      </c>
      <c r="T187" s="16" t="s">
        <v>2982</v>
      </c>
      <c r="U187" s="16">
        <v>61003.38</v>
      </c>
      <c r="V187" s="16">
        <v>806503.45</v>
      </c>
      <c r="W187" s="16">
        <v>419343.2</v>
      </c>
      <c r="X187" s="16" t="s">
        <v>2982</v>
      </c>
      <c r="AA187" s="24"/>
      <c r="AB187" s="3"/>
      <c r="AC187" s="3"/>
      <c r="AD187" s="80"/>
      <c r="AE187" s="80"/>
      <c r="AF187" s="80"/>
      <c r="AG187" s="80"/>
      <c r="AH187" s="411"/>
      <c r="AI187" s="411"/>
      <c r="AJ187" s="411"/>
      <c r="AK187" s="411"/>
    </row>
    <row r="188" spans="1:37" x14ac:dyDescent="0.15">
      <c r="A188" s="12" t="s">
        <v>386</v>
      </c>
      <c r="B188" s="13" t="s">
        <v>2308</v>
      </c>
      <c r="C188" s="13" t="s">
        <v>27</v>
      </c>
      <c r="D188" s="13" t="s">
        <v>55</v>
      </c>
      <c r="E188" s="12" t="s">
        <v>112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/>
      <c r="O188" s="14"/>
      <c r="P188" s="15"/>
      <c r="Q188" s="15" t="s">
        <v>2982</v>
      </c>
      <c r="R188" s="16" t="s">
        <v>2982</v>
      </c>
      <c r="S188" s="16" t="s">
        <v>2982</v>
      </c>
      <c r="T188" s="16" t="s">
        <v>2982</v>
      </c>
      <c r="U188" s="16" t="s">
        <v>2982</v>
      </c>
      <c r="V188" s="16">
        <v>1277810.73</v>
      </c>
      <c r="W188" s="16">
        <v>1146514.23</v>
      </c>
      <c r="X188" s="16">
        <v>1116960.29</v>
      </c>
      <c r="AA188" s="24"/>
      <c r="AB188" s="3"/>
      <c r="AC188" s="3"/>
      <c r="AD188" s="80"/>
      <c r="AE188" s="80"/>
      <c r="AF188" s="80"/>
      <c r="AG188" s="80"/>
      <c r="AH188" s="411"/>
      <c r="AI188" s="411"/>
      <c r="AJ188" s="411"/>
      <c r="AK188" s="411"/>
    </row>
    <row r="189" spans="1:37" x14ac:dyDescent="0.15">
      <c r="A189" s="12" t="s">
        <v>388</v>
      </c>
      <c r="B189" s="13" t="s">
        <v>389</v>
      </c>
      <c r="C189" s="13" t="s">
        <v>27</v>
      </c>
      <c r="D189" s="13" t="s">
        <v>40</v>
      </c>
      <c r="E189" s="12" t="s">
        <v>112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/>
      <c r="O189" s="14"/>
      <c r="P189" s="15"/>
      <c r="Q189" s="15" t="s">
        <v>2982</v>
      </c>
      <c r="R189" s="16" t="s">
        <v>2982</v>
      </c>
      <c r="S189" s="16" t="s">
        <v>2982</v>
      </c>
      <c r="T189" s="16">
        <v>797805.56</v>
      </c>
      <c r="U189" s="16">
        <v>1696416.52</v>
      </c>
      <c r="V189" s="16">
        <v>824707.18</v>
      </c>
      <c r="W189" s="16" t="s">
        <v>2982</v>
      </c>
      <c r="X189" s="16" t="s">
        <v>2982</v>
      </c>
      <c r="AA189" s="24"/>
      <c r="AB189" s="3"/>
      <c r="AC189" s="3"/>
      <c r="AD189" s="80"/>
      <c r="AE189" s="80"/>
      <c r="AF189" s="80"/>
      <c r="AG189" s="80"/>
      <c r="AH189" s="411"/>
      <c r="AI189" s="411"/>
      <c r="AJ189" s="411"/>
      <c r="AK189" s="411"/>
    </row>
    <row r="190" spans="1:37" x14ac:dyDescent="0.15">
      <c r="A190" s="12" t="s">
        <v>390</v>
      </c>
      <c r="B190" s="13" t="s">
        <v>391</v>
      </c>
      <c r="C190" s="13" t="s">
        <v>27</v>
      </c>
      <c r="D190" s="13" t="s">
        <v>55</v>
      </c>
      <c r="E190" s="12" t="s">
        <v>29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/>
      <c r="O190" s="14"/>
      <c r="P190" s="15"/>
      <c r="Q190" s="15">
        <v>43971.57</v>
      </c>
      <c r="R190" s="16">
        <v>399516.68999999994</v>
      </c>
      <c r="S190" s="16">
        <v>482173.93</v>
      </c>
      <c r="T190" s="16" t="s">
        <v>2982</v>
      </c>
      <c r="U190" s="16" t="s">
        <v>2982</v>
      </c>
      <c r="V190" s="16" t="s">
        <v>2982</v>
      </c>
      <c r="W190" s="16" t="s">
        <v>2982</v>
      </c>
      <c r="X190" s="16" t="s">
        <v>2982</v>
      </c>
      <c r="AA190" s="24"/>
      <c r="AB190" s="3"/>
      <c r="AC190" s="3"/>
      <c r="AD190" s="80"/>
      <c r="AE190" s="80"/>
      <c r="AF190" s="80"/>
      <c r="AG190" s="80"/>
      <c r="AH190" s="411"/>
      <c r="AI190" s="411"/>
      <c r="AJ190" s="411"/>
      <c r="AK190" s="411"/>
    </row>
    <row r="191" spans="1:37" x14ac:dyDescent="0.15">
      <c r="A191" s="12" t="s">
        <v>392</v>
      </c>
      <c r="B191" s="13" t="s">
        <v>2309</v>
      </c>
      <c r="C191" s="13" t="s">
        <v>27</v>
      </c>
      <c r="D191" s="13" t="s">
        <v>55</v>
      </c>
      <c r="E191" s="12" t="s">
        <v>112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/>
      <c r="O191" s="14"/>
      <c r="P191" s="15"/>
      <c r="Q191" s="15" t="s">
        <v>2982</v>
      </c>
      <c r="R191" s="16" t="s">
        <v>2982</v>
      </c>
      <c r="S191" s="16" t="s">
        <v>2982</v>
      </c>
      <c r="T191" s="16" t="s">
        <v>2982</v>
      </c>
      <c r="U191" s="16" t="s">
        <v>2982</v>
      </c>
      <c r="V191" s="16" t="s">
        <v>2982</v>
      </c>
      <c r="W191" s="16">
        <v>392519.88</v>
      </c>
      <c r="X191" s="16">
        <v>654628.81000000006</v>
      </c>
      <c r="AA191" s="24"/>
      <c r="AB191" s="3"/>
      <c r="AC191" s="3"/>
      <c r="AD191" s="80"/>
      <c r="AE191" s="80"/>
      <c r="AF191" s="80"/>
      <c r="AG191" s="80"/>
      <c r="AH191" s="411"/>
      <c r="AI191" s="411"/>
      <c r="AJ191" s="411"/>
      <c r="AK191" s="411"/>
    </row>
    <row r="192" spans="1:37" x14ac:dyDescent="0.15">
      <c r="A192" s="12" t="s">
        <v>393</v>
      </c>
      <c r="B192" s="13" t="s">
        <v>2310</v>
      </c>
      <c r="C192" s="13" t="s">
        <v>27</v>
      </c>
      <c r="D192" s="13" t="s">
        <v>55</v>
      </c>
      <c r="E192" s="12" t="s">
        <v>112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/>
      <c r="O192" s="14"/>
      <c r="P192" s="15"/>
      <c r="Q192" s="15" t="s">
        <v>2982</v>
      </c>
      <c r="R192" s="16" t="s">
        <v>2982</v>
      </c>
      <c r="S192" s="16" t="s">
        <v>2982</v>
      </c>
      <c r="T192" s="16" t="s">
        <v>2982</v>
      </c>
      <c r="U192" s="16" t="s">
        <v>2982</v>
      </c>
      <c r="V192" s="16">
        <v>44047.22</v>
      </c>
      <c r="W192" s="16">
        <v>906643.23</v>
      </c>
      <c r="X192" s="16">
        <v>1469964.36</v>
      </c>
      <c r="AA192" s="24"/>
      <c r="AB192" s="3"/>
      <c r="AC192" s="3"/>
      <c r="AD192" s="80"/>
      <c r="AE192" s="80"/>
      <c r="AF192" s="80"/>
      <c r="AG192" s="80"/>
      <c r="AH192" s="411"/>
      <c r="AI192" s="411"/>
      <c r="AJ192" s="411"/>
      <c r="AK192" s="411"/>
    </row>
    <row r="193" spans="1:37" x14ac:dyDescent="0.15">
      <c r="A193" s="12" t="s">
        <v>394</v>
      </c>
      <c r="B193" s="13" t="s">
        <v>395</v>
      </c>
      <c r="C193" s="13" t="s">
        <v>27</v>
      </c>
      <c r="D193" s="13" t="s">
        <v>36</v>
      </c>
      <c r="E193" s="12" t="s">
        <v>112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/>
      <c r="O193" s="14"/>
      <c r="P193" s="15"/>
      <c r="Q193" s="15" t="s">
        <v>2982</v>
      </c>
      <c r="R193" s="16" t="s">
        <v>2982</v>
      </c>
      <c r="S193" s="16">
        <v>660999.23</v>
      </c>
      <c r="T193" s="16" t="s">
        <v>2982</v>
      </c>
      <c r="U193" s="16" t="s">
        <v>2982</v>
      </c>
      <c r="V193" s="16" t="s">
        <v>2982</v>
      </c>
      <c r="W193" s="16" t="s">
        <v>2982</v>
      </c>
      <c r="X193" s="16" t="s">
        <v>2982</v>
      </c>
      <c r="AA193" s="24"/>
      <c r="AB193" s="3"/>
      <c r="AC193" s="3"/>
      <c r="AD193" s="80"/>
      <c r="AE193" s="80"/>
      <c r="AF193" s="80"/>
      <c r="AG193" s="80"/>
      <c r="AH193" s="411"/>
      <c r="AI193" s="411"/>
      <c r="AJ193" s="411"/>
      <c r="AK193" s="411"/>
    </row>
    <row r="194" spans="1:37" x14ac:dyDescent="0.15">
      <c r="A194" s="12" t="s">
        <v>396</v>
      </c>
      <c r="B194" s="13" t="s">
        <v>397</v>
      </c>
      <c r="C194" s="13" t="s">
        <v>27</v>
      </c>
      <c r="D194" s="13" t="s">
        <v>36</v>
      </c>
      <c r="E194" s="12" t="s">
        <v>112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/>
      <c r="O194" s="14"/>
      <c r="P194" s="15"/>
      <c r="Q194" s="15" t="s">
        <v>2982</v>
      </c>
      <c r="R194" s="16" t="s">
        <v>2982</v>
      </c>
      <c r="S194" s="16" t="s">
        <v>2982</v>
      </c>
      <c r="T194" s="16">
        <v>347473.95</v>
      </c>
      <c r="U194" s="16" t="s">
        <v>2982</v>
      </c>
      <c r="V194" s="16" t="s">
        <v>2982</v>
      </c>
      <c r="W194" s="16" t="s">
        <v>2982</v>
      </c>
      <c r="X194" s="16" t="s">
        <v>2982</v>
      </c>
      <c r="AA194" s="24"/>
      <c r="AB194" s="3"/>
      <c r="AC194" s="3"/>
      <c r="AD194" s="80"/>
      <c r="AE194" s="80"/>
      <c r="AF194" s="80"/>
      <c r="AG194" s="80"/>
      <c r="AH194" s="411"/>
      <c r="AI194" s="411"/>
      <c r="AJ194" s="411"/>
      <c r="AK194" s="411"/>
    </row>
    <row r="195" spans="1:37" x14ac:dyDescent="0.15">
      <c r="A195" s="12" t="s">
        <v>398</v>
      </c>
      <c r="B195" s="13" t="s">
        <v>399</v>
      </c>
      <c r="C195" s="13" t="s">
        <v>27</v>
      </c>
      <c r="D195" s="13" t="s">
        <v>36</v>
      </c>
      <c r="E195" s="12" t="s">
        <v>112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/>
      <c r="O195" s="14"/>
      <c r="P195" s="15"/>
      <c r="Q195" s="15" t="s">
        <v>2982</v>
      </c>
      <c r="R195" s="16" t="s">
        <v>2982</v>
      </c>
      <c r="S195" s="16" t="s">
        <v>2982</v>
      </c>
      <c r="T195" s="16">
        <v>211079.11</v>
      </c>
      <c r="U195" s="16" t="s">
        <v>2982</v>
      </c>
      <c r="V195" s="16" t="s">
        <v>2982</v>
      </c>
      <c r="W195" s="16" t="s">
        <v>2982</v>
      </c>
      <c r="X195" s="16" t="s">
        <v>2982</v>
      </c>
      <c r="AA195" s="24"/>
      <c r="AB195" s="3"/>
      <c r="AC195" s="3"/>
      <c r="AD195" s="80"/>
      <c r="AE195" s="80"/>
      <c r="AF195" s="80"/>
      <c r="AG195" s="80"/>
      <c r="AH195" s="411"/>
      <c r="AI195" s="411"/>
      <c r="AJ195" s="411"/>
      <c r="AK195" s="411"/>
    </row>
    <row r="196" spans="1:37" x14ac:dyDescent="0.15">
      <c r="A196" s="12" t="s">
        <v>400</v>
      </c>
      <c r="B196" s="13" t="s">
        <v>2382</v>
      </c>
      <c r="C196" s="13" t="s">
        <v>27</v>
      </c>
      <c r="D196" s="13" t="s">
        <v>55</v>
      </c>
      <c r="E196" s="12" t="s">
        <v>112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/>
      <c r="O196" s="14"/>
      <c r="P196" s="15"/>
      <c r="Q196" s="15" t="s">
        <v>2982</v>
      </c>
      <c r="R196" s="16" t="s">
        <v>2982</v>
      </c>
      <c r="S196" s="16">
        <v>666987.56999999995</v>
      </c>
      <c r="T196" s="16">
        <v>661234.41</v>
      </c>
      <c r="U196" s="16">
        <v>210984.86</v>
      </c>
      <c r="V196" s="16" t="s">
        <v>2982</v>
      </c>
      <c r="W196" s="16" t="s">
        <v>2982</v>
      </c>
      <c r="X196" s="16" t="s">
        <v>2982</v>
      </c>
      <c r="AA196" s="24"/>
      <c r="AB196" s="3"/>
      <c r="AC196" s="3"/>
      <c r="AD196" s="80"/>
      <c r="AE196" s="80"/>
      <c r="AF196" s="80"/>
      <c r="AG196" s="80"/>
      <c r="AH196" s="411"/>
      <c r="AI196" s="411"/>
      <c r="AJ196" s="411"/>
      <c r="AK196" s="411"/>
    </row>
    <row r="197" spans="1:37" x14ac:dyDescent="0.15">
      <c r="A197" s="12" t="s">
        <v>401</v>
      </c>
      <c r="B197" s="13" t="s">
        <v>2311</v>
      </c>
      <c r="C197" s="13" t="s">
        <v>27</v>
      </c>
      <c r="D197" s="13" t="s">
        <v>55</v>
      </c>
      <c r="E197" s="12" t="s">
        <v>112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/>
      <c r="O197" s="14"/>
      <c r="P197" s="15"/>
      <c r="Q197" s="15" t="s">
        <v>2982</v>
      </c>
      <c r="R197" s="16" t="s">
        <v>2982</v>
      </c>
      <c r="S197" s="16">
        <v>1212866.27</v>
      </c>
      <c r="T197" s="16">
        <v>1210532.1100000001</v>
      </c>
      <c r="U197" s="16">
        <v>34794.19</v>
      </c>
      <c r="V197" s="16" t="s">
        <v>2982</v>
      </c>
      <c r="W197" s="16" t="s">
        <v>2982</v>
      </c>
      <c r="X197" s="16" t="s">
        <v>2982</v>
      </c>
      <c r="AA197" s="24"/>
      <c r="AB197" s="3"/>
      <c r="AC197" s="3"/>
      <c r="AD197" s="80"/>
      <c r="AE197" s="80"/>
      <c r="AF197" s="80"/>
      <c r="AG197" s="80"/>
      <c r="AH197" s="411"/>
      <c r="AI197" s="411"/>
      <c r="AJ197" s="411"/>
      <c r="AK197" s="411"/>
    </row>
    <row r="198" spans="1:37" x14ac:dyDescent="0.15">
      <c r="A198" s="12" t="s">
        <v>402</v>
      </c>
      <c r="B198" s="13" t="s">
        <v>403</v>
      </c>
      <c r="C198" s="13" t="s">
        <v>27</v>
      </c>
      <c r="D198" s="13" t="s">
        <v>55</v>
      </c>
      <c r="E198" s="12" t="s">
        <v>112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/>
      <c r="O198" s="14"/>
      <c r="P198" s="15"/>
      <c r="Q198" s="15" t="s">
        <v>2982</v>
      </c>
      <c r="R198" s="16" t="s">
        <v>2982</v>
      </c>
      <c r="S198" s="16">
        <v>327419.12</v>
      </c>
      <c r="T198" s="16">
        <v>639873.23</v>
      </c>
      <c r="U198" s="16">
        <v>474842.64</v>
      </c>
      <c r="V198" s="16" t="s">
        <v>2982</v>
      </c>
      <c r="W198" s="16" t="s">
        <v>2982</v>
      </c>
      <c r="X198" s="16" t="s">
        <v>2982</v>
      </c>
      <c r="AA198" s="24"/>
      <c r="AB198" s="3"/>
      <c r="AC198" s="3"/>
      <c r="AD198" s="80"/>
      <c r="AE198" s="80"/>
      <c r="AF198" s="80"/>
      <c r="AG198" s="80"/>
      <c r="AH198" s="411"/>
      <c r="AI198" s="411"/>
      <c r="AJ198" s="411"/>
      <c r="AK198" s="411"/>
    </row>
    <row r="199" spans="1:37" x14ac:dyDescent="0.15">
      <c r="A199" s="12" t="s">
        <v>404</v>
      </c>
      <c r="B199" s="13" t="s">
        <v>405</v>
      </c>
      <c r="C199" s="13" t="s">
        <v>27</v>
      </c>
      <c r="D199" s="13" t="s">
        <v>40</v>
      </c>
      <c r="E199" s="12" t="s">
        <v>112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/>
      <c r="O199" s="14"/>
      <c r="P199" s="15"/>
      <c r="Q199" s="15" t="s">
        <v>2982</v>
      </c>
      <c r="R199" s="16" t="s">
        <v>2982</v>
      </c>
      <c r="S199" s="16">
        <v>576303.06999999995</v>
      </c>
      <c r="T199" s="16">
        <v>893898.78</v>
      </c>
      <c r="U199" s="16">
        <v>520300.47</v>
      </c>
      <c r="V199" s="16" t="s">
        <v>2982</v>
      </c>
      <c r="W199" s="16" t="s">
        <v>2982</v>
      </c>
      <c r="X199" s="16" t="s">
        <v>2982</v>
      </c>
      <c r="AA199" s="24"/>
      <c r="AB199" s="3"/>
      <c r="AC199" s="3"/>
      <c r="AD199" s="80"/>
      <c r="AE199" s="80"/>
      <c r="AF199" s="80"/>
      <c r="AG199" s="80"/>
      <c r="AH199" s="411"/>
      <c r="AI199" s="411"/>
      <c r="AJ199" s="411"/>
      <c r="AK199" s="411"/>
    </row>
    <row r="200" spans="1:37" x14ac:dyDescent="0.15">
      <c r="A200" s="12" t="s">
        <v>406</v>
      </c>
      <c r="B200" s="13" t="s">
        <v>407</v>
      </c>
      <c r="C200" s="13" t="s">
        <v>27</v>
      </c>
      <c r="D200" s="13" t="s">
        <v>60</v>
      </c>
      <c r="E200" s="12" t="s">
        <v>112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/>
      <c r="O200" s="14"/>
      <c r="P200" s="15"/>
      <c r="Q200" s="15" t="s">
        <v>2982</v>
      </c>
      <c r="R200" s="16" t="s">
        <v>2982</v>
      </c>
      <c r="S200" s="16" t="s">
        <v>2982</v>
      </c>
      <c r="T200" s="16">
        <v>2435256.56</v>
      </c>
      <c r="U200" s="16" t="s">
        <v>2982</v>
      </c>
      <c r="V200" s="16" t="s">
        <v>2982</v>
      </c>
      <c r="W200" s="16" t="s">
        <v>2982</v>
      </c>
      <c r="X200" s="16" t="s">
        <v>2982</v>
      </c>
      <c r="AA200" s="24"/>
      <c r="AB200" s="3"/>
      <c r="AC200" s="3"/>
      <c r="AD200" s="80"/>
      <c r="AE200" s="80"/>
      <c r="AF200" s="80"/>
      <c r="AG200" s="80"/>
      <c r="AH200" s="411"/>
      <c r="AI200" s="411"/>
      <c r="AJ200" s="411"/>
      <c r="AK200" s="411"/>
    </row>
    <row r="201" spans="1:37" x14ac:dyDescent="0.15">
      <c r="A201" s="12" t="s">
        <v>408</v>
      </c>
      <c r="B201" s="13" t="s">
        <v>409</v>
      </c>
      <c r="C201" s="13" t="s">
        <v>27</v>
      </c>
      <c r="D201" s="13" t="s">
        <v>55</v>
      </c>
      <c r="E201" s="12" t="s">
        <v>29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/>
      <c r="O201" s="14"/>
      <c r="P201" s="15">
        <v>27690.75</v>
      </c>
      <c r="Q201" s="15">
        <v>424318.46</v>
      </c>
      <c r="R201" s="16">
        <v>1691799.31</v>
      </c>
      <c r="S201" s="16" t="s">
        <v>2982</v>
      </c>
      <c r="T201" s="16" t="s">
        <v>2982</v>
      </c>
      <c r="U201" s="16" t="s">
        <v>2982</v>
      </c>
      <c r="V201" s="16" t="s">
        <v>2982</v>
      </c>
      <c r="W201" s="16" t="s">
        <v>2982</v>
      </c>
      <c r="X201" s="16" t="s">
        <v>2982</v>
      </c>
      <c r="AA201" s="24"/>
      <c r="AB201" s="3"/>
      <c r="AC201" s="3"/>
      <c r="AD201" s="80"/>
      <c r="AE201" s="80"/>
      <c r="AF201" s="80"/>
      <c r="AG201" s="80"/>
      <c r="AH201" s="411"/>
      <c r="AI201" s="411"/>
      <c r="AJ201" s="411"/>
      <c r="AK201" s="411"/>
    </row>
    <row r="202" spans="1:37" x14ac:dyDescent="0.15">
      <c r="A202" s="12" t="s">
        <v>411</v>
      </c>
      <c r="B202" s="13" t="s">
        <v>412</v>
      </c>
      <c r="C202" s="13" t="s">
        <v>27</v>
      </c>
      <c r="D202" s="13" t="s">
        <v>36</v>
      </c>
      <c r="E202" s="12" t="s">
        <v>112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/>
      <c r="O202" s="14"/>
      <c r="P202" s="15"/>
      <c r="Q202" s="15" t="s">
        <v>2982</v>
      </c>
      <c r="R202" s="16" t="s">
        <v>2982</v>
      </c>
      <c r="S202" s="16" t="s">
        <v>2982</v>
      </c>
      <c r="T202" s="16" t="s">
        <v>2982</v>
      </c>
      <c r="U202" s="16">
        <v>258998.01</v>
      </c>
      <c r="V202" s="16" t="s">
        <v>2982</v>
      </c>
      <c r="W202" s="16" t="s">
        <v>2982</v>
      </c>
      <c r="X202" s="16" t="s">
        <v>2982</v>
      </c>
      <c r="AA202" s="24"/>
      <c r="AB202" s="3"/>
      <c r="AC202" s="3"/>
      <c r="AD202" s="80"/>
      <c r="AE202" s="80"/>
      <c r="AF202" s="80"/>
      <c r="AG202" s="80"/>
      <c r="AH202" s="411"/>
      <c r="AI202" s="411"/>
      <c r="AJ202" s="411"/>
      <c r="AK202" s="411"/>
    </row>
    <row r="203" spans="1:37" x14ac:dyDescent="0.15">
      <c r="A203" s="12" t="s">
        <v>413</v>
      </c>
      <c r="B203" s="13" t="s">
        <v>414</v>
      </c>
      <c r="C203" s="13" t="s">
        <v>27</v>
      </c>
      <c r="D203" s="13" t="s">
        <v>36</v>
      </c>
      <c r="E203" s="12" t="s">
        <v>112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/>
      <c r="O203" s="14"/>
      <c r="P203" s="15"/>
      <c r="Q203" s="15" t="s">
        <v>2982</v>
      </c>
      <c r="R203" s="16" t="s">
        <v>2982</v>
      </c>
      <c r="S203" s="16" t="s">
        <v>2982</v>
      </c>
      <c r="T203" s="16" t="s">
        <v>2982</v>
      </c>
      <c r="U203" s="16">
        <v>370700.41</v>
      </c>
      <c r="V203" s="16" t="s">
        <v>2982</v>
      </c>
      <c r="W203" s="16" t="s">
        <v>2982</v>
      </c>
      <c r="X203" s="16" t="s">
        <v>2982</v>
      </c>
      <c r="AA203" s="24"/>
      <c r="AB203" s="3"/>
      <c r="AC203" s="3"/>
      <c r="AD203" s="80"/>
      <c r="AE203" s="80"/>
      <c r="AF203" s="80"/>
      <c r="AG203" s="80"/>
      <c r="AH203" s="411"/>
      <c r="AI203" s="411"/>
      <c r="AJ203" s="411"/>
      <c r="AK203" s="411"/>
    </row>
    <row r="204" spans="1:37" x14ac:dyDescent="0.15">
      <c r="A204" s="12" t="s">
        <v>415</v>
      </c>
      <c r="B204" s="13" t="s">
        <v>416</v>
      </c>
      <c r="C204" s="13" t="s">
        <v>27</v>
      </c>
      <c r="D204" s="13" t="s">
        <v>36</v>
      </c>
      <c r="E204" s="12" t="s">
        <v>112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/>
      <c r="O204" s="14"/>
      <c r="P204" s="15"/>
      <c r="Q204" s="15" t="s">
        <v>2982</v>
      </c>
      <c r="R204" s="16" t="s">
        <v>2982</v>
      </c>
      <c r="S204" s="16" t="s">
        <v>2982</v>
      </c>
      <c r="T204" s="16" t="s">
        <v>2982</v>
      </c>
      <c r="U204" s="16">
        <v>173999.09</v>
      </c>
      <c r="V204" s="16" t="s">
        <v>2982</v>
      </c>
      <c r="W204" s="16" t="s">
        <v>2982</v>
      </c>
      <c r="X204" s="16" t="s">
        <v>2982</v>
      </c>
      <c r="AA204" s="24"/>
      <c r="AB204" s="3"/>
      <c r="AC204" s="3"/>
      <c r="AD204" s="80"/>
      <c r="AE204" s="80"/>
      <c r="AF204" s="80"/>
      <c r="AG204" s="80"/>
      <c r="AH204" s="411"/>
      <c r="AI204" s="411"/>
      <c r="AJ204" s="411"/>
      <c r="AK204" s="411"/>
    </row>
    <row r="205" spans="1:37" x14ac:dyDescent="0.15">
      <c r="A205" s="12" t="s">
        <v>418</v>
      </c>
      <c r="B205" s="13" t="s">
        <v>419</v>
      </c>
      <c r="C205" s="13" t="s">
        <v>27</v>
      </c>
      <c r="D205" s="13" t="s">
        <v>36</v>
      </c>
      <c r="E205" s="12" t="s">
        <v>112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/>
      <c r="O205" s="14"/>
      <c r="P205" s="15"/>
      <c r="Q205" s="15" t="s">
        <v>2982</v>
      </c>
      <c r="R205" s="16" t="s">
        <v>2982</v>
      </c>
      <c r="S205" s="16" t="s">
        <v>2982</v>
      </c>
      <c r="T205" s="16" t="s">
        <v>2982</v>
      </c>
      <c r="U205" s="16">
        <v>280654.61</v>
      </c>
      <c r="V205" s="16" t="s">
        <v>2982</v>
      </c>
      <c r="W205" s="16" t="s">
        <v>2982</v>
      </c>
      <c r="X205" s="16" t="s">
        <v>2982</v>
      </c>
      <c r="AA205" s="24"/>
      <c r="AB205" s="3"/>
      <c r="AC205" s="3"/>
      <c r="AD205" s="80"/>
      <c r="AE205" s="80"/>
      <c r="AF205" s="80"/>
      <c r="AG205" s="80"/>
      <c r="AH205" s="411"/>
      <c r="AI205" s="411"/>
      <c r="AJ205" s="411"/>
      <c r="AK205" s="411"/>
    </row>
    <row r="206" spans="1:37" x14ac:dyDescent="0.15">
      <c r="A206" s="12" t="s">
        <v>420</v>
      </c>
      <c r="B206" s="13" t="s">
        <v>421</v>
      </c>
      <c r="C206" s="13" t="s">
        <v>27</v>
      </c>
      <c r="D206" s="13" t="s">
        <v>40</v>
      </c>
      <c r="E206" s="12" t="s">
        <v>112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/>
      <c r="O206" s="14"/>
      <c r="P206" s="15"/>
      <c r="Q206" s="15" t="s">
        <v>2982</v>
      </c>
      <c r="R206" s="16" t="s">
        <v>2982</v>
      </c>
      <c r="S206" s="16">
        <v>579145.18000000005</v>
      </c>
      <c r="T206" s="16">
        <v>1272366.33</v>
      </c>
      <c r="U206" s="16">
        <v>2077277.82</v>
      </c>
      <c r="V206" s="16">
        <v>2131482.87</v>
      </c>
      <c r="W206" s="16">
        <v>1327667.6100000001</v>
      </c>
      <c r="X206" s="16" t="s">
        <v>2982</v>
      </c>
      <c r="AA206" s="24"/>
      <c r="AB206" s="3"/>
      <c r="AC206" s="3"/>
      <c r="AD206" s="80"/>
      <c r="AE206" s="80"/>
      <c r="AF206" s="80"/>
      <c r="AG206" s="80"/>
      <c r="AH206" s="411"/>
      <c r="AI206" s="411"/>
      <c r="AJ206" s="411"/>
      <c r="AK206" s="411"/>
    </row>
    <row r="207" spans="1:37" x14ac:dyDescent="0.15">
      <c r="A207" s="12" t="s">
        <v>422</v>
      </c>
      <c r="B207" s="13" t="s">
        <v>423</v>
      </c>
      <c r="C207" s="13" t="s">
        <v>27</v>
      </c>
      <c r="D207" s="13" t="s">
        <v>55</v>
      </c>
      <c r="E207" s="12" t="s">
        <v>112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/>
      <c r="O207" s="14"/>
      <c r="P207" s="15"/>
      <c r="Q207" s="15" t="s">
        <v>2982</v>
      </c>
      <c r="R207" s="16" t="s">
        <v>2982</v>
      </c>
      <c r="S207" s="16" t="s">
        <v>2982</v>
      </c>
      <c r="T207" s="16">
        <v>32690.14</v>
      </c>
      <c r="U207" s="16">
        <v>833689.59</v>
      </c>
      <c r="V207" s="16">
        <v>933978.83</v>
      </c>
      <c r="W207" s="16">
        <v>275948.11</v>
      </c>
      <c r="X207" s="16" t="s">
        <v>2982</v>
      </c>
      <c r="AA207" s="24"/>
      <c r="AB207" s="3"/>
      <c r="AC207" s="3"/>
      <c r="AD207" s="80"/>
      <c r="AE207" s="80"/>
      <c r="AF207" s="80"/>
      <c r="AG207" s="80"/>
      <c r="AH207" s="411"/>
      <c r="AI207" s="411"/>
      <c r="AJ207" s="411"/>
      <c r="AK207" s="411"/>
    </row>
    <row r="208" spans="1:37" x14ac:dyDescent="0.15">
      <c r="A208" s="12" t="s">
        <v>424</v>
      </c>
      <c r="B208" s="13" t="s">
        <v>425</v>
      </c>
      <c r="C208" s="13" t="s">
        <v>27</v>
      </c>
      <c r="D208" s="13" t="s">
        <v>36</v>
      </c>
      <c r="E208" s="12" t="s">
        <v>112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/>
      <c r="O208" s="14"/>
      <c r="P208" s="15"/>
      <c r="Q208" s="15" t="s">
        <v>2982</v>
      </c>
      <c r="R208" s="16" t="s">
        <v>2982</v>
      </c>
      <c r="S208" s="16" t="s">
        <v>2982</v>
      </c>
      <c r="T208" s="16" t="s">
        <v>2982</v>
      </c>
      <c r="U208" s="16" t="s">
        <v>2982</v>
      </c>
      <c r="V208" s="16">
        <v>381901.19</v>
      </c>
      <c r="W208" s="16" t="s">
        <v>2982</v>
      </c>
      <c r="X208" s="16" t="s">
        <v>2982</v>
      </c>
      <c r="AA208" s="24"/>
      <c r="AB208" s="3"/>
      <c r="AC208" s="3"/>
      <c r="AD208" s="80"/>
      <c r="AE208" s="80"/>
      <c r="AF208" s="80"/>
      <c r="AG208" s="80"/>
      <c r="AH208" s="411"/>
      <c r="AI208" s="411"/>
      <c r="AJ208" s="411"/>
      <c r="AK208" s="411"/>
    </row>
    <row r="209" spans="1:37" x14ac:dyDescent="0.15">
      <c r="A209" s="12" t="s">
        <v>426</v>
      </c>
      <c r="B209" s="13" t="s">
        <v>427</v>
      </c>
      <c r="C209" s="13" t="s">
        <v>27</v>
      </c>
      <c r="D209" s="13" t="s">
        <v>36</v>
      </c>
      <c r="E209" s="12" t="s">
        <v>112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/>
      <c r="O209" s="14"/>
      <c r="P209" s="15"/>
      <c r="Q209" s="15" t="s">
        <v>2982</v>
      </c>
      <c r="R209" s="16" t="s">
        <v>2982</v>
      </c>
      <c r="S209" s="16" t="s">
        <v>2982</v>
      </c>
      <c r="T209" s="16" t="s">
        <v>2982</v>
      </c>
      <c r="U209" s="16" t="s">
        <v>2982</v>
      </c>
      <c r="V209" s="16">
        <v>397381.16</v>
      </c>
      <c r="W209" s="16" t="s">
        <v>2982</v>
      </c>
      <c r="X209" s="16" t="s">
        <v>2982</v>
      </c>
      <c r="AA209" s="24"/>
      <c r="AB209" s="3"/>
      <c r="AC209" s="3"/>
      <c r="AD209" s="80"/>
      <c r="AE209" s="80"/>
      <c r="AF209" s="80"/>
      <c r="AG209" s="80"/>
      <c r="AH209" s="411"/>
      <c r="AI209" s="411"/>
      <c r="AJ209" s="411"/>
      <c r="AK209" s="411"/>
    </row>
    <row r="210" spans="1:37" x14ac:dyDescent="0.15">
      <c r="A210" s="12" t="s">
        <v>428</v>
      </c>
      <c r="B210" s="13" t="s">
        <v>429</v>
      </c>
      <c r="C210" s="13" t="s">
        <v>27</v>
      </c>
      <c r="D210" s="13" t="s">
        <v>36</v>
      </c>
      <c r="E210" s="12" t="s">
        <v>112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/>
      <c r="O210" s="14"/>
      <c r="P210" s="15"/>
      <c r="Q210" s="15" t="s">
        <v>2982</v>
      </c>
      <c r="R210" s="16" t="s">
        <v>2982</v>
      </c>
      <c r="S210" s="16" t="s">
        <v>2982</v>
      </c>
      <c r="T210" s="16" t="s">
        <v>2982</v>
      </c>
      <c r="U210" s="16" t="s">
        <v>2982</v>
      </c>
      <c r="V210" s="16">
        <v>270354.08</v>
      </c>
      <c r="W210" s="16" t="s">
        <v>2982</v>
      </c>
      <c r="X210" s="16" t="s">
        <v>2982</v>
      </c>
      <c r="AA210" s="24"/>
      <c r="AB210" s="3"/>
      <c r="AC210" s="3"/>
      <c r="AD210" s="80"/>
      <c r="AE210" s="80"/>
      <c r="AF210" s="80"/>
      <c r="AG210" s="80"/>
      <c r="AH210" s="411"/>
      <c r="AI210" s="411"/>
      <c r="AJ210" s="411"/>
      <c r="AK210" s="411"/>
    </row>
    <row r="211" spans="1:37" x14ac:dyDescent="0.15">
      <c r="A211" s="12" t="s">
        <v>430</v>
      </c>
      <c r="B211" s="13" t="s">
        <v>2383</v>
      </c>
      <c r="C211" s="13" t="s">
        <v>27</v>
      </c>
      <c r="D211" s="13" t="s">
        <v>55</v>
      </c>
      <c r="E211" s="12" t="s">
        <v>112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/>
      <c r="O211" s="14"/>
      <c r="P211" s="15"/>
      <c r="Q211" s="15" t="s">
        <v>2982</v>
      </c>
      <c r="R211" s="16" t="s">
        <v>2982</v>
      </c>
      <c r="S211" s="16" t="s">
        <v>2982</v>
      </c>
      <c r="T211" s="16" t="s">
        <v>2982</v>
      </c>
      <c r="U211" s="16">
        <v>715248.2</v>
      </c>
      <c r="V211" s="16">
        <v>631232.06000000006</v>
      </c>
      <c r="W211" s="16">
        <v>28629.69</v>
      </c>
      <c r="X211" s="16" t="s">
        <v>2982</v>
      </c>
      <c r="AA211" s="24"/>
      <c r="AB211" s="3"/>
      <c r="AC211" s="3"/>
      <c r="AD211" s="80"/>
      <c r="AE211" s="80"/>
      <c r="AF211" s="80"/>
      <c r="AG211" s="80"/>
      <c r="AH211" s="411"/>
      <c r="AI211" s="411"/>
      <c r="AJ211" s="411"/>
      <c r="AK211" s="411"/>
    </row>
    <row r="212" spans="1:37" x14ac:dyDescent="0.15">
      <c r="A212" s="12" t="s">
        <v>431</v>
      </c>
      <c r="B212" s="13" t="s">
        <v>2313</v>
      </c>
      <c r="C212" s="13" t="s">
        <v>27</v>
      </c>
      <c r="D212" s="13" t="s">
        <v>55</v>
      </c>
      <c r="E212" s="12" t="s">
        <v>112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/>
      <c r="O212" s="14"/>
      <c r="P212" s="15"/>
      <c r="Q212" s="15" t="s">
        <v>2982</v>
      </c>
      <c r="R212" s="16" t="s">
        <v>2982</v>
      </c>
      <c r="S212" s="16" t="s">
        <v>2982</v>
      </c>
      <c r="T212" s="16" t="s">
        <v>2982</v>
      </c>
      <c r="U212" s="16">
        <v>325782.33</v>
      </c>
      <c r="V212" s="16">
        <v>708084.49</v>
      </c>
      <c r="W212" s="16">
        <v>479858.89</v>
      </c>
      <c r="X212" s="16" t="s">
        <v>2982</v>
      </c>
      <c r="AA212" s="24"/>
      <c r="AB212" s="3"/>
      <c r="AC212" s="3"/>
      <c r="AD212" s="80"/>
      <c r="AE212" s="80"/>
      <c r="AF212" s="80"/>
      <c r="AG212" s="80"/>
      <c r="AH212" s="411"/>
      <c r="AI212" s="411"/>
      <c r="AJ212" s="411"/>
      <c r="AK212" s="411"/>
    </row>
    <row r="213" spans="1:37" x14ac:dyDescent="0.15">
      <c r="A213" s="12" t="s">
        <v>432</v>
      </c>
      <c r="B213" s="13" t="s">
        <v>433</v>
      </c>
      <c r="C213" s="13" t="s">
        <v>27</v>
      </c>
      <c r="D213" s="13" t="s">
        <v>40</v>
      </c>
      <c r="E213" s="12" t="s">
        <v>112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/>
      <c r="O213" s="14"/>
      <c r="P213" s="15"/>
      <c r="Q213" s="15" t="s">
        <v>2982</v>
      </c>
      <c r="R213" s="16" t="s">
        <v>2982</v>
      </c>
      <c r="S213" s="16" t="s">
        <v>2982</v>
      </c>
      <c r="T213" s="16">
        <v>181844.5</v>
      </c>
      <c r="U213" s="16">
        <v>832961.22</v>
      </c>
      <c r="V213" s="16" t="s">
        <v>2982</v>
      </c>
      <c r="W213" s="16" t="s">
        <v>2982</v>
      </c>
      <c r="X213" s="16" t="s">
        <v>2982</v>
      </c>
      <c r="AA213" s="24"/>
      <c r="AB213" s="3"/>
      <c r="AC213" s="3"/>
      <c r="AD213" s="80"/>
      <c r="AE213" s="80"/>
      <c r="AF213" s="80"/>
      <c r="AG213" s="80"/>
      <c r="AH213" s="411"/>
      <c r="AI213" s="411"/>
      <c r="AJ213" s="411"/>
      <c r="AK213" s="411"/>
    </row>
    <row r="214" spans="1:37" x14ac:dyDescent="0.15">
      <c r="A214" s="12" t="s">
        <v>434</v>
      </c>
      <c r="B214" s="13" t="s">
        <v>435</v>
      </c>
      <c r="C214" s="13" t="s">
        <v>27</v>
      </c>
      <c r="D214" s="13" t="s">
        <v>40</v>
      </c>
      <c r="E214" s="12" t="s">
        <v>112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/>
      <c r="O214" s="14"/>
      <c r="P214" s="15"/>
      <c r="Q214" s="15" t="s">
        <v>2982</v>
      </c>
      <c r="R214" s="16">
        <v>21319.53</v>
      </c>
      <c r="S214" s="16">
        <v>1881689.09</v>
      </c>
      <c r="T214" s="16">
        <v>2695125.45</v>
      </c>
      <c r="U214" s="16">
        <v>575504.05000000005</v>
      </c>
      <c r="V214" s="16" t="s">
        <v>2982</v>
      </c>
      <c r="W214" s="16" t="s">
        <v>2982</v>
      </c>
      <c r="X214" s="16" t="s">
        <v>2982</v>
      </c>
      <c r="AA214" s="24"/>
      <c r="AB214" s="3"/>
      <c r="AC214" s="3"/>
      <c r="AD214" s="80"/>
      <c r="AE214" s="80"/>
      <c r="AF214" s="80"/>
      <c r="AG214" s="80"/>
      <c r="AH214" s="411"/>
      <c r="AI214" s="411"/>
      <c r="AJ214" s="411"/>
      <c r="AK214" s="411"/>
    </row>
    <row r="215" spans="1:37" x14ac:dyDescent="0.15">
      <c r="A215" s="12" t="s">
        <v>436</v>
      </c>
      <c r="B215" s="13" t="s">
        <v>437</v>
      </c>
      <c r="C215" s="13" t="s">
        <v>27</v>
      </c>
      <c r="D215" s="13" t="s">
        <v>36</v>
      </c>
      <c r="E215" s="12" t="s">
        <v>112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/>
      <c r="O215" s="14"/>
      <c r="P215" s="15"/>
      <c r="Q215" s="15" t="s">
        <v>2982</v>
      </c>
      <c r="R215" s="16" t="s">
        <v>2982</v>
      </c>
      <c r="S215" s="16" t="s">
        <v>2982</v>
      </c>
      <c r="T215" s="16" t="s">
        <v>2982</v>
      </c>
      <c r="U215" s="16" t="s">
        <v>2982</v>
      </c>
      <c r="V215" s="16" t="s">
        <v>2982</v>
      </c>
      <c r="W215" s="16">
        <v>300328.90000000002</v>
      </c>
      <c r="X215" s="16">
        <v>136630.24</v>
      </c>
      <c r="AA215" s="24"/>
      <c r="AB215" s="3"/>
      <c r="AC215" s="3"/>
      <c r="AD215" s="80"/>
      <c r="AE215" s="80"/>
      <c r="AF215" s="80"/>
      <c r="AG215" s="80"/>
      <c r="AH215" s="411"/>
      <c r="AI215" s="411"/>
      <c r="AJ215" s="411"/>
      <c r="AK215" s="411"/>
    </row>
    <row r="216" spans="1:37" x14ac:dyDescent="0.15">
      <c r="A216" s="12" t="s">
        <v>438</v>
      </c>
      <c r="B216" s="13" t="s">
        <v>439</v>
      </c>
      <c r="C216" s="13" t="s">
        <v>27</v>
      </c>
      <c r="D216" s="13" t="s">
        <v>36</v>
      </c>
      <c r="E216" s="12" t="s">
        <v>112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/>
      <c r="O216" s="14"/>
      <c r="P216" s="15"/>
      <c r="Q216" s="15" t="s">
        <v>2982</v>
      </c>
      <c r="R216" s="16" t="s">
        <v>2982</v>
      </c>
      <c r="S216" s="16" t="s">
        <v>2982</v>
      </c>
      <c r="T216" s="16" t="s">
        <v>2982</v>
      </c>
      <c r="U216" s="16" t="s">
        <v>2982</v>
      </c>
      <c r="V216" s="16" t="s">
        <v>2982</v>
      </c>
      <c r="W216" s="16">
        <v>165839.28</v>
      </c>
      <c r="X216" s="16">
        <v>62.79</v>
      </c>
      <c r="AA216" s="24"/>
      <c r="AB216" s="3"/>
      <c r="AC216" s="3"/>
      <c r="AD216" s="80"/>
      <c r="AE216" s="80"/>
      <c r="AF216" s="80"/>
      <c r="AG216" s="80"/>
      <c r="AH216" s="411"/>
      <c r="AI216" s="411"/>
      <c r="AJ216" s="411"/>
      <c r="AK216" s="411"/>
    </row>
    <row r="217" spans="1:37" x14ac:dyDescent="0.15">
      <c r="A217" s="12" t="s">
        <v>440</v>
      </c>
      <c r="B217" s="13" t="s">
        <v>441</v>
      </c>
      <c r="C217" s="13" t="s">
        <v>27</v>
      </c>
      <c r="D217" s="13" t="s">
        <v>36</v>
      </c>
      <c r="E217" s="12" t="s">
        <v>112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/>
      <c r="O217" s="14"/>
      <c r="P217" s="15"/>
      <c r="Q217" s="15" t="s">
        <v>2982</v>
      </c>
      <c r="R217" s="16" t="s">
        <v>2982</v>
      </c>
      <c r="S217" s="16" t="s">
        <v>2982</v>
      </c>
      <c r="T217" s="16" t="s">
        <v>2982</v>
      </c>
      <c r="U217" s="16" t="s">
        <v>2982</v>
      </c>
      <c r="V217" s="16" t="s">
        <v>2982</v>
      </c>
      <c r="W217" s="16">
        <v>140080.64000000001</v>
      </c>
      <c r="X217" s="16">
        <v>63727.68</v>
      </c>
      <c r="AA217" s="24"/>
      <c r="AB217" s="3"/>
      <c r="AC217" s="3"/>
      <c r="AD217" s="80"/>
      <c r="AE217" s="80"/>
      <c r="AF217" s="80"/>
      <c r="AG217" s="80"/>
      <c r="AH217" s="411"/>
      <c r="AI217" s="411"/>
      <c r="AJ217" s="411"/>
      <c r="AK217" s="411"/>
    </row>
    <row r="218" spans="1:37" x14ac:dyDescent="0.15">
      <c r="A218" s="12" t="s">
        <v>442</v>
      </c>
      <c r="B218" s="13" t="s">
        <v>443</v>
      </c>
      <c r="C218" s="13" t="s">
        <v>27</v>
      </c>
      <c r="D218" s="13" t="s">
        <v>55</v>
      </c>
      <c r="E218" s="12" t="s">
        <v>112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/>
      <c r="O218" s="14"/>
      <c r="P218" s="15"/>
      <c r="Q218" s="15" t="s">
        <v>2982</v>
      </c>
      <c r="R218" s="16" t="s">
        <v>2982</v>
      </c>
      <c r="S218" s="16" t="s">
        <v>2982</v>
      </c>
      <c r="T218" s="16" t="s">
        <v>2982</v>
      </c>
      <c r="U218" s="16" t="s">
        <v>2982</v>
      </c>
      <c r="V218" s="16">
        <v>35188.239999999998</v>
      </c>
      <c r="W218" s="16">
        <v>880102.64</v>
      </c>
      <c r="X218" s="16">
        <v>954343.47</v>
      </c>
      <c r="AA218" s="24"/>
      <c r="AB218" s="3"/>
      <c r="AC218" s="3"/>
      <c r="AD218" s="80"/>
      <c r="AE218" s="80"/>
      <c r="AF218" s="80"/>
      <c r="AG218" s="80"/>
      <c r="AH218" s="411"/>
      <c r="AI218" s="411"/>
      <c r="AJ218" s="411"/>
      <c r="AK218" s="411"/>
    </row>
    <row r="219" spans="1:37" x14ac:dyDescent="0.15">
      <c r="A219" s="12" t="s">
        <v>444</v>
      </c>
      <c r="B219" s="13" t="s">
        <v>2384</v>
      </c>
      <c r="C219" s="13" t="s">
        <v>27</v>
      </c>
      <c r="D219" s="13" t="s">
        <v>55</v>
      </c>
      <c r="E219" s="12" t="s">
        <v>112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/>
      <c r="O219" s="14"/>
      <c r="P219" s="15"/>
      <c r="Q219" s="15" t="s">
        <v>2982</v>
      </c>
      <c r="R219" s="16" t="s">
        <v>2982</v>
      </c>
      <c r="S219" s="16" t="s">
        <v>2982</v>
      </c>
      <c r="T219" s="16" t="s">
        <v>2982</v>
      </c>
      <c r="U219" s="16" t="s">
        <v>2982</v>
      </c>
      <c r="V219" s="16" t="s">
        <v>2982</v>
      </c>
      <c r="W219" s="16">
        <v>717376.93</v>
      </c>
      <c r="X219" s="16">
        <v>682919.43</v>
      </c>
      <c r="AA219" s="24"/>
      <c r="AB219" s="3"/>
      <c r="AC219" s="3"/>
      <c r="AD219" s="80"/>
      <c r="AE219" s="80"/>
      <c r="AF219" s="80"/>
      <c r="AG219" s="80"/>
      <c r="AH219" s="411"/>
      <c r="AI219" s="411"/>
      <c r="AJ219" s="411"/>
      <c r="AK219" s="411"/>
    </row>
    <row r="220" spans="1:37" x14ac:dyDescent="0.15">
      <c r="A220" s="12" t="s">
        <v>445</v>
      </c>
      <c r="B220" s="13" t="s">
        <v>2314</v>
      </c>
      <c r="C220" s="13" t="s">
        <v>27</v>
      </c>
      <c r="D220" s="13" t="s">
        <v>55</v>
      </c>
      <c r="E220" s="12" t="s">
        <v>112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/>
      <c r="O220" s="14"/>
      <c r="P220" s="15"/>
      <c r="Q220" s="15" t="s">
        <v>2982</v>
      </c>
      <c r="R220" s="16" t="s">
        <v>2982</v>
      </c>
      <c r="S220" s="16" t="s">
        <v>2982</v>
      </c>
      <c r="T220" s="16">
        <v>25675.11</v>
      </c>
      <c r="U220" s="16">
        <v>1067725.6299999999</v>
      </c>
      <c r="V220" s="16">
        <v>1549893.24</v>
      </c>
      <c r="W220" s="16" t="s">
        <v>2982</v>
      </c>
      <c r="X220" s="16" t="s">
        <v>2982</v>
      </c>
      <c r="AA220" s="24"/>
      <c r="AB220" s="3"/>
      <c r="AC220" s="3"/>
      <c r="AD220" s="80"/>
      <c r="AE220" s="80"/>
      <c r="AF220" s="80"/>
      <c r="AG220" s="80"/>
      <c r="AH220" s="411"/>
      <c r="AI220" s="411"/>
      <c r="AJ220" s="411"/>
      <c r="AK220" s="411"/>
    </row>
    <row r="221" spans="1:37" x14ac:dyDescent="0.15">
      <c r="A221" s="12" t="s">
        <v>446</v>
      </c>
      <c r="B221" s="13" t="s">
        <v>2315</v>
      </c>
      <c r="C221" s="13" t="s">
        <v>27</v>
      </c>
      <c r="D221" s="13" t="s">
        <v>55</v>
      </c>
      <c r="E221" s="12" t="s">
        <v>112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/>
      <c r="O221" s="14"/>
      <c r="P221" s="15"/>
      <c r="Q221" s="15" t="s">
        <v>2982</v>
      </c>
      <c r="R221" s="16" t="s">
        <v>2982</v>
      </c>
      <c r="S221" s="16" t="s">
        <v>2982</v>
      </c>
      <c r="T221" s="16">
        <v>79116.47</v>
      </c>
      <c r="U221" s="16">
        <v>687973.66</v>
      </c>
      <c r="V221" s="16">
        <v>910104.68</v>
      </c>
      <c r="W221" s="16">
        <v>827148.43</v>
      </c>
      <c r="X221" s="16">
        <v>6607.06</v>
      </c>
      <c r="AA221" s="24"/>
      <c r="AB221" s="3"/>
      <c r="AC221" s="3"/>
      <c r="AD221" s="80"/>
      <c r="AE221" s="80"/>
      <c r="AF221" s="80"/>
      <c r="AG221" s="80"/>
      <c r="AH221" s="411"/>
      <c r="AI221" s="411"/>
      <c r="AJ221" s="411"/>
      <c r="AK221" s="411"/>
    </row>
    <row r="222" spans="1:37" x14ac:dyDescent="0.15">
      <c r="A222" s="12" t="s">
        <v>447</v>
      </c>
      <c r="B222" s="13" t="s">
        <v>2317</v>
      </c>
      <c r="C222" s="13" t="s">
        <v>27</v>
      </c>
      <c r="D222" s="13" t="s">
        <v>55</v>
      </c>
      <c r="E222" s="12" t="s">
        <v>112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/>
      <c r="O222" s="14"/>
      <c r="P222" s="15"/>
      <c r="Q222" s="15" t="s">
        <v>2982</v>
      </c>
      <c r="R222" s="16" t="s">
        <v>2982</v>
      </c>
      <c r="S222" s="16" t="s">
        <v>2982</v>
      </c>
      <c r="T222" s="16" t="s">
        <v>2982</v>
      </c>
      <c r="U222" s="16" t="s">
        <v>2982</v>
      </c>
      <c r="V222" s="16">
        <v>240801.48</v>
      </c>
      <c r="W222" s="16">
        <v>230165.5</v>
      </c>
      <c r="X222" s="16" t="s">
        <v>2982</v>
      </c>
      <c r="AA222" s="24"/>
      <c r="AB222" s="3"/>
      <c r="AC222" s="3"/>
      <c r="AD222" s="80"/>
      <c r="AE222" s="80"/>
      <c r="AF222" s="80"/>
      <c r="AG222" s="80"/>
      <c r="AH222" s="411"/>
      <c r="AI222" s="411"/>
      <c r="AJ222" s="411"/>
      <c r="AK222" s="411"/>
    </row>
    <row r="223" spans="1:37" x14ac:dyDescent="0.15">
      <c r="A223" s="12" t="s">
        <v>449</v>
      </c>
      <c r="B223" s="13" t="s">
        <v>2318</v>
      </c>
      <c r="C223" s="13" t="s">
        <v>27</v>
      </c>
      <c r="D223" s="13" t="s">
        <v>40</v>
      </c>
      <c r="E223" s="12" t="s">
        <v>112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/>
      <c r="O223" s="14"/>
      <c r="P223" s="15"/>
      <c r="Q223" s="15" t="s">
        <v>2982</v>
      </c>
      <c r="R223" s="16" t="s">
        <v>2982</v>
      </c>
      <c r="S223" s="16" t="s">
        <v>2982</v>
      </c>
      <c r="T223" s="16">
        <v>151947.96</v>
      </c>
      <c r="U223" s="16">
        <v>361382.68</v>
      </c>
      <c r="V223" s="16">
        <v>270165.76000000001</v>
      </c>
      <c r="W223" s="16">
        <v>195991.28</v>
      </c>
      <c r="X223" s="16" t="s">
        <v>2982</v>
      </c>
      <c r="AA223" s="24"/>
      <c r="AB223" s="3"/>
      <c r="AC223" s="3"/>
      <c r="AD223" s="80"/>
      <c r="AE223" s="80"/>
      <c r="AF223" s="80"/>
      <c r="AG223" s="80"/>
      <c r="AH223" s="411"/>
      <c r="AI223" s="411"/>
      <c r="AJ223" s="411"/>
      <c r="AK223" s="411"/>
    </row>
    <row r="224" spans="1:37" x14ac:dyDescent="0.15">
      <c r="A224" s="12" t="s">
        <v>450</v>
      </c>
      <c r="B224" s="13" t="s">
        <v>451</v>
      </c>
      <c r="C224" s="13" t="s">
        <v>27</v>
      </c>
      <c r="D224" s="13" t="s">
        <v>28</v>
      </c>
      <c r="E224" s="12" t="s">
        <v>32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227479.92</v>
      </c>
      <c r="O224" s="14">
        <v>915419.84</v>
      </c>
      <c r="P224" s="15">
        <v>110131.04</v>
      </c>
      <c r="Q224" s="15">
        <v>-3441.67</v>
      </c>
      <c r="R224" s="16" t="s">
        <v>2982</v>
      </c>
      <c r="S224" s="16" t="s">
        <v>2982</v>
      </c>
      <c r="T224" s="16" t="s">
        <v>2982</v>
      </c>
      <c r="U224" s="16" t="s">
        <v>2982</v>
      </c>
      <c r="V224" s="16" t="s">
        <v>2982</v>
      </c>
      <c r="W224" s="16" t="s">
        <v>2982</v>
      </c>
      <c r="X224" s="16" t="s">
        <v>2982</v>
      </c>
      <c r="AA224" s="24"/>
      <c r="AB224" s="3"/>
      <c r="AC224" s="3"/>
      <c r="AD224" s="80"/>
      <c r="AE224" s="80"/>
      <c r="AF224" s="80"/>
      <c r="AG224" s="80"/>
      <c r="AH224" s="411"/>
      <c r="AI224" s="411"/>
      <c r="AJ224" s="411"/>
      <c r="AK224" s="411"/>
    </row>
    <row r="225" spans="1:37" x14ac:dyDescent="0.15">
      <c r="A225" s="12" t="s">
        <v>452</v>
      </c>
      <c r="B225" s="13" t="s">
        <v>2385</v>
      </c>
      <c r="C225" s="13" t="s">
        <v>27</v>
      </c>
      <c r="D225" s="13" t="s">
        <v>3163</v>
      </c>
      <c r="E225" s="12" t="s">
        <v>32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/>
      <c r="O225" s="14">
        <v>290805.39</v>
      </c>
      <c r="P225" s="15">
        <v>29718.66</v>
      </c>
      <c r="Q225" s="15">
        <v>-320524.05</v>
      </c>
      <c r="R225" s="16" t="s">
        <v>2982</v>
      </c>
      <c r="S225" s="16" t="s">
        <v>2982</v>
      </c>
      <c r="T225" s="16" t="s">
        <v>2982</v>
      </c>
      <c r="U225" s="16" t="s">
        <v>2982</v>
      </c>
      <c r="V225" s="16" t="s">
        <v>2982</v>
      </c>
      <c r="W225" s="16" t="s">
        <v>2982</v>
      </c>
      <c r="X225" s="16" t="s">
        <v>2982</v>
      </c>
      <c r="AA225" s="24"/>
      <c r="AB225" s="3"/>
      <c r="AC225" s="3"/>
      <c r="AD225" s="80"/>
      <c r="AE225" s="80"/>
      <c r="AF225" s="80"/>
      <c r="AG225" s="80"/>
      <c r="AH225" s="411"/>
      <c r="AI225" s="411"/>
      <c r="AJ225" s="411"/>
      <c r="AK225" s="411"/>
    </row>
    <row r="226" spans="1:37" x14ac:dyDescent="0.15">
      <c r="A226" s="12" t="s">
        <v>454</v>
      </c>
      <c r="B226" s="13" t="s">
        <v>2386</v>
      </c>
      <c r="C226" s="13" t="s">
        <v>27</v>
      </c>
      <c r="D226" s="13" t="s">
        <v>54</v>
      </c>
      <c r="E226" s="12" t="s">
        <v>45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/>
      <c r="O226" s="14"/>
      <c r="P226" s="15"/>
      <c r="Q226" s="15" t="s">
        <v>2982</v>
      </c>
      <c r="R226" s="16">
        <v>410368.26999999996</v>
      </c>
      <c r="S226" s="16">
        <v>47667.93</v>
      </c>
      <c r="T226" s="16" t="s">
        <v>2982</v>
      </c>
      <c r="U226" s="16" t="s">
        <v>2982</v>
      </c>
      <c r="V226" s="16" t="s">
        <v>2982</v>
      </c>
      <c r="W226" s="16" t="s">
        <v>2982</v>
      </c>
      <c r="X226" s="16" t="s">
        <v>2982</v>
      </c>
      <c r="AA226" s="24"/>
      <c r="AB226" s="3"/>
      <c r="AC226" s="3"/>
      <c r="AD226" s="80"/>
      <c r="AE226" s="80"/>
      <c r="AF226" s="80"/>
      <c r="AG226" s="80"/>
      <c r="AH226" s="411"/>
      <c r="AI226" s="411"/>
      <c r="AJ226" s="411"/>
      <c r="AK226" s="411"/>
    </row>
    <row r="227" spans="1:37" x14ac:dyDescent="0.15">
      <c r="A227" s="12" t="s">
        <v>455</v>
      </c>
      <c r="B227" s="13" t="s">
        <v>456</v>
      </c>
      <c r="C227" s="13" t="s">
        <v>27</v>
      </c>
      <c r="D227" s="13" t="s">
        <v>40</v>
      </c>
      <c r="E227" s="12" t="s">
        <v>29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/>
      <c r="O227" s="14">
        <v>27587.72</v>
      </c>
      <c r="P227" s="15">
        <v>206586.78</v>
      </c>
      <c r="Q227" s="15">
        <v>144434.71</v>
      </c>
      <c r="R227" s="16" t="s">
        <v>2982</v>
      </c>
      <c r="S227" s="16" t="s">
        <v>2982</v>
      </c>
      <c r="T227" s="16" t="s">
        <v>2982</v>
      </c>
      <c r="U227" s="16" t="s">
        <v>2982</v>
      </c>
      <c r="V227" s="16" t="s">
        <v>2982</v>
      </c>
      <c r="W227" s="16" t="s">
        <v>2982</v>
      </c>
      <c r="X227" s="16" t="s">
        <v>2982</v>
      </c>
      <c r="AA227" s="24"/>
      <c r="AB227" s="3"/>
      <c r="AC227" s="3"/>
      <c r="AD227" s="80"/>
      <c r="AE227" s="80"/>
      <c r="AF227" s="80"/>
      <c r="AG227" s="80"/>
      <c r="AH227" s="411"/>
      <c r="AI227" s="411"/>
      <c r="AJ227" s="411"/>
      <c r="AK227" s="411"/>
    </row>
    <row r="228" spans="1:37" x14ac:dyDescent="0.15">
      <c r="A228" s="12" t="s">
        <v>457</v>
      </c>
      <c r="B228" s="13" t="s">
        <v>458</v>
      </c>
      <c r="C228" s="13" t="s">
        <v>27</v>
      </c>
      <c r="D228" s="13" t="s">
        <v>55</v>
      </c>
      <c r="E228" s="12" t="s">
        <v>112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/>
      <c r="O228" s="14"/>
      <c r="P228" s="15"/>
      <c r="Q228" s="15" t="s">
        <v>2982</v>
      </c>
      <c r="R228" s="16" t="s">
        <v>2982</v>
      </c>
      <c r="S228" s="16">
        <v>146579.26999999999</v>
      </c>
      <c r="T228" s="16">
        <v>334400.63</v>
      </c>
      <c r="U228" s="16">
        <v>80030.53</v>
      </c>
      <c r="V228" s="16" t="s">
        <v>2982</v>
      </c>
      <c r="W228" s="16" t="s">
        <v>2982</v>
      </c>
      <c r="X228" s="16" t="s">
        <v>2982</v>
      </c>
      <c r="AA228" s="24"/>
      <c r="AB228" s="3"/>
      <c r="AC228" s="3"/>
      <c r="AD228" s="80"/>
      <c r="AE228" s="80"/>
      <c r="AF228" s="80"/>
      <c r="AG228" s="80"/>
      <c r="AH228" s="411"/>
      <c r="AI228" s="411"/>
      <c r="AJ228" s="411"/>
      <c r="AK228" s="411"/>
    </row>
    <row r="229" spans="1:37" x14ac:dyDescent="0.15">
      <c r="A229" s="12" t="s">
        <v>459</v>
      </c>
      <c r="B229" s="13" t="s">
        <v>460</v>
      </c>
      <c r="C229" s="13" t="s">
        <v>27</v>
      </c>
      <c r="D229" s="13" t="s">
        <v>40</v>
      </c>
      <c r="E229" s="12" t="s">
        <v>112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/>
      <c r="O229" s="14"/>
      <c r="P229" s="15"/>
      <c r="Q229" s="15" t="s">
        <v>2982</v>
      </c>
      <c r="R229" s="16" t="s">
        <v>2982</v>
      </c>
      <c r="S229" s="16">
        <v>108915.25</v>
      </c>
      <c r="T229" s="16">
        <v>293842.84999999998</v>
      </c>
      <c r="U229" s="16">
        <v>151752.41</v>
      </c>
      <c r="V229" s="16" t="s">
        <v>2982</v>
      </c>
      <c r="W229" s="16" t="s">
        <v>2982</v>
      </c>
      <c r="X229" s="16" t="s">
        <v>2982</v>
      </c>
      <c r="AA229" s="24"/>
      <c r="AB229" s="3"/>
      <c r="AC229" s="3"/>
      <c r="AD229" s="80"/>
      <c r="AE229" s="80"/>
      <c r="AF229" s="80"/>
      <c r="AG229" s="80"/>
      <c r="AH229" s="411"/>
      <c r="AI229" s="411"/>
      <c r="AJ229" s="411"/>
      <c r="AK229" s="411"/>
    </row>
    <row r="230" spans="1:37" x14ac:dyDescent="0.15">
      <c r="A230" s="12" t="s">
        <v>461</v>
      </c>
      <c r="B230" s="13" t="s">
        <v>462</v>
      </c>
      <c r="C230" s="13" t="s">
        <v>27</v>
      </c>
      <c r="D230" s="13" t="s">
        <v>54</v>
      </c>
      <c r="E230" s="12" t="s">
        <v>29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/>
      <c r="O230" s="14">
        <v>37898.5</v>
      </c>
      <c r="P230" s="15">
        <v>285581.27</v>
      </c>
      <c r="Q230" s="15">
        <v>96251.93</v>
      </c>
      <c r="R230" s="16">
        <v>18677.300000000003</v>
      </c>
      <c r="S230" s="16" t="s">
        <v>2982</v>
      </c>
      <c r="T230" s="16" t="s">
        <v>2982</v>
      </c>
      <c r="U230" s="16" t="s">
        <v>2982</v>
      </c>
      <c r="V230" s="16" t="s">
        <v>2982</v>
      </c>
      <c r="W230" s="16" t="s">
        <v>2982</v>
      </c>
      <c r="X230" s="16" t="s">
        <v>2982</v>
      </c>
      <c r="AA230" s="24"/>
      <c r="AB230" s="3"/>
      <c r="AC230" s="3"/>
      <c r="AD230" s="80"/>
      <c r="AE230" s="80"/>
      <c r="AF230" s="80"/>
      <c r="AG230" s="80"/>
      <c r="AH230" s="411"/>
      <c r="AI230" s="411"/>
      <c r="AJ230" s="411"/>
      <c r="AK230" s="411"/>
    </row>
    <row r="231" spans="1:37" x14ac:dyDescent="0.15">
      <c r="A231" s="12" t="s">
        <v>463</v>
      </c>
      <c r="B231" s="13" t="s">
        <v>464</v>
      </c>
      <c r="C231" s="13" t="s">
        <v>27</v>
      </c>
      <c r="D231" s="13" t="s">
        <v>40</v>
      </c>
      <c r="E231" s="12" t="s">
        <v>112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/>
      <c r="O231" s="14"/>
      <c r="P231" s="15"/>
      <c r="Q231" s="15" t="s">
        <v>2982</v>
      </c>
      <c r="R231" s="16" t="s">
        <v>2982</v>
      </c>
      <c r="S231" s="16" t="s">
        <v>2982</v>
      </c>
      <c r="T231" s="16" t="s">
        <v>2982</v>
      </c>
      <c r="U231" s="16" t="s">
        <v>2982</v>
      </c>
      <c r="V231" s="16">
        <v>230250.11</v>
      </c>
      <c r="W231" s="16">
        <v>836308.5</v>
      </c>
      <c r="X231" s="16" t="s">
        <v>2982</v>
      </c>
      <c r="AA231" s="24"/>
      <c r="AB231" s="3"/>
      <c r="AC231" s="3"/>
      <c r="AD231" s="80"/>
      <c r="AE231" s="80"/>
      <c r="AF231" s="80"/>
      <c r="AG231" s="80"/>
      <c r="AH231" s="411"/>
      <c r="AI231" s="411"/>
      <c r="AJ231" s="411"/>
      <c r="AK231" s="411"/>
    </row>
    <row r="232" spans="1:37" x14ac:dyDescent="0.15">
      <c r="A232" s="12" t="s">
        <v>465</v>
      </c>
      <c r="B232" s="13" t="s">
        <v>466</v>
      </c>
      <c r="C232" s="13" t="s">
        <v>27</v>
      </c>
      <c r="D232" s="13" t="s">
        <v>40</v>
      </c>
      <c r="E232" s="12" t="s">
        <v>112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/>
      <c r="O232" s="14"/>
      <c r="P232" s="15"/>
      <c r="Q232" s="15" t="s">
        <v>2982</v>
      </c>
      <c r="R232" s="16" t="s">
        <v>2982</v>
      </c>
      <c r="S232" s="16" t="s">
        <v>2982</v>
      </c>
      <c r="T232" s="16" t="s">
        <v>2982</v>
      </c>
      <c r="U232" s="16">
        <v>178237.76</v>
      </c>
      <c r="V232" s="16">
        <v>677454.22</v>
      </c>
      <c r="W232" s="16">
        <v>905029.5</v>
      </c>
      <c r="X232" s="16" t="s">
        <v>2982</v>
      </c>
      <c r="AA232" s="24"/>
      <c r="AB232" s="3"/>
      <c r="AC232" s="3"/>
      <c r="AD232" s="80"/>
      <c r="AE232" s="80"/>
      <c r="AF232" s="80"/>
      <c r="AG232" s="80"/>
      <c r="AH232" s="411"/>
      <c r="AI232" s="411"/>
      <c r="AJ232" s="411"/>
      <c r="AK232" s="411"/>
    </row>
    <row r="233" spans="1:37" x14ac:dyDescent="0.15">
      <c r="A233" s="12" t="s">
        <v>467</v>
      </c>
      <c r="B233" s="13" t="s">
        <v>2319</v>
      </c>
      <c r="C233" s="13" t="s">
        <v>27</v>
      </c>
      <c r="D233" s="13" t="s">
        <v>55</v>
      </c>
      <c r="E233" s="12" t="s">
        <v>29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/>
      <c r="O233" s="14"/>
      <c r="P233" s="15"/>
      <c r="Q233" s="15">
        <v>1394.38</v>
      </c>
      <c r="R233" s="16">
        <v>263745.42</v>
      </c>
      <c r="S233" s="16" t="s">
        <v>2982</v>
      </c>
      <c r="T233" s="16" t="s">
        <v>2982</v>
      </c>
      <c r="U233" s="16" t="s">
        <v>2982</v>
      </c>
      <c r="V233" s="16" t="s">
        <v>2982</v>
      </c>
      <c r="W233" s="16" t="s">
        <v>2982</v>
      </c>
      <c r="X233" s="16" t="s">
        <v>2982</v>
      </c>
      <c r="AA233" s="24"/>
      <c r="AB233" s="3"/>
      <c r="AC233" s="3"/>
      <c r="AD233" s="80"/>
      <c r="AE233" s="80"/>
      <c r="AF233" s="80"/>
      <c r="AG233" s="80"/>
      <c r="AH233" s="411"/>
      <c r="AI233" s="411"/>
      <c r="AJ233" s="411"/>
      <c r="AK233" s="411"/>
    </row>
    <row r="234" spans="1:37" x14ac:dyDescent="0.15">
      <c r="A234" s="12" t="s">
        <v>468</v>
      </c>
      <c r="B234" s="13" t="s">
        <v>469</v>
      </c>
      <c r="C234" s="13" t="s">
        <v>27</v>
      </c>
      <c r="D234" s="13" t="s">
        <v>55</v>
      </c>
      <c r="E234" s="12" t="s">
        <v>29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/>
      <c r="O234" s="14"/>
      <c r="P234" s="15">
        <v>49993.08</v>
      </c>
      <c r="Q234" s="15">
        <v>1585770.66</v>
      </c>
      <c r="R234" s="16">
        <v>264093.24</v>
      </c>
      <c r="S234" s="16" t="s">
        <v>2982</v>
      </c>
      <c r="T234" s="16" t="s">
        <v>2982</v>
      </c>
      <c r="U234" s="16" t="s">
        <v>2982</v>
      </c>
      <c r="V234" s="16" t="s">
        <v>2982</v>
      </c>
      <c r="W234" s="16" t="s">
        <v>2982</v>
      </c>
      <c r="X234" s="16" t="s">
        <v>2982</v>
      </c>
      <c r="AA234" s="24"/>
      <c r="AB234" s="3"/>
      <c r="AC234" s="3"/>
      <c r="AD234" s="80"/>
      <c r="AE234" s="80"/>
      <c r="AF234" s="80"/>
      <c r="AG234" s="80"/>
      <c r="AH234" s="411"/>
      <c r="AI234" s="411"/>
      <c r="AJ234" s="411"/>
      <c r="AK234" s="411"/>
    </row>
    <row r="235" spans="1:37" x14ac:dyDescent="0.15">
      <c r="A235" s="12" t="s">
        <v>470</v>
      </c>
      <c r="B235" s="13" t="s">
        <v>471</v>
      </c>
      <c r="C235" s="13" t="s">
        <v>27</v>
      </c>
      <c r="D235" s="13" t="s">
        <v>40</v>
      </c>
      <c r="E235" s="12" t="s">
        <v>112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/>
      <c r="O235" s="14"/>
      <c r="P235" s="15"/>
      <c r="Q235" s="15" t="s">
        <v>2982</v>
      </c>
      <c r="R235" s="16" t="s">
        <v>2982</v>
      </c>
      <c r="S235" s="16">
        <v>221292.03</v>
      </c>
      <c r="T235" s="16">
        <v>770638.16</v>
      </c>
      <c r="U235" s="16" t="s">
        <v>2982</v>
      </c>
      <c r="V235" s="16" t="s">
        <v>2982</v>
      </c>
      <c r="W235" s="16" t="s">
        <v>2982</v>
      </c>
      <c r="X235" s="16" t="s">
        <v>2982</v>
      </c>
      <c r="AA235" s="24"/>
      <c r="AB235" s="3"/>
      <c r="AC235" s="3"/>
      <c r="AD235" s="80"/>
      <c r="AE235" s="80"/>
      <c r="AF235" s="80"/>
      <c r="AG235" s="80"/>
      <c r="AH235" s="411"/>
      <c r="AI235" s="411"/>
      <c r="AJ235" s="411"/>
      <c r="AK235" s="411"/>
    </row>
    <row r="236" spans="1:37" x14ac:dyDescent="0.15">
      <c r="A236" s="12" t="s">
        <v>472</v>
      </c>
      <c r="B236" s="13" t="s">
        <v>2320</v>
      </c>
      <c r="C236" s="13" t="s">
        <v>27</v>
      </c>
      <c r="D236" s="13" t="s">
        <v>55</v>
      </c>
      <c r="E236" s="12" t="s">
        <v>29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/>
      <c r="O236" s="14"/>
      <c r="P236" s="15"/>
      <c r="Q236" s="15">
        <v>72576.850000000006</v>
      </c>
      <c r="R236" s="16">
        <v>595050.38</v>
      </c>
      <c r="S236" s="16" t="s">
        <v>2982</v>
      </c>
      <c r="T236" s="16" t="s">
        <v>2982</v>
      </c>
      <c r="U236" s="16" t="s">
        <v>2982</v>
      </c>
      <c r="V236" s="16" t="s">
        <v>2982</v>
      </c>
      <c r="W236" s="16" t="s">
        <v>2982</v>
      </c>
      <c r="X236" s="16" t="s">
        <v>2982</v>
      </c>
      <c r="AA236" s="24"/>
      <c r="AB236" s="3"/>
      <c r="AC236" s="3"/>
      <c r="AD236" s="80"/>
      <c r="AE236" s="80"/>
      <c r="AF236" s="80"/>
      <c r="AG236" s="80"/>
      <c r="AH236" s="411"/>
      <c r="AI236" s="411"/>
      <c r="AJ236" s="411"/>
      <c r="AK236" s="411"/>
    </row>
    <row r="237" spans="1:37" x14ac:dyDescent="0.15">
      <c r="A237" s="12" t="s">
        <v>473</v>
      </c>
      <c r="B237" s="13" t="s">
        <v>474</v>
      </c>
      <c r="C237" s="13" t="s">
        <v>27</v>
      </c>
      <c r="D237" s="13" t="s">
        <v>55</v>
      </c>
      <c r="E237" s="12" t="s">
        <v>112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/>
      <c r="O237" s="14"/>
      <c r="P237" s="15"/>
      <c r="Q237" s="15" t="s">
        <v>2982</v>
      </c>
      <c r="R237" s="16" t="s">
        <v>2982</v>
      </c>
      <c r="S237" s="16">
        <v>303184.28000000003</v>
      </c>
      <c r="T237" s="16">
        <v>242995.74</v>
      </c>
      <c r="U237" s="16" t="s">
        <v>2982</v>
      </c>
      <c r="V237" s="16" t="s">
        <v>2982</v>
      </c>
      <c r="W237" s="16" t="s">
        <v>2982</v>
      </c>
      <c r="X237" s="16" t="s">
        <v>2982</v>
      </c>
      <c r="AA237" s="24"/>
      <c r="AB237" s="3"/>
      <c r="AC237" s="3"/>
      <c r="AD237" s="80"/>
      <c r="AE237" s="80"/>
      <c r="AF237" s="80"/>
      <c r="AG237" s="80"/>
      <c r="AH237" s="411"/>
      <c r="AI237" s="411"/>
      <c r="AJ237" s="411"/>
      <c r="AK237" s="411"/>
    </row>
    <row r="238" spans="1:37" x14ac:dyDescent="0.15">
      <c r="A238" s="12" t="s">
        <v>475</v>
      </c>
      <c r="B238" s="13" t="s">
        <v>476</v>
      </c>
      <c r="C238" s="13" t="s">
        <v>27</v>
      </c>
      <c r="D238" s="13" t="s">
        <v>55</v>
      </c>
      <c r="E238" s="12" t="s">
        <v>32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/>
      <c r="O238" s="14"/>
      <c r="P238" s="15">
        <v>371613.36</v>
      </c>
      <c r="Q238" s="15">
        <v>-0.01</v>
      </c>
      <c r="R238" s="16" t="s">
        <v>2982</v>
      </c>
      <c r="S238" s="16" t="s">
        <v>2982</v>
      </c>
      <c r="T238" s="16" t="s">
        <v>2982</v>
      </c>
      <c r="U238" s="16" t="s">
        <v>2982</v>
      </c>
      <c r="V238" s="16" t="s">
        <v>2982</v>
      </c>
      <c r="W238" s="16" t="s">
        <v>2982</v>
      </c>
      <c r="X238" s="16" t="s">
        <v>2982</v>
      </c>
      <c r="AA238" s="24"/>
      <c r="AB238" s="3"/>
      <c r="AC238" s="3"/>
      <c r="AD238" s="80"/>
      <c r="AE238" s="80"/>
      <c r="AF238" s="80"/>
      <c r="AG238" s="80"/>
      <c r="AH238" s="411"/>
      <c r="AI238" s="411"/>
      <c r="AJ238" s="411"/>
      <c r="AK238" s="411"/>
    </row>
    <row r="239" spans="1:37" x14ac:dyDescent="0.15">
      <c r="A239" s="12" t="s">
        <v>479</v>
      </c>
      <c r="B239" s="13" t="s">
        <v>480</v>
      </c>
      <c r="C239" s="13" t="s">
        <v>27</v>
      </c>
      <c r="D239" s="13" t="s">
        <v>55</v>
      </c>
      <c r="E239" s="12" t="s">
        <v>45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/>
      <c r="O239" s="14"/>
      <c r="P239" s="15"/>
      <c r="Q239" s="15">
        <v>20214.560000000001</v>
      </c>
      <c r="R239" s="16">
        <v>229009.07</v>
      </c>
      <c r="S239" s="16">
        <v>464786.3</v>
      </c>
      <c r="T239" s="16" t="s">
        <v>2982</v>
      </c>
      <c r="U239" s="16" t="s">
        <v>2982</v>
      </c>
      <c r="V239" s="16" t="s">
        <v>2982</v>
      </c>
      <c r="W239" s="16" t="s">
        <v>2982</v>
      </c>
      <c r="X239" s="16" t="s">
        <v>2982</v>
      </c>
      <c r="AA239" s="24"/>
      <c r="AB239" s="3"/>
      <c r="AC239" s="3"/>
      <c r="AD239" s="80"/>
      <c r="AE239" s="80"/>
      <c r="AF239" s="80"/>
      <c r="AG239" s="80"/>
      <c r="AH239" s="411"/>
      <c r="AI239" s="411"/>
      <c r="AJ239" s="411"/>
      <c r="AK239" s="411"/>
    </row>
    <row r="240" spans="1:37" x14ac:dyDescent="0.15">
      <c r="A240" s="12" t="s">
        <v>481</v>
      </c>
      <c r="B240" s="13" t="s">
        <v>482</v>
      </c>
      <c r="C240" s="13" t="s">
        <v>27</v>
      </c>
      <c r="D240" s="13" t="s">
        <v>60</v>
      </c>
      <c r="E240" s="12" t="s">
        <v>112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/>
      <c r="O240" s="14"/>
      <c r="P240" s="15"/>
      <c r="Q240" s="15" t="s">
        <v>2982</v>
      </c>
      <c r="R240" s="16" t="s">
        <v>2982</v>
      </c>
      <c r="S240" s="16" t="s">
        <v>2982</v>
      </c>
      <c r="T240" s="16" t="s">
        <v>2982</v>
      </c>
      <c r="U240" s="16">
        <v>2478441.96</v>
      </c>
      <c r="V240" s="16" t="s">
        <v>2982</v>
      </c>
      <c r="W240" s="16" t="s">
        <v>2982</v>
      </c>
      <c r="X240" s="16" t="s">
        <v>2982</v>
      </c>
      <c r="AA240" s="24"/>
      <c r="AB240" s="3"/>
      <c r="AC240" s="3"/>
      <c r="AD240" s="80"/>
      <c r="AE240" s="80"/>
      <c r="AF240" s="80"/>
      <c r="AG240" s="80"/>
      <c r="AH240" s="411"/>
      <c r="AI240" s="411"/>
      <c r="AJ240" s="411"/>
      <c r="AK240" s="411"/>
    </row>
    <row r="241" spans="1:37" x14ac:dyDescent="0.15">
      <c r="A241" s="12" t="s">
        <v>483</v>
      </c>
      <c r="B241" s="13" t="s">
        <v>484</v>
      </c>
      <c r="C241" s="13" t="s">
        <v>27</v>
      </c>
      <c r="D241" s="13" t="s">
        <v>60</v>
      </c>
      <c r="E241" s="12" t="s">
        <v>112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/>
      <c r="O241" s="14"/>
      <c r="P241" s="15"/>
      <c r="Q241" s="15" t="s">
        <v>2982</v>
      </c>
      <c r="R241" s="16" t="s">
        <v>2982</v>
      </c>
      <c r="S241" s="16" t="s">
        <v>2982</v>
      </c>
      <c r="T241" s="16" t="s">
        <v>2982</v>
      </c>
      <c r="U241" s="16" t="s">
        <v>2982</v>
      </c>
      <c r="V241" s="16">
        <v>2542605.2400000002</v>
      </c>
      <c r="W241" s="16" t="s">
        <v>2982</v>
      </c>
      <c r="X241" s="16" t="s">
        <v>2982</v>
      </c>
      <c r="AA241" s="24"/>
      <c r="AB241" s="3"/>
      <c r="AC241" s="3"/>
      <c r="AD241" s="80"/>
      <c r="AE241" s="80"/>
      <c r="AF241" s="80"/>
      <c r="AG241" s="80"/>
      <c r="AH241" s="411"/>
      <c r="AI241" s="411"/>
      <c r="AJ241" s="411"/>
      <c r="AK241" s="411"/>
    </row>
    <row r="242" spans="1:37" x14ac:dyDescent="0.15">
      <c r="A242" s="12" t="s">
        <v>485</v>
      </c>
      <c r="B242" s="13" t="s">
        <v>486</v>
      </c>
      <c r="C242" s="13" t="s">
        <v>27</v>
      </c>
      <c r="D242" s="13" t="s">
        <v>60</v>
      </c>
      <c r="E242" s="12" t="s">
        <v>112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/>
      <c r="O242" s="14"/>
      <c r="P242" s="15"/>
      <c r="Q242" s="15" t="s">
        <v>2982</v>
      </c>
      <c r="R242" s="16" t="s">
        <v>2982</v>
      </c>
      <c r="S242" s="16" t="s">
        <v>2982</v>
      </c>
      <c r="T242" s="16" t="s">
        <v>2982</v>
      </c>
      <c r="U242" s="16" t="s">
        <v>2982</v>
      </c>
      <c r="V242" s="16" t="s">
        <v>2982</v>
      </c>
      <c r="W242" s="16">
        <v>2606801.56</v>
      </c>
      <c r="X242" s="16" t="s">
        <v>2982</v>
      </c>
      <c r="AA242" s="24"/>
      <c r="AB242" s="3"/>
      <c r="AC242" s="3"/>
      <c r="AD242" s="80"/>
      <c r="AE242" s="80"/>
      <c r="AF242" s="80"/>
      <c r="AG242" s="80"/>
      <c r="AH242" s="411"/>
      <c r="AI242" s="411"/>
      <c r="AJ242" s="411"/>
      <c r="AK242" s="411"/>
    </row>
    <row r="243" spans="1:37" x14ac:dyDescent="0.15">
      <c r="A243" s="12" t="s">
        <v>487</v>
      </c>
      <c r="B243" s="13" t="s">
        <v>488</v>
      </c>
      <c r="C243" s="13" t="s">
        <v>27</v>
      </c>
      <c r="D243" s="13" t="s">
        <v>40</v>
      </c>
      <c r="E243" s="12" t="s">
        <v>32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/>
      <c r="O243" s="14"/>
      <c r="P243" s="15">
        <v>3110.54</v>
      </c>
      <c r="Q243" s="15">
        <v>83940.89</v>
      </c>
      <c r="R243" s="16" t="s">
        <v>2982</v>
      </c>
      <c r="S243" s="16" t="s">
        <v>2982</v>
      </c>
      <c r="T243" s="16" t="s">
        <v>2982</v>
      </c>
      <c r="U243" s="16" t="s">
        <v>2982</v>
      </c>
      <c r="V243" s="16" t="s">
        <v>2982</v>
      </c>
      <c r="W243" s="16" t="s">
        <v>2982</v>
      </c>
      <c r="X243" s="16" t="s">
        <v>2982</v>
      </c>
      <c r="AA243" s="24"/>
      <c r="AB243" s="3"/>
      <c r="AC243" s="3"/>
      <c r="AD243" s="80"/>
      <c r="AE243" s="80"/>
      <c r="AF243" s="80"/>
      <c r="AG243" s="80"/>
      <c r="AH243" s="411"/>
      <c r="AI243" s="411"/>
      <c r="AJ243" s="411"/>
      <c r="AK243" s="411"/>
    </row>
    <row r="244" spans="1:37" x14ac:dyDescent="0.15">
      <c r="A244" s="12" t="s">
        <v>489</v>
      </c>
      <c r="B244" s="13" t="s">
        <v>490</v>
      </c>
      <c r="C244" s="13" t="s">
        <v>27</v>
      </c>
      <c r="D244" s="13" t="s">
        <v>54</v>
      </c>
      <c r="E244" s="12" t="s">
        <v>29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/>
      <c r="O244" s="14"/>
      <c r="P244" s="15">
        <v>39283.25</v>
      </c>
      <c r="Q244" s="15">
        <v>437438.74</v>
      </c>
      <c r="R244" s="16">
        <v>905115.28</v>
      </c>
      <c r="S244" s="16" t="s">
        <v>2982</v>
      </c>
      <c r="T244" s="16" t="s">
        <v>2982</v>
      </c>
      <c r="U244" s="16" t="s">
        <v>2982</v>
      </c>
      <c r="V244" s="16" t="s">
        <v>2982</v>
      </c>
      <c r="W244" s="16" t="s">
        <v>2982</v>
      </c>
      <c r="X244" s="16" t="s">
        <v>2982</v>
      </c>
      <c r="AA244" s="24"/>
      <c r="AB244" s="3"/>
      <c r="AC244" s="3"/>
      <c r="AD244" s="80"/>
      <c r="AE244" s="80"/>
      <c r="AF244" s="80"/>
      <c r="AG244" s="80"/>
      <c r="AH244" s="411"/>
      <c r="AI244" s="411"/>
      <c r="AJ244" s="411"/>
      <c r="AK244" s="411"/>
    </row>
    <row r="245" spans="1:37" x14ac:dyDescent="0.15">
      <c r="A245" s="12" t="s">
        <v>491</v>
      </c>
      <c r="B245" s="13" t="s">
        <v>492</v>
      </c>
      <c r="C245" s="13" t="s">
        <v>27</v>
      </c>
      <c r="D245" s="13" t="s">
        <v>40</v>
      </c>
      <c r="E245" s="12" t="s">
        <v>112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/>
      <c r="O245" s="14"/>
      <c r="P245" s="15"/>
      <c r="Q245" s="15" t="s">
        <v>2982</v>
      </c>
      <c r="R245" s="16">
        <v>341229.16999999993</v>
      </c>
      <c r="S245" s="16">
        <v>3577668.72</v>
      </c>
      <c r="T245" s="16">
        <v>7233075.3499999996</v>
      </c>
      <c r="U245" s="16">
        <v>7015670.8200000003</v>
      </c>
      <c r="V245" s="16">
        <v>7199785.5199999996</v>
      </c>
      <c r="W245" s="16">
        <v>6224937.1799999997</v>
      </c>
      <c r="X245" s="16" t="s">
        <v>2982</v>
      </c>
      <c r="AA245" s="24"/>
      <c r="AB245" s="3"/>
      <c r="AC245" s="3"/>
      <c r="AD245" s="80"/>
      <c r="AE245" s="80"/>
      <c r="AF245" s="80"/>
      <c r="AG245" s="80"/>
      <c r="AH245" s="411"/>
      <c r="AI245" s="411"/>
      <c r="AJ245" s="411"/>
      <c r="AK245" s="411"/>
    </row>
    <row r="246" spans="1:37" x14ac:dyDescent="0.15">
      <c r="A246" s="12" t="s">
        <v>493</v>
      </c>
      <c r="B246" s="13" t="s">
        <v>494</v>
      </c>
      <c r="C246" s="13" t="s">
        <v>27</v>
      </c>
      <c r="D246" s="13" t="s">
        <v>40</v>
      </c>
      <c r="E246" s="12" t="s">
        <v>112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/>
      <c r="O246" s="14"/>
      <c r="P246" s="15"/>
      <c r="Q246" s="15" t="s">
        <v>2982</v>
      </c>
      <c r="R246" s="16" t="s">
        <v>2982</v>
      </c>
      <c r="S246" s="16">
        <v>94481.33</v>
      </c>
      <c r="T246" s="16">
        <v>107598.08</v>
      </c>
      <c r="U246" s="16">
        <v>950002.5</v>
      </c>
      <c r="V246" s="16">
        <v>2392263.9500000002</v>
      </c>
      <c r="W246" s="16">
        <v>1733846.76</v>
      </c>
      <c r="X246" s="16" t="s">
        <v>2982</v>
      </c>
      <c r="AA246" s="24"/>
      <c r="AB246" s="3"/>
      <c r="AC246" s="3"/>
      <c r="AD246" s="80"/>
      <c r="AE246" s="80"/>
      <c r="AF246" s="80"/>
      <c r="AG246" s="80"/>
      <c r="AH246" s="411"/>
      <c r="AI246" s="411"/>
      <c r="AJ246" s="411"/>
      <c r="AK246" s="411"/>
    </row>
    <row r="247" spans="1:37" x14ac:dyDescent="0.15">
      <c r="A247" s="12" t="s">
        <v>495</v>
      </c>
      <c r="B247" s="13" t="s">
        <v>496</v>
      </c>
      <c r="C247" s="13" t="s">
        <v>27</v>
      </c>
      <c r="D247" s="13" t="s">
        <v>40</v>
      </c>
      <c r="E247" s="12" t="s">
        <v>112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/>
      <c r="O247" s="14"/>
      <c r="P247" s="15"/>
      <c r="Q247" s="15" t="s">
        <v>2982</v>
      </c>
      <c r="R247" s="16" t="s">
        <v>2982</v>
      </c>
      <c r="S247" s="16">
        <v>130488.16</v>
      </c>
      <c r="T247" s="16">
        <v>148603.31</v>
      </c>
      <c r="U247" s="16">
        <v>965490.84</v>
      </c>
      <c r="V247" s="16">
        <v>2375427.46</v>
      </c>
      <c r="W247" s="16">
        <v>1726741.74</v>
      </c>
      <c r="X247" s="16" t="s">
        <v>2982</v>
      </c>
      <c r="AA247" s="24"/>
      <c r="AB247" s="3"/>
      <c r="AC247" s="3"/>
      <c r="AD247" s="80"/>
      <c r="AE247" s="80"/>
      <c r="AF247" s="80"/>
      <c r="AG247" s="80"/>
      <c r="AH247" s="411"/>
      <c r="AI247" s="411"/>
      <c r="AJ247" s="411"/>
      <c r="AK247" s="411"/>
    </row>
    <row r="248" spans="1:37" x14ac:dyDescent="0.15">
      <c r="A248" s="12" t="s">
        <v>497</v>
      </c>
      <c r="B248" s="13" t="s">
        <v>498</v>
      </c>
      <c r="C248" s="13" t="s">
        <v>27</v>
      </c>
      <c r="D248" s="13" t="s">
        <v>40</v>
      </c>
      <c r="E248" s="12" t="s">
        <v>112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/>
      <c r="O248" s="14"/>
      <c r="P248" s="15"/>
      <c r="Q248" s="15" t="s">
        <v>2982</v>
      </c>
      <c r="R248" s="16" t="s">
        <v>2982</v>
      </c>
      <c r="S248" s="16">
        <v>205723.75</v>
      </c>
      <c r="T248" s="16">
        <v>343672.41</v>
      </c>
      <c r="U248" s="16">
        <v>2282891.84</v>
      </c>
      <c r="V248" s="16">
        <v>5363477.62</v>
      </c>
      <c r="W248" s="16">
        <v>3871215.38</v>
      </c>
      <c r="X248" s="16" t="s">
        <v>2982</v>
      </c>
      <c r="AA248" s="24"/>
      <c r="AB248" s="3"/>
      <c r="AC248" s="3"/>
      <c r="AD248" s="80"/>
      <c r="AE248" s="80"/>
      <c r="AF248" s="80"/>
      <c r="AG248" s="80"/>
      <c r="AH248" s="411"/>
      <c r="AI248" s="411"/>
      <c r="AJ248" s="411"/>
      <c r="AK248" s="411"/>
    </row>
    <row r="249" spans="1:37" x14ac:dyDescent="0.15">
      <c r="A249" s="681" t="s">
        <v>500</v>
      </c>
      <c r="B249" s="13" t="s">
        <v>501</v>
      </c>
      <c r="C249" s="13" t="s">
        <v>2630</v>
      </c>
      <c r="D249" s="13" t="s">
        <v>28</v>
      </c>
      <c r="E249" s="12" t="s">
        <v>29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/>
      <c r="O249" s="14"/>
      <c r="P249" s="15">
        <v>339333.03</v>
      </c>
      <c r="Q249" s="15">
        <v>2599635.7999999998</v>
      </c>
      <c r="R249" s="16">
        <v>818818.43</v>
      </c>
      <c r="S249" s="16" t="s">
        <v>2982</v>
      </c>
      <c r="T249" s="16" t="s">
        <v>2982</v>
      </c>
      <c r="U249" s="16" t="s">
        <v>2982</v>
      </c>
      <c r="V249" s="16" t="s">
        <v>2982</v>
      </c>
      <c r="W249" s="16" t="s">
        <v>2982</v>
      </c>
      <c r="X249" s="16" t="s">
        <v>2982</v>
      </c>
      <c r="AA249" s="24"/>
      <c r="AB249" s="3"/>
      <c r="AC249" s="3"/>
      <c r="AD249" s="80"/>
      <c r="AE249" s="80"/>
      <c r="AF249" s="80"/>
      <c r="AG249" s="80"/>
      <c r="AH249" s="411"/>
      <c r="AI249" s="411"/>
      <c r="AJ249" s="411"/>
      <c r="AK249" s="411"/>
    </row>
    <row r="250" spans="1:37" x14ac:dyDescent="0.15">
      <c r="A250" s="12" t="s">
        <v>502</v>
      </c>
      <c r="B250" s="13" t="s">
        <v>503</v>
      </c>
      <c r="C250" s="13" t="s">
        <v>2630</v>
      </c>
      <c r="D250" s="13" t="s">
        <v>28</v>
      </c>
      <c r="E250" s="12" t="s">
        <v>32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/>
      <c r="O250" s="14"/>
      <c r="P250" s="15">
        <v>1180071.6499999999</v>
      </c>
      <c r="Q250" s="15">
        <v>1106476.8600000001</v>
      </c>
      <c r="R250" s="16" t="s">
        <v>2982</v>
      </c>
      <c r="S250" s="16" t="s">
        <v>2982</v>
      </c>
      <c r="T250" s="16" t="s">
        <v>2982</v>
      </c>
      <c r="U250" s="16" t="s">
        <v>2982</v>
      </c>
      <c r="V250" s="16" t="s">
        <v>2982</v>
      </c>
      <c r="W250" s="16" t="s">
        <v>2982</v>
      </c>
      <c r="X250" s="16" t="s">
        <v>2982</v>
      </c>
      <c r="AA250" s="24"/>
      <c r="AB250" s="3"/>
      <c r="AC250" s="3"/>
      <c r="AD250" s="80"/>
      <c r="AE250" s="80"/>
      <c r="AF250" s="80"/>
      <c r="AG250" s="80"/>
      <c r="AH250" s="411"/>
      <c r="AI250" s="411"/>
      <c r="AJ250" s="411"/>
      <c r="AK250" s="411"/>
    </row>
    <row r="251" spans="1:37" x14ac:dyDescent="0.15">
      <c r="A251" s="12" t="s">
        <v>504</v>
      </c>
      <c r="B251" s="13" t="s">
        <v>505</v>
      </c>
      <c r="C251" s="13" t="s">
        <v>2630</v>
      </c>
      <c r="D251" s="13" t="s">
        <v>28</v>
      </c>
      <c r="E251" s="12" t="s">
        <v>32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/>
      <c r="O251" s="14"/>
      <c r="P251" s="15">
        <v>1394966.12</v>
      </c>
      <c r="Q251" s="15">
        <v>350484.65</v>
      </c>
      <c r="R251" s="16" t="s">
        <v>2982</v>
      </c>
      <c r="S251" s="16" t="s">
        <v>2982</v>
      </c>
      <c r="T251" s="16" t="s">
        <v>2982</v>
      </c>
      <c r="U251" s="16" t="s">
        <v>2982</v>
      </c>
      <c r="V251" s="16" t="s">
        <v>2982</v>
      </c>
      <c r="W251" s="16" t="s">
        <v>2982</v>
      </c>
      <c r="X251" s="16" t="s">
        <v>2982</v>
      </c>
      <c r="AA251" s="24"/>
      <c r="AB251" s="3"/>
      <c r="AC251" s="3"/>
      <c r="AD251" s="80"/>
      <c r="AE251" s="80"/>
      <c r="AF251" s="80"/>
      <c r="AG251" s="80"/>
      <c r="AH251" s="411"/>
      <c r="AI251" s="411"/>
      <c r="AJ251" s="411"/>
      <c r="AK251" s="411"/>
    </row>
    <row r="252" spans="1:37" x14ac:dyDescent="0.15">
      <c r="A252" s="12" t="s">
        <v>508</v>
      </c>
      <c r="B252" s="13" t="s">
        <v>2387</v>
      </c>
      <c r="C252" s="13" t="s">
        <v>2983</v>
      </c>
      <c r="D252" s="13" t="s">
        <v>54</v>
      </c>
      <c r="E252" s="12" t="s">
        <v>112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/>
      <c r="O252" s="14"/>
      <c r="P252" s="15"/>
      <c r="Q252" s="15" t="s">
        <v>2982</v>
      </c>
      <c r="R252" s="16" t="s">
        <v>2982</v>
      </c>
      <c r="S252" s="16" t="s">
        <v>2982</v>
      </c>
      <c r="T252" s="16">
        <v>152419.88</v>
      </c>
      <c r="U252" s="16">
        <v>1564462.22</v>
      </c>
      <c r="V252" s="16">
        <v>4546.8100000000004</v>
      </c>
      <c r="W252" s="16" t="s">
        <v>2982</v>
      </c>
      <c r="X252" s="16" t="s">
        <v>2982</v>
      </c>
      <c r="AA252" s="24"/>
      <c r="AB252" s="3"/>
      <c r="AC252" s="3"/>
      <c r="AD252" s="80"/>
      <c r="AE252" s="80"/>
      <c r="AF252" s="80"/>
      <c r="AG252" s="80"/>
      <c r="AH252" s="411"/>
      <c r="AI252" s="411"/>
      <c r="AJ252" s="411"/>
      <c r="AK252" s="411"/>
    </row>
    <row r="253" spans="1:37" x14ac:dyDescent="0.15">
      <c r="A253" s="12" t="s">
        <v>510</v>
      </c>
      <c r="B253" s="13" t="s">
        <v>511</v>
      </c>
      <c r="C253" s="13" t="s">
        <v>27</v>
      </c>
      <c r="D253" s="13" t="s">
        <v>40</v>
      </c>
      <c r="E253" s="12" t="s">
        <v>112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/>
      <c r="O253" s="14"/>
      <c r="P253" s="15"/>
      <c r="Q253" s="15" t="s">
        <v>2982</v>
      </c>
      <c r="R253" s="16" t="s">
        <v>2982</v>
      </c>
      <c r="S253" s="16">
        <v>32951</v>
      </c>
      <c r="T253" s="16">
        <v>80807.360000000001</v>
      </c>
      <c r="U253" s="16">
        <v>544329.03</v>
      </c>
      <c r="V253" s="16">
        <v>509090.85</v>
      </c>
      <c r="W253" s="16" t="s">
        <v>2982</v>
      </c>
      <c r="X253" s="16" t="s">
        <v>2982</v>
      </c>
      <c r="AA253" s="24"/>
      <c r="AB253" s="3"/>
      <c r="AC253" s="3"/>
      <c r="AD253" s="80"/>
      <c r="AE253" s="80"/>
      <c r="AF253" s="80"/>
      <c r="AG253" s="80"/>
      <c r="AH253" s="411"/>
      <c r="AI253" s="411"/>
      <c r="AJ253" s="411"/>
      <c r="AK253" s="411"/>
    </row>
    <row r="254" spans="1:37" x14ac:dyDescent="0.15">
      <c r="A254" s="12" t="s">
        <v>512</v>
      </c>
      <c r="B254" s="13" t="s">
        <v>513</v>
      </c>
      <c r="C254" s="13" t="s">
        <v>27</v>
      </c>
      <c r="D254" s="13" t="s">
        <v>40</v>
      </c>
      <c r="E254" s="12" t="s">
        <v>112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/>
      <c r="O254" s="14"/>
      <c r="P254" s="15"/>
      <c r="Q254" s="15" t="s">
        <v>2982</v>
      </c>
      <c r="R254" s="16">
        <v>72656.08</v>
      </c>
      <c r="S254" s="16">
        <v>513967.7</v>
      </c>
      <c r="T254" s="16">
        <v>4556348.0599999996</v>
      </c>
      <c r="U254" s="16">
        <v>4696914.28</v>
      </c>
      <c r="V254" s="16">
        <v>311246.95</v>
      </c>
      <c r="W254" s="16" t="s">
        <v>2982</v>
      </c>
      <c r="X254" s="16" t="s">
        <v>2982</v>
      </c>
      <c r="AA254" s="24"/>
      <c r="AB254" s="3"/>
      <c r="AC254" s="3"/>
      <c r="AD254" s="80"/>
      <c r="AE254" s="80"/>
      <c r="AF254" s="80"/>
      <c r="AG254" s="80"/>
      <c r="AH254" s="411"/>
      <c r="AI254" s="411"/>
      <c r="AJ254" s="411"/>
      <c r="AK254" s="411"/>
    </row>
    <row r="255" spans="1:37" x14ac:dyDescent="0.15">
      <c r="A255" s="12" t="s">
        <v>514</v>
      </c>
      <c r="B255" s="13" t="s">
        <v>515</v>
      </c>
      <c r="C255" s="13" t="s">
        <v>27</v>
      </c>
      <c r="D255" s="13" t="s">
        <v>40</v>
      </c>
      <c r="E255" s="12" t="s">
        <v>112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/>
      <c r="O255" s="14"/>
      <c r="P255" s="15"/>
      <c r="Q255" s="15" t="s">
        <v>2982</v>
      </c>
      <c r="R255" s="16">
        <v>1360278.0630000001</v>
      </c>
      <c r="S255" s="16">
        <v>253386.25</v>
      </c>
      <c r="T255" s="16">
        <v>3688433.51</v>
      </c>
      <c r="U255" s="16">
        <v>3314753.59</v>
      </c>
      <c r="V255" s="16" t="s">
        <v>2982</v>
      </c>
      <c r="W255" s="16" t="s">
        <v>2982</v>
      </c>
      <c r="X255" s="16" t="s">
        <v>2982</v>
      </c>
      <c r="AA255" s="24"/>
      <c r="AB255" s="3"/>
      <c r="AC255" s="3"/>
      <c r="AD255" s="80"/>
      <c r="AE255" s="80"/>
      <c r="AF255" s="80"/>
      <c r="AG255" s="80"/>
      <c r="AH255" s="411"/>
      <c r="AI255" s="411"/>
      <c r="AJ255" s="411"/>
      <c r="AK255" s="411"/>
    </row>
    <row r="256" spans="1:37" x14ac:dyDescent="0.15">
      <c r="A256" s="12" t="s">
        <v>518</v>
      </c>
      <c r="B256" s="13" t="s">
        <v>2388</v>
      </c>
      <c r="C256" s="13" t="s">
        <v>27</v>
      </c>
      <c r="D256" s="13" t="s">
        <v>40</v>
      </c>
      <c r="E256" s="12" t="s">
        <v>112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/>
      <c r="O256" s="14"/>
      <c r="P256" s="15"/>
      <c r="Q256" s="15" t="s">
        <v>2982</v>
      </c>
      <c r="R256" s="16" t="s">
        <v>2982</v>
      </c>
      <c r="S256" s="16">
        <v>1277907.29</v>
      </c>
      <c r="T256" s="16">
        <v>1678205.36</v>
      </c>
      <c r="U256" s="16" t="s">
        <v>2982</v>
      </c>
      <c r="V256" s="16" t="s">
        <v>2982</v>
      </c>
      <c r="W256" s="16" t="s">
        <v>2982</v>
      </c>
      <c r="X256" s="16" t="s">
        <v>2982</v>
      </c>
      <c r="AA256" s="24"/>
      <c r="AB256" s="3"/>
      <c r="AC256" s="3"/>
      <c r="AD256" s="80"/>
      <c r="AE256" s="80"/>
      <c r="AF256" s="80"/>
      <c r="AG256" s="80"/>
      <c r="AH256" s="411"/>
      <c r="AI256" s="411"/>
      <c r="AJ256" s="411"/>
      <c r="AK256" s="411"/>
    </row>
    <row r="257" spans="1:37" x14ac:dyDescent="0.15">
      <c r="A257" s="12" t="s">
        <v>520</v>
      </c>
      <c r="B257" s="13" t="s">
        <v>521</v>
      </c>
      <c r="C257" s="13" t="s">
        <v>27</v>
      </c>
      <c r="D257" s="13" t="s">
        <v>54</v>
      </c>
      <c r="E257" s="12" t="s">
        <v>29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/>
      <c r="O257" s="14"/>
      <c r="P257" s="15"/>
      <c r="Q257" s="15">
        <v>70129.34</v>
      </c>
      <c r="R257" s="16">
        <v>879184.43</v>
      </c>
      <c r="S257" s="16">
        <v>51729.31</v>
      </c>
      <c r="T257" s="16" t="s">
        <v>2982</v>
      </c>
      <c r="U257" s="16" t="s">
        <v>2982</v>
      </c>
      <c r="V257" s="16" t="s">
        <v>2982</v>
      </c>
      <c r="W257" s="16" t="s">
        <v>2982</v>
      </c>
      <c r="X257" s="16" t="s">
        <v>2982</v>
      </c>
      <c r="AA257" s="24"/>
      <c r="AB257" s="3"/>
      <c r="AC257" s="3"/>
      <c r="AD257" s="80"/>
      <c r="AE257" s="80"/>
      <c r="AF257" s="80"/>
      <c r="AG257" s="80"/>
      <c r="AH257" s="411"/>
      <c r="AI257" s="411"/>
      <c r="AJ257" s="411"/>
      <c r="AK257" s="411"/>
    </row>
    <row r="258" spans="1:37" x14ac:dyDescent="0.15">
      <c r="A258" s="12" t="s">
        <v>523</v>
      </c>
      <c r="B258" s="13" t="s">
        <v>524</v>
      </c>
      <c r="C258" s="13" t="s">
        <v>27</v>
      </c>
      <c r="D258" s="13" t="s">
        <v>55</v>
      </c>
      <c r="E258" s="12" t="s">
        <v>32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/>
      <c r="O258" s="14"/>
      <c r="P258" s="15">
        <v>257898.37</v>
      </c>
      <c r="Q258" s="15">
        <v>53481.43</v>
      </c>
      <c r="R258" s="16" t="s">
        <v>2982</v>
      </c>
      <c r="S258" s="16" t="s">
        <v>2982</v>
      </c>
      <c r="T258" s="16" t="s">
        <v>2982</v>
      </c>
      <c r="U258" s="16" t="s">
        <v>2982</v>
      </c>
      <c r="V258" s="16" t="s">
        <v>2982</v>
      </c>
      <c r="W258" s="16" t="s">
        <v>2982</v>
      </c>
      <c r="X258" s="16" t="s">
        <v>2982</v>
      </c>
      <c r="AA258" s="24"/>
      <c r="AB258" s="3"/>
      <c r="AC258" s="3"/>
      <c r="AD258" s="80"/>
      <c r="AE258" s="80"/>
      <c r="AF258" s="80"/>
      <c r="AG258" s="80"/>
      <c r="AH258" s="411"/>
      <c r="AI258" s="411"/>
      <c r="AJ258" s="411"/>
      <c r="AK258" s="411"/>
    </row>
    <row r="259" spans="1:37" x14ac:dyDescent="0.15">
      <c r="A259" s="12" t="s">
        <v>526</v>
      </c>
      <c r="B259" s="13" t="s">
        <v>527</v>
      </c>
      <c r="C259" s="13" t="s">
        <v>27</v>
      </c>
      <c r="D259" s="13" t="s">
        <v>54</v>
      </c>
      <c r="E259" s="12" t="s">
        <v>112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/>
      <c r="O259" s="14"/>
      <c r="P259" s="15"/>
      <c r="Q259" s="15">
        <v>40611.67</v>
      </c>
      <c r="R259" s="16">
        <v>1658748.1500000001</v>
      </c>
      <c r="S259" s="16">
        <v>3215504.06</v>
      </c>
      <c r="T259" s="16" t="s">
        <v>2982</v>
      </c>
      <c r="U259" s="16" t="s">
        <v>2982</v>
      </c>
      <c r="V259" s="16" t="s">
        <v>2982</v>
      </c>
      <c r="W259" s="16" t="s">
        <v>2982</v>
      </c>
      <c r="X259" s="16" t="s">
        <v>2982</v>
      </c>
      <c r="AA259" s="24"/>
      <c r="AB259" s="3"/>
      <c r="AC259" s="3"/>
      <c r="AD259" s="80"/>
      <c r="AE259" s="80"/>
      <c r="AF259" s="80"/>
      <c r="AG259" s="80"/>
      <c r="AH259" s="411"/>
      <c r="AI259" s="411"/>
      <c r="AJ259" s="411"/>
      <c r="AK259" s="411"/>
    </row>
    <row r="260" spans="1:37" x14ac:dyDescent="0.15">
      <c r="A260" s="12" t="s">
        <v>528</v>
      </c>
      <c r="B260" s="13" t="s">
        <v>529</v>
      </c>
      <c r="C260" s="13" t="s">
        <v>27</v>
      </c>
      <c r="D260" s="13" t="s">
        <v>36</v>
      </c>
      <c r="E260" s="12" t="s">
        <v>29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/>
      <c r="O260" s="14"/>
      <c r="P260" s="15"/>
      <c r="Q260" s="15">
        <v>172282.23999999999</v>
      </c>
      <c r="R260" s="16">
        <v>18262.05</v>
      </c>
      <c r="S260" s="16" t="s">
        <v>2982</v>
      </c>
      <c r="T260" s="16" t="s">
        <v>2982</v>
      </c>
      <c r="U260" s="16" t="s">
        <v>2982</v>
      </c>
      <c r="V260" s="16" t="s">
        <v>2982</v>
      </c>
      <c r="W260" s="16" t="s">
        <v>2982</v>
      </c>
      <c r="X260" s="16" t="s">
        <v>2982</v>
      </c>
      <c r="AA260" s="24"/>
      <c r="AB260" s="3"/>
      <c r="AC260" s="3"/>
      <c r="AD260" s="80"/>
      <c r="AE260" s="80"/>
      <c r="AF260" s="80"/>
      <c r="AG260" s="80"/>
      <c r="AH260" s="411"/>
      <c r="AI260" s="411"/>
      <c r="AJ260" s="411"/>
      <c r="AK260" s="411"/>
    </row>
    <row r="261" spans="1:37" x14ac:dyDescent="0.15">
      <c r="A261" s="12" t="s">
        <v>530</v>
      </c>
      <c r="B261" s="13" t="s">
        <v>531</v>
      </c>
      <c r="C261" s="13" t="s">
        <v>27</v>
      </c>
      <c r="D261" s="13" t="s">
        <v>36</v>
      </c>
      <c r="E261" s="12" t="s">
        <v>29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/>
      <c r="O261" s="14"/>
      <c r="P261" s="15"/>
      <c r="Q261" s="15">
        <v>125456.3</v>
      </c>
      <c r="R261" s="16">
        <v>8624.1900000000023</v>
      </c>
      <c r="S261" s="16" t="s">
        <v>2982</v>
      </c>
      <c r="T261" s="16" t="s">
        <v>2982</v>
      </c>
      <c r="U261" s="16" t="s">
        <v>2982</v>
      </c>
      <c r="V261" s="16" t="s">
        <v>2982</v>
      </c>
      <c r="W261" s="16" t="s">
        <v>2982</v>
      </c>
      <c r="X261" s="16" t="s">
        <v>2982</v>
      </c>
      <c r="AA261" s="24"/>
      <c r="AB261" s="3"/>
      <c r="AC261" s="3"/>
      <c r="AD261" s="80"/>
      <c r="AE261" s="80"/>
      <c r="AF261" s="80"/>
      <c r="AG261" s="80"/>
      <c r="AH261" s="411"/>
      <c r="AI261" s="411"/>
      <c r="AJ261" s="411"/>
      <c r="AK261" s="411"/>
    </row>
    <row r="262" spans="1:37" x14ac:dyDescent="0.15">
      <c r="A262" s="12" t="s">
        <v>532</v>
      </c>
      <c r="B262" s="13" t="s">
        <v>2389</v>
      </c>
      <c r="C262" s="13" t="s">
        <v>27</v>
      </c>
      <c r="D262" s="13" t="s">
        <v>36</v>
      </c>
      <c r="E262" s="12" t="s">
        <v>32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/>
      <c r="O262" s="14"/>
      <c r="P262" s="15">
        <v>111682.87</v>
      </c>
      <c r="Q262" s="15">
        <v>29039.79</v>
      </c>
      <c r="R262" s="16" t="s">
        <v>2982</v>
      </c>
      <c r="S262" s="16" t="s">
        <v>2982</v>
      </c>
      <c r="T262" s="16" t="s">
        <v>2982</v>
      </c>
      <c r="U262" s="16" t="s">
        <v>2982</v>
      </c>
      <c r="V262" s="16" t="s">
        <v>2982</v>
      </c>
      <c r="W262" s="16" t="s">
        <v>2982</v>
      </c>
      <c r="X262" s="16" t="s">
        <v>2982</v>
      </c>
      <c r="AA262" s="24"/>
      <c r="AB262" s="3"/>
      <c r="AC262" s="3"/>
      <c r="AD262" s="80"/>
      <c r="AE262" s="80"/>
      <c r="AF262" s="80"/>
      <c r="AG262" s="80"/>
      <c r="AH262" s="411"/>
      <c r="AI262" s="411"/>
      <c r="AJ262" s="411"/>
      <c r="AK262" s="411"/>
    </row>
    <row r="263" spans="1:37" x14ac:dyDescent="0.15">
      <c r="A263" s="12" t="s">
        <v>534</v>
      </c>
      <c r="B263" s="13" t="s">
        <v>535</v>
      </c>
      <c r="C263" s="13" t="s">
        <v>27</v>
      </c>
      <c r="D263" s="13" t="s">
        <v>36</v>
      </c>
      <c r="E263" s="12" t="s">
        <v>112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/>
      <c r="O263" s="14"/>
      <c r="P263" s="15"/>
      <c r="Q263" s="15" t="s">
        <v>2982</v>
      </c>
      <c r="R263" s="16" t="s">
        <v>2982</v>
      </c>
      <c r="S263" s="16">
        <v>349198.91</v>
      </c>
      <c r="T263" s="16">
        <v>209080.93</v>
      </c>
      <c r="U263" s="16" t="s">
        <v>2982</v>
      </c>
      <c r="V263" s="16" t="s">
        <v>2982</v>
      </c>
      <c r="W263" s="16" t="s">
        <v>2982</v>
      </c>
      <c r="X263" s="16" t="s">
        <v>2982</v>
      </c>
      <c r="AA263" s="24"/>
      <c r="AB263" s="3"/>
      <c r="AC263" s="3"/>
      <c r="AD263" s="80"/>
      <c r="AE263" s="80"/>
      <c r="AF263" s="80"/>
      <c r="AG263" s="80"/>
      <c r="AH263" s="411"/>
      <c r="AI263" s="411"/>
      <c r="AJ263" s="411"/>
      <c r="AK263" s="411"/>
    </row>
    <row r="264" spans="1:37" x14ac:dyDescent="0.15">
      <c r="A264" s="12" t="s">
        <v>536</v>
      </c>
      <c r="B264" s="13" t="s">
        <v>537</v>
      </c>
      <c r="C264" s="13" t="s">
        <v>27</v>
      </c>
      <c r="D264" s="13" t="s">
        <v>36</v>
      </c>
      <c r="E264" s="12" t="s">
        <v>112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/>
      <c r="O264" s="14"/>
      <c r="P264" s="15"/>
      <c r="Q264" s="15" t="s">
        <v>2982</v>
      </c>
      <c r="R264" s="16" t="s">
        <v>2982</v>
      </c>
      <c r="S264" s="16" t="s">
        <v>2982</v>
      </c>
      <c r="T264" s="16">
        <v>441089.5</v>
      </c>
      <c r="U264" s="16">
        <v>130355.43</v>
      </c>
      <c r="V264" s="16" t="s">
        <v>2982</v>
      </c>
      <c r="W264" s="16" t="s">
        <v>2982</v>
      </c>
      <c r="X264" s="16" t="s">
        <v>2982</v>
      </c>
      <c r="AA264" s="24"/>
      <c r="AB264" s="3"/>
      <c r="AC264" s="3"/>
      <c r="AD264" s="80"/>
      <c r="AE264" s="80"/>
      <c r="AF264" s="80"/>
      <c r="AG264" s="80"/>
      <c r="AH264" s="411"/>
      <c r="AI264" s="411"/>
      <c r="AJ264" s="411"/>
      <c r="AK264" s="411"/>
    </row>
    <row r="265" spans="1:37" x14ac:dyDescent="0.15">
      <c r="A265" s="12" t="s">
        <v>538</v>
      </c>
      <c r="B265" s="13" t="s">
        <v>539</v>
      </c>
      <c r="C265" s="13" t="s">
        <v>27</v>
      </c>
      <c r="D265" s="13" t="s">
        <v>36</v>
      </c>
      <c r="E265" s="12" t="s">
        <v>112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/>
      <c r="O265" s="14"/>
      <c r="P265" s="15"/>
      <c r="Q265" s="15" t="s">
        <v>2982</v>
      </c>
      <c r="R265" s="16" t="s">
        <v>2982</v>
      </c>
      <c r="S265" s="16" t="s">
        <v>2982</v>
      </c>
      <c r="T265" s="16" t="s">
        <v>2982</v>
      </c>
      <c r="U265" s="16">
        <v>396665.2</v>
      </c>
      <c r="V265" s="16">
        <v>185190.35</v>
      </c>
      <c r="W265" s="16" t="s">
        <v>2982</v>
      </c>
      <c r="X265" s="16" t="s">
        <v>2982</v>
      </c>
      <c r="AA265" s="24"/>
      <c r="AB265" s="3"/>
      <c r="AC265" s="3"/>
      <c r="AD265" s="80"/>
      <c r="AE265" s="80"/>
      <c r="AF265" s="80"/>
      <c r="AG265" s="80"/>
      <c r="AH265" s="411"/>
      <c r="AI265" s="411"/>
      <c r="AJ265" s="411"/>
      <c r="AK265" s="411"/>
    </row>
    <row r="266" spans="1:37" x14ac:dyDescent="0.15">
      <c r="A266" s="12" t="s">
        <v>541</v>
      </c>
      <c r="B266" s="13" t="s">
        <v>542</v>
      </c>
      <c r="C266" s="13" t="s">
        <v>27</v>
      </c>
      <c r="D266" s="13" t="s">
        <v>54</v>
      </c>
      <c r="E266" s="12" t="s">
        <v>112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/>
      <c r="O266" s="14"/>
      <c r="P266" s="15"/>
      <c r="Q266" s="15" t="s">
        <v>2982</v>
      </c>
      <c r="R266" s="16" t="s">
        <v>2982</v>
      </c>
      <c r="S266" s="16">
        <v>106802.46</v>
      </c>
      <c r="T266" s="16">
        <v>1226969.43</v>
      </c>
      <c r="U266" s="16">
        <v>97897.51</v>
      </c>
      <c r="V266" s="16" t="s">
        <v>2982</v>
      </c>
      <c r="W266" s="16" t="s">
        <v>2982</v>
      </c>
      <c r="X266" s="16" t="s">
        <v>2982</v>
      </c>
      <c r="AA266" s="24"/>
      <c r="AB266" s="3"/>
      <c r="AC266" s="3"/>
      <c r="AD266" s="80"/>
      <c r="AE266" s="80"/>
      <c r="AF266" s="80"/>
      <c r="AG266" s="80"/>
      <c r="AH266" s="411"/>
      <c r="AI266" s="411"/>
      <c r="AJ266" s="411"/>
      <c r="AK266" s="411"/>
    </row>
    <row r="267" spans="1:37" x14ac:dyDescent="0.15">
      <c r="A267" s="12" t="s">
        <v>543</v>
      </c>
      <c r="B267" s="13" t="s">
        <v>544</v>
      </c>
      <c r="C267" s="13" t="s">
        <v>27</v>
      </c>
      <c r="D267" s="13" t="s">
        <v>36</v>
      </c>
      <c r="E267" s="12" t="s">
        <v>112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/>
      <c r="O267" s="14"/>
      <c r="P267" s="15"/>
      <c r="Q267" s="15" t="s">
        <v>2982</v>
      </c>
      <c r="R267" s="16" t="s">
        <v>2982</v>
      </c>
      <c r="S267" s="16" t="s">
        <v>2982</v>
      </c>
      <c r="T267" s="16" t="s">
        <v>2982</v>
      </c>
      <c r="U267" s="16" t="s">
        <v>2982</v>
      </c>
      <c r="V267" s="16" t="s">
        <v>2982</v>
      </c>
      <c r="W267" s="16">
        <v>133152.53</v>
      </c>
      <c r="X267" s="16">
        <v>73.48</v>
      </c>
      <c r="AA267" s="24"/>
      <c r="AB267" s="3"/>
      <c r="AC267" s="3"/>
      <c r="AD267" s="80"/>
      <c r="AE267" s="80"/>
      <c r="AF267" s="80"/>
      <c r="AG267" s="80"/>
      <c r="AH267" s="411"/>
      <c r="AI267" s="411"/>
      <c r="AJ267" s="411"/>
      <c r="AK267" s="411"/>
    </row>
    <row r="268" spans="1:37" x14ac:dyDescent="0.15">
      <c r="A268" s="12" t="s">
        <v>545</v>
      </c>
      <c r="B268" s="13" t="s">
        <v>546</v>
      </c>
      <c r="C268" s="13" t="s">
        <v>27</v>
      </c>
      <c r="D268" s="13" t="s">
        <v>40</v>
      </c>
      <c r="E268" s="12" t="s">
        <v>29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/>
      <c r="O268" s="14"/>
      <c r="P268" s="15"/>
      <c r="Q268" s="15">
        <v>125770.66</v>
      </c>
      <c r="R268" s="16">
        <v>706588.80999999994</v>
      </c>
      <c r="S268" s="16">
        <v>50427.38</v>
      </c>
      <c r="T268" s="16" t="s">
        <v>2982</v>
      </c>
      <c r="U268" s="16" t="s">
        <v>2982</v>
      </c>
      <c r="V268" s="16" t="s">
        <v>2982</v>
      </c>
      <c r="W268" s="16" t="s">
        <v>2982</v>
      </c>
      <c r="X268" s="16" t="s">
        <v>2982</v>
      </c>
      <c r="AA268" s="24"/>
      <c r="AB268" s="3"/>
      <c r="AC268" s="3"/>
      <c r="AD268" s="80"/>
      <c r="AE268" s="80"/>
      <c r="AF268" s="80"/>
      <c r="AG268" s="80"/>
      <c r="AH268" s="411"/>
      <c r="AI268" s="411"/>
      <c r="AJ268" s="411"/>
      <c r="AK268" s="411"/>
    </row>
    <row r="269" spans="1:37" x14ac:dyDescent="0.15">
      <c r="A269" s="12" t="s">
        <v>547</v>
      </c>
      <c r="B269" s="13" t="s">
        <v>548</v>
      </c>
      <c r="C269" s="13" t="s">
        <v>27</v>
      </c>
      <c r="D269" s="13" t="s">
        <v>40</v>
      </c>
      <c r="E269" s="12" t="s">
        <v>112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/>
      <c r="O269" s="14"/>
      <c r="P269" s="15"/>
      <c r="Q269" s="15" t="s">
        <v>2982</v>
      </c>
      <c r="R269" s="16" t="s">
        <v>2982</v>
      </c>
      <c r="S269" s="16">
        <v>48285.34</v>
      </c>
      <c r="T269" s="16">
        <v>116614.61</v>
      </c>
      <c r="U269" s="16">
        <v>338799.63</v>
      </c>
      <c r="V269" s="16">
        <v>867724.99</v>
      </c>
      <c r="W269" s="16">
        <v>611525.5</v>
      </c>
      <c r="X269" s="16" t="s">
        <v>2982</v>
      </c>
      <c r="AA269" s="24"/>
      <c r="AB269" s="3"/>
      <c r="AC269" s="3"/>
      <c r="AD269" s="80"/>
      <c r="AE269" s="80"/>
      <c r="AF269" s="80"/>
      <c r="AG269" s="80"/>
      <c r="AH269" s="411"/>
      <c r="AI269" s="411"/>
      <c r="AJ269" s="411"/>
      <c r="AK269" s="411"/>
    </row>
    <row r="270" spans="1:37" x14ac:dyDescent="0.15">
      <c r="A270" s="12" t="s">
        <v>549</v>
      </c>
      <c r="B270" s="13" t="s">
        <v>224</v>
      </c>
      <c r="C270" s="13" t="s">
        <v>27</v>
      </c>
      <c r="D270" s="13" t="s">
        <v>40</v>
      </c>
      <c r="E270" s="12" t="s">
        <v>112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/>
      <c r="O270" s="14"/>
      <c r="P270" s="15"/>
      <c r="Q270" s="15" t="s">
        <v>2982</v>
      </c>
      <c r="R270" s="16" t="s">
        <v>2982</v>
      </c>
      <c r="S270" s="16">
        <v>303240.56</v>
      </c>
      <c r="T270" s="16">
        <v>1683258.7</v>
      </c>
      <c r="U270" s="16">
        <v>1632110.54</v>
      </c>
      <c r="V270" s="16" t="s">
        <v>2982</v>
      </c>
      <c r="W270" s="16" t="s">
        <v>2982</v>
      </c>
      <c r="X270" s="16" t="s">
        <v>2982</v>
      </c>
      <c r="AA270" s="24"/>
      <c r="AB270" s="3"/>
      <c r="AC270" s="3"/>
      <c r="AD270" s="80"/>
      <c r="AE270" s="80"/>
      <c r="AF270" s="80"/>
      <c r="AG270" s="80"/>
      <c r="AH270" s="411"/>
      <c r="AI270" s="411"/>
      <c r="AJ270" s="411"/>
      <c r="AK270" s="411"/>
    </row>
    <row r="271" spans="1:37" x14ac:dyDescent="0.15">
      <c r="A271" s="12" t="s">
        <v>550</v>
      </c>
      <c r="B271" s="13" t="s">
        <v>551</v>
      </c>
      <c r="C271" s="13" t="s">
        <v>27</v>
      </c>
      <c r="D271" s="13" t="s">
        <v>54</v>
      </c>
      <c r="E271" s="12" t="s">
        <v>112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/>
      <c r="O271" s="14"/>
      <c r="P271" s="15"/>
      <c r="Q271" s="15" t="s">
        <v>2982</v>
      </c>
      <c r="R271" s="16">
        <v>277152.8</v>
      </c>
      <c r="S271" s="16">
        <v>2809952.56</v>
      </c>
      <c r="T271" s="16">
        <v>4018680.46</v>
      </c>
      <c r="U271" s="16" t="s">
        <v>2982</v>
      </c>
      <c r="V271" s="16" t="s">
        <v>2982</v>
      </c>
      <c r="W271" s="16" t="s">
        <v>2982</v>
      </c>
      <c r="X271" s="16" t="s">
        <v>2982</v>
      </c>
      <c r="AA271" s="24"/>
      <c r="AB271" s="3"/>
      <c r="AC271" s="3"/>
      <c r="AD271" s="80"/>
      <c r="AE271" s="80"/>
      <c r="AF271" s="80"/>
      <c r="AG271" s="80"/>
      <c r="AH271" s="411"/>
      <c r="AI271" s="411"/>
      <c r="AJ271" s="411"/>
      <c r="AK271" s="411"/>
    </row>
    <row r="272" spans="1:37" x14ac:dyDescent="0.15">
      <c r="A272" s="12" t="s">
        <v>554</v>
      </c>
      <c r="B272" s="13" t="s">
        <v>555</v>
      </c>
      <c r="C272" s="13" t="s">
        <v>27</v>
      </c>
      <c r="D272" s="13" t="s">
        <v>54</v>
      </c>
      <c r="E272" s="12" t="s">
        <v>112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/>
      <c r="O272" s="14"/>
      <c r="P272" s="15"/>
      <c r="Q272" s="15" t="s">
        <v>2982</v>
      </c>
      <c r="R272" s="16" t="s">
        <v>2982</v>
      </c>
      <c r="S272" s="16" t="s">
        <v>2982</v>
      </c>
      <c r="T272" s="16" t="s">
        <v>2982</v>
      </c>
      <c r="U272" s="16">
        <v>42939.83</v>
      </c>
      <c r="V272" s="16">
        <v>138636.95000000001</v>
      </c>
      <c r="W272" s="16">
        <v>747202.11</v>
      </c>
      <c r="X272" s="16" t="s">
        <v>2982</v>
      </c>
      <c r="AA272" s="24"/>
      <c r="AB272" s="3"/>
      <c r="AC272" s="3"/>
      <c r="AD272" s="80"/>
      <c r="AE272" s="80"/>
      <c r="AF272" s="80"/>
      <c r="AG272" s="80"/>
      <c r="AH272" s="411"/>
      <c r="AI272" s="411"/>
      <c r="AJ272" s="411"/>
      <c r="AK272" s="411"/>
    </row>
    <row r="273" spans="1:37" x14ac:dyDescent="0.15">
      <c r="A273" s="12" t="s">
        <v>556</v>
      </c>
      <c r="B273" s="13" t="s">
        <v>557</v>
      </c>
      <c r="C273" s="13" t="s">
        <v>27</v>
      </c>
      <c r="D273" s="13" t="s">
        <v>40</v>
      </c>
      <c r="E273" s="12" t="s">
        <v>112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/>
      <c r="O273" s="14"/>
      <c r="P273" s="15"/>
      <c r="Q273" s="15" t="s">
        <v>2982</v>
      </c>
      <c r="R273" s="16" t="s">
        <v>2982</v>
      </c>
      <c r="S273" s="16">
        <v>28884.11</v>
      </c>
      <c r="T273" s="16">
        <v>100700.23</v>
      </c>
      <c r="U273" s="16">
        <v>619717.66</v>
      </c>
      <c r="V273" s="16">
        <v>576630.94999999995</v>
      </c>
      <c r="W273" s="16" t="s">
        <v>2982</v>
      </c>
      <c r="X273" s="16" t="s">
        <v>2982</v>
      </c>
      <c r="AA273" s="24"/>
      <c r="AB273" s="3"/>
      <c r="AC273" s="3"/>
      <c r="AD273" s="80"/>
      <c r="AE273" s="80"/>
      <c r="AF273" s="80"/>
      <c r="AG273" s="80"/>
      <c r="AH273" s="411"/>
      <c r="AI273" s="411"/>
      <c r="AJ273" s="411"/>
      <c r="AK273" s="411"/>
    </row>
    <row r="274" spans="1:37" x14ac:dyDescent="0.15">
      <c r="A274" s="12" t="s">
        <v>558</v>
      </c>
      <c r="B274" s="13" t="s">
        <v>559</v>
      </c>
      <c r="C274" s="13" t="s">
        <v>27</v>
      </c>
      <c r="D274" s="13" t="s">
        <v>41</v>
      </c>
      <c r="E274" s="12" t="s">
        <v>112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/>
      <c r="O274" s="14"/>
      <c r="P274" s="15"/>
      <c r="Q274" s="15" t="s">
        <v>2982</v>
      </c>
      <c r="R274" s="16" t="s">
        <v>2982</v>
      </c>
      <c r="S274" s="16">
        <v>831071.34</v>
      </c>
      <c r="T274" s="16">
        <v>2291403.5499999998</v>
      </c>
      <c r="U274" s="16">
        <v>2313405.52</v>
      </c>
      <c r="V274" s="16">
        <v>2373851.1800000002</v>
      </c>
      <c r="W274" s="16">
        <v>1560592.83</v>
      </c>
      <c r="X274" s="16" t="s">
        <v>2982</v>
      </c>
      <c r="AA274" s="24"/>
      <c r="AB274" s="3"/>
      <c r="AC274" s="3"/>
      <c r="AD274" s="80"/>
      <c r="AE274" s="80"/>
      <c r="AF274" s="80"/>
      <c r="AG274" s="80"/>
      <c r="AH274" s="411"/>
      <c r="AI274" s="411"/>
      <c r="AJ274" s="411"/>
      <c r="AK274" s="411"/>
    </row>
    <row r="275" spans="1:37" x14ac:dyDescent="0.15">
      <c r="A275" s="12" t="s">
        <v>560</v>
      </c>
      <c r="B275" s="13" t="s">
        <v>561</v>
      </c>
      <c r="C275" s="13" t="s">
        <v>27</v>
      </c>
      <c r="D275" s="13" t="s">
        <v>40</v>
      </c>
      <c r="E275" s="12" t="s">
        <v>112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/>
      <c r="O275" s="14"/>
      <c r="P275" s="15"/>
      <c r="Q275" s="15" t="s">
        <v>2982</v>
      </c>
      <c r="R275" s="16" t="s">
        <v>2982</v>
      </c>
      <c r="S275" s="16">
        <v>42810.2</v>
      </c>
      <c r="T275" s="16">
        <v>130680.51</v>
      </c>
      <c r="U275" s="16">
        <v>1437206.18</v>
      </c>
      <c r="V275" s="16">
        <v>1344083.39</v>
      </c>
      <c r="W275" s="16" t="s">
        <v>2982</v>
      </c>
      <c r="X275" s="16" t="s">
        <v>2982</v>
      </c>
      <c r="AA275" s="24"/>
      <c r="AB275" s="3"/>
      <c r="AC275" s="3"/>
      <c r="AD275" s="80"/>
      <c r="AE275" s="80"/>
      <c r="AF275" s="80"/>
      <c r="AG275" s="80"/>
      <c r="AH275" s="411"/>
      <c r="AI275" s="411"/>
      <c r="AJ275" s="411"/>
      <c r="AK275" s="411"/>
    </row>
    <row r="276" spans="1:37" x14ac:dyDescent="0.15">
      <c r="A276" s="12" t="s">
        <v>563</v>
      </c>
      <c r="B276" s="13" t="s">
        <v>564</v>
      </c>
      <c r="C276" s="13" t="s">
        <v>27</v>
      </c>
      <c r="D276" s="13" t="s">
        <v>40</v>
      </c>
      <c r="E276" s="12" t="s">
        <v>112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/>
      <c r="O276" s="14"/>
      <c r="P276" s="15"/>
      <c r="Q276" s="15" t="s">
        <v>2982</v>
      </c>
      <c r="R276" s="16" t="s">
        <v>2982</v>
      </c>
      <c r="S276" s="16">
        <v>32068.83</v>
      </c>
      <c r="T276" s="16">
        <v>111803.51</v>
      </c>
      <c r="U276" s="16">
        <v>688048.99</v>
      </c>
      <c r="V276" s="16">
        <v>639435.06999999995</v>
      </c>
      <c r="W276" s="16" t="s">
        <v>2982</v>
      </c>
      <c r="X276" s="16" t="s">
        <v>2982</v>
      </c>
      <c r="AA276" s="24"/>
      <c r="AB276" s="3"/>
      <c r="AC276" s="3"/>
      <c r="AD276" s="80"/>
      <c r="AE276" s="80"/>
      <c r="AF276" s="80"/>
      <c r="AG276" s="80"/>
      <c r="AH276" s="411"/>
      <c r="AI276" s="411"/>
      <c r="AJ276" s="411"/>
      <c r="AK276" s="411"/>
    </row>
    <row r="277" spans="1:37" x14ac:dyDescent="0.15">
      <c r="A277" s="12" t="s">
        <v>565</v>
      </c>
      <c r="B277" s="13" t="s">
        <v>566</v>
      </c>
      <c r="C277" s="13" t="s">
        <v>27</v>
      </c>
      <c r="D277" s="13" t="s">
        <v>40</v>
      </c>
      <c r="E277" s="12" t="s">
        <v>112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/>
      <c r="O277" s="14"/>
      <c r="P277" s="15"/>
      <c r="Q277" s="15" t="s">
        <v>2982</v>
      </c>
      <c r="R277" s="16" t="s">
        <v>2982</v>
      </c>
      <c r="S277" s="16">
        <v>928727.28</v>
      </c>
      <c r="T277" s="16">
        <v>2054576.73</v>
      </c>
      <c r="U277" s="16">
        <v>1269562.53</v>
      </c>
      <c r="V277" s="16" t="s">
        <v>2982</v>
      </c>
      <c r="W277" s="16" t="s">
        <v>2982</v>
      </c>
      <c r="X277" s="16" t="s">
        <v>2982</v>
      </c>
      <c r="AA277" s="24"/>
      <c r="AB277" s="3"/>
      <c r="AC277" s="3"/>
      <c r="AD277" s="80"/>
      <c r="AE277" s="80"/>
      <c r="AF277" s="80"/>
      <c r="AG277" s="80"/>
      <c r="AH277" s="411"/>
      <c r="AI277" s="411"/>
      <c r="AJ277" s="411"/>
      <c r="AK277" s="411"/>
    </row>
    <row r="278" spans="1:37" x14ac:dyDescent="0.15">
      <c r="A278" s="511" t="s">
        <v>567</v>
      </c>
      <c r="B278" s="512" t="s">
        <v>568</v>
      </c>
      <c r="C278" s="512" t="s">
        <v>27</v>
      </c>
      <c r="D278" s="512" t="s">
        <v>41</v>
      </c>
      <c r="E278" s="511" t="s">
        <v>112</v>
      </c>
      <c r="F278" s="518">
        <v>0</v>
      </c>
      <c r="G278" s="518">
        <v>0</v>
      </c>
      <c r="H278" s="518">
        <v>0</v>
      </c>
      <c r="I278" s="518">
        <v>0</v>
      </c>
      <c r="J278" s="518">
        <v>0</v>
      </c>
      <c r="K278" s="518">
        <v>0</v>
      </c>
      <c r="L278" s="518">
        <v>0</v>
      </c>
      <c r="M278" s="518">
        <v>0</v>
      </c>
      <c r="N278" s="518"/>
      <c r="O278" s="518"/>
      <c r="P278" s="513"/>
      <c r="Q278" s="513" t="s">
        <v>2982</v>
      </c>
      <c r="R278" s="513" t="s">
        <v>2982</v>
      </c>
      <c r="S278" s="513">
        <v>2958201.8820031798</v>
      </c>
      <c r="T278" s="513" t="s">
        <v>2982</v>
      </c>
      <c r="U278" s="513" t="s">
        <v>2982</v>
      </c>
      <c r="V278" s="513" t="s">
        <v>2982</v>
      </c>
      <c r="W278" s="513" t="s">
        <v>2982</v>
      </c>
      <c r="X278" s="513" t="s">
        <v>2982</v>
      </c>
      <c r="AA278" s="24"/>
      <c r="AB278" s="3"/>
      <c r="AC278" s="3"/>
      <c r="AD278" s="654">
        <v>0</v>
      </c>
      <c r="AE278" s="654">
        <v>1</v>
      </c>
      <c r="AF278" s="654">
        <v>0.44647053067691372</v>
      </c>
      <c r="AG278" s="654">
        <v>0</v>
      </c>
      <c r="AH278" s="654">
        <v>0</v>
      </c>
      <c r="AI278" s="654">
        <v>0</v>
      </c>
      <c r="AJ278" s="654">
        <v>0</v>
      </c>
      <c r="AK278" s="411"/>
    </row>
    <row r="279" spans="1:37" x14ac:dyDescent="0.15">
      <c r="A279" s="511" t="s">
        <v>569</v>
      </c>
      <c r="B279" s="512" t="s">
        <v>570</v>
      </c>
      <c r="C279" s="512" t="s">
        <v>27</v>
      </c>
      <c r="D279" s="512" t="s">
        <v>41</v>
      </c>
      <c r="E279" s="511" t="s">
        <v>112</v>
      </c>
      <c r="F279" s="518">
        <v>0</v>
      </c>
      <c r="G279" s="518">
        <v>0</v>
      </c>
      <c r="H279" s="518">
        <v>0</v>
      </c>
      <c r="I279" s="518">
        <v>0</v>
      </c>
      <c r="J279" s="518">
        <v>0</v>
      </c>
      <c r="K279" s="518">
        <v>0</v>
      </c>
      <c r="L279" s="518">
        <v>0</v>
      </c>
      <c r="M279" s="518">
        <v>0</v>
      </c>
      <c r="N279" s="518"/>
      <c r="O279" s="518"/>
      <c r="P279" s="513"/>
      <c r="Q279" s="513" t="s">
        <v>2982</v>
      </c>
      <c r="R279" s="513" t="s">
        <v>2982</v>
      </c>
      <c r="S279" s="513">
        <v>851471.14</v>
      </c>
      <c r="T279" s="513">
        <v>3019394.9</v>
      </c>
      <c r="U279" s="513">
        <v>5192453.6722222185</v>
      </c>
      <c r="V279" s="513" t="s">
        <v>2982</v>
      </c>
      <c r="W279" s="513" t="s">
        <v>2982</v>
      </c>
      <c r="X279" s="513" t="s">
        <v>2982</v>
      </c>
      <c r="AA279" s="24"/>
      <c r="AB279" s="3"/>
      <c r="AC279" s="3"/>
      <c r="AD279" s="654">
        <v>0</v>
      </c>
      <c r="AE279" s="654">
        <v>1</v>
      </c>
      <c r="AF279" s="654">
        <v>1</v>
      </c>
      <c r="AG279" s="654">
        <v>1</v>
      </c>
      <c r="AH279" s="654">
        <v>0.92097092642259915</v>
      </c>
      <c r="AI279" s="654">
        <v>0</v>
      </c>
      <c r="AJ279" s="654">
        <v>0</v>
      </c>
      <c r="AK279" s="411"/>
    </row>
    <row r="280" spans="1:37" x14ac:dyDescent="0.15">
      <c r="A280" s="12" t="s">
        <v>571</v>
      </c>
      <c r="B280" s="13" t="s">
        <v>572</v>
      </c>
      <c r="C280" s="13" t="s">
        <v>27</v>
      </c>
      <c r="D280" s="13" t="s">
        <v>31</v>
      </c>
      <c r="E280" s="12" t="s">
        <v>112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/>
      <c r="O280" s="14"/>
      <c r="P280" s="15"/>
      <c r="Q280" s="15" t="s">
        <v>2982</v>
      </c>
      <c r="R280" s="16" t="s">
        <v>2982</v>
      </c>
      <c r="S280" s="16">
        <v>86351.1</v>
      </c>
      <c r="T280" s="16">
        <v>1306946.32</v>
      </c>
      <c r="U280" s="16">
        <v>5321911.9000000004</v>
      </c>
      <c r="V280" s="16">
        <v>6933.98</v>
      </c>
      <c r="W280" s="16" t="s">
        <v>2982</v>
      </c>
      <c r="X280" s="16" t="s">
        <v>2982</v>
      </c>
      <c r="AA280" s="24"/>
      <c r="AB280" s="3"/>
      <c r="AC280" s="3"/>
      <c r="AD280" s="80"/>
      <c r="AE280" s="80"/>
      <c r="AF280" s="80"/>
      <c r="AG280" s="80"/>
      <c r="AH280" s="411"/>
      <c r="AI280" s="411"/>
      <c r="AJ280" s="411"/>
      <c r="AK280" s="411"/>
    </row>
    <row r="281" spans="1:37" x14ac:dyDescent="0.15">
      <c r="A281" s="12" t="s">
        <v>573</v>
      </c>
      <c r="B281" s="13" t="s">
        <v>2322</v>
      </c>
      <c r="C281" s="13" t="s">
        <v>27</v>
      </c>
      <c r="D281" s="13" t="s">
        <v>55</v>
      </c>
      <c r="E281" s="12" t="s">
        <v>112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/>
      <c r="O281" s="14"/>
      <c r="P281" s="15"/>
      <c r="Q281" s="15" t="s">
        <v>2973</v>
      </c>
      <c r="R281" s="16">
        <v>351761.25</v>
      </c>
      <c r="S281" s="16">
        <v>2423.9699999999998</v>
      </c>
      <c r="T281" s="16" t="s">
        <v>2982</v>
      </c>
      <c r="U281" s="16" t="s">
        <v>2982</v>
      </c>
      <c r="V281" s="16" t="s">
        <v>2982</v>
      </c>
      <c r="W281" s="16" t="s">
        <v>2982</v>
      </c>
      <c r="X281" s="16" t="s">
        <v>2982</v>
      </c>
      <c r="AA281" s="24"/>
      <c r="AB281" s="3"/>
      <c r="AC281" s="3"/>
      <c r="AD281" s="80"/>
      <c r="AE281" s="80"/>
      <c r="AF281" s="80"/>
      <c r="AG281" s="80"/>
      <c r="AH281" s="411"/>
      <c r="AI281" s="411"/>
      <c r="AJ281" s="411"/>
      <c r="AK281" s="411"/>
    </row>
    <row r="282" spans="1:37" x14ac:dyDescent="0.15">
      <c r="A282" s="12" t="s">
        <v>575</v>
      </c>
      <c r="B282" s="13" t="s">
        <v>576</v>
      </c>
      <c r="C282" s="13" t="s">
        <v>27</v>
      </c>
      <c r="D282" s="13" t="s">
        <v>54</v>
      </c>
      <c r="E282" s="12" t="s">
        <v>29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/>
      <c r="O282" s="14"/>
      <c r="P282" s="15">
        <v>162054.01999999999</v>
      </c>
      <c r="Q282" s="15">
        <v>305300.36</v>
      </c>
      <c r="R282" s="16">
        <v>2137654.12</v>
      </c>
      <c r="S282" s="16">
        <v>723854.28</v>
      </c>
      <c r="T282" s="16" t="s">
        <v>2982</v>
      </c>
      <c r="U282" s="16" t="s">
        <v>2982</v>
      </c>
      <c r="V282" s="16" t="s">
        <v>2982</v>
      </c>
      <c r="W282" s="16" t="s">
        <v>2982</v>
      </c>
      <c r="X282" s="16" t="s">
        <v>2982</v>
      </c>
      <c r="AA282" s="24"/>
      <c r="AB282" s="3"/>
      <c r="AC282" s="3"/>
      <c r="AD282" s="80"/>
      <c r="AE282" s="80"/>
      <c r="AF282" s="80"/>
      <c r="AG282" s="80"/>
      <c r="AH282" s="411"/>
      <c r="AI282" s="411"/>
      <c r="AJ282" s="411"/>
      <c r="AK282" s="411"/>
    </row>
    <row r="283" spans="1:37" x14ac:dyDescent="0.15">
      <c r="A283" s="12" t="s">
        <v>577</v>
      </c>
      <c r="B283" s="13" t="s">
        <v>578</v>
      </c>
      <c r="C283" s="13" t="s">
        <v>27</v>
      </c>
      <c r="D283" s="13" t="s">
        <v>54</v>
      </c>
      <c r="E283" s="12" t="s">
        <v>29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/>
      <c r="O283" s="14"/>
      <c r="P283" s="15">
        <v>51133.84</v>
      </c>
      <c r="Q283" s="15">
        <v>63043.92</v>
      </c>
      <c r="R283" s="16">
        <v>247578.36000000004</v>
      </c>
      <c r="S283" s="16">
        <v>1716056.73</v>
      </c>
      <c r="T283" s="16">
        <v>6413.02</v>
      </c>
      <c r="U283" s="16" t="s">
        <v>2982</v>
      </c>
      <c r="V283" s="16" t="s">
        <v>2982</v>
      </c>
      <c r="W283" s="16" t="s">
        <v>2982</v>
      </c>
      <c r="X283" s="16" t="s">
        <v>2982</v>
      </c>
      <c r="AA283" s="24"/>
      <c r="AB283" s="3"/>
      <c r="AC283" s="3"/>
      <c r="AD283" s="80"/>
      <c r="AE283" s="80"/>
      <c r="AF283" s="80"/>
      <c r="AG283" s="80"/>
      <c r="AH283" s="411"/>
      <c r="AI283" s="411"/>
      <c r="AJ283" s="411"/>
      <c r="AK283" s="411"/>
    </row>
    <row r="284" spans="1:37" x14ac:dyDescent="0.15">
      <c r="A284" s="12" t="s">
        <v>579</v>
      </c>
      <c r="B284" s="13" t="s">
        <v>580</v>
      </c>
      <c r="C284" s="13" t="s">
        <v>27</v>
      </c>
      <c r="D284" s="13" t="s">
        <v>40</v>
      </c>
      <c r="E284" s="12" t="s">
        <v>112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/>
      <c r="O284" s="14"/>
      <c r="P284" s="15"/>
      <c r="Q284" s="15" t="s">
        <v>2982</v>
      </c>
      <c r="R284" s="16">
        <v>51431.25</v>
      </c>
      <c r="S284" s="16">
        <v>62794.45</v>
      </c>
      <c r="T284" s="16">
        <v>1097374.98</v>
      </c>
      <c r="U284" s="16">
        <v>1034877.16</v>
      </c>
      <c r="V284" s="16" t="s">
        <v>2982</v>
      </c>
      <c r="W284" s="16" t="s">
        <v>2982</v>
      </c>
      <c r="X284" s="16" t="s">
        <v>2982</v>
      </c>
      <c r="AA284" s="24"/>
      <c r="AB284" s="3"/>
      <c r="AC284" s="3"/>
      <c r="AD284" s="80"/>
      <c r="AE284" s="80"/>
      <c r="AF284" s="80"/>
      <c r="AG284" s="80"/>
      <c r="AH284" s="411"/>
      <c r="AI284" s="411"/>
      <c r="AJ284" s="411"/>
      <c r="AK284" s="411"/>
    </row>
    <row r="285" spans="1:37" x14ac:dyDescent="0.15">
      <c r="A285" s="12" t="s">
        <v>581</v>
      </c>
      <c r="B285" s="13" t="s">
        <v>582</v>
      </c>
      <c r="C285" s="13" t="s">
        <v>27</v>
      </c>
      <c r="D285" s="13" t="s">
        <v>40</v>
      </c>
      <c r="E285" s="12" t="s">
        <v>112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/>
      <c r="O285" s="14"/>
      <c r="P285" s="15"/>
      <c r="Q285" s="15">
        <v>809856.5</v>
      </c>
      <c r="R285" s="16">
        <v>108882.19999999995</v>
      </c>
      <c r="S285" s="16">
        <v>1600099.95</v>
      </c>
      <c r="T285" s="16">
        <v>1723542.52</v>
      </c>
      <c r="U285" s="16">
        <v>586810.75</v>
      </c>
      <c r="V285" s="16" t="s">
        <v>2982</v>
      </c>
      <c r="W285" s="16" t="s">
        <v>2982</v>
      </c>
      <c r="X285" s="16" t="s">
        <v>2982</v>
      </c>
      <c r="AA285" s="24"/>
      <c r="AB285" s="3"/>
      <c r="AC285" s="3"/>
      <c r="AD285" s="80"/>
      <c r="AE285" s="80"/>
      <c r="AF285" s="80"/>
      <c r="AG285" s="80"/>
      <c r="AH285" s="411"/>
      <c r="AI285" s="411"/>
      <c r="AJ285" s="411"/>
      <c r="AK285" s="411"/>
    </row>
    <row r="286" spans="1:37" x14ac:dyDescent="0.15">
      <c r="A286" s="12" t="s">
        <v>585</v>
      </c>
      <c r="B286" s="13" t="s">
        <v>2324</v>
      </c>
      <c r="C286" s="13" t="s">
        <v>27</v>
      </c>
      <c r="D286" s="13" t="s">
        <v>55</v>
      </c>
      <c r="E286" s="12" t="s">
        <v>112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/>
      <c r="O286" s="14"/>
      <c r="P286" s="15"/>
      <c r="Q286" s="15" t="s">
        <v>2982</v>
      </c>
      <c r="R286" s="16" t="s">
        <v>2982</v>
      </c>
      <c r="S286" s="16" t="s">
        <v>2982</v>
      </c>
      <c r="T286" s="16" t="s">
        <v>2982</v>
      </c>
      <c r="U286" s="16" t="s">
        <v>2982</v>
      </c>
      <c r="V286" s="16" t="s">
        <v>2982</v>
      </c>
      <c r="W286" s="16">
        <v>19615.34</v>
      </c>
      <c r="X286" s="16">
        <v>349792.56</v>
      </c>
      <c r="AA286" s="24"/>
      <c r="AB286" s="3"/>
      <c r="AC286" s="3"/>
      <c r="AD286" s="80"/>
      <c r="AE286" s="80"/>
      <c r="AF286" s="80"/>
      <c r="AG286" s="80"/>
      <c r="AH286" s="411"/>
      <c r="AI286" s="411"/>
      <c r="AJ286" s="411"/>
      <c r="AK286" s="411"/>
    </row>
    <row r="287" spans="1:37" x14ac:dyDescent="0.15">
      <c r="A287" s="12" t="s">
        <v>586</v>
      </c>
      <c r="B287" s="13" t="s">
        <v>587</v>
      </c>
      <c r="C287" s="13" t="s">
        <v>27</v>
      </c>
      <c r="D287" s="13" t="s">
        <v>55</v>
      </c>
      <c r="E287" s="12" t="s">
        <v>29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/>
      <c r="O287" s="14"/>
      <c r="P287" s="15"/>
      <c r="Q287" s="15">
        <v>433604.87</v>
      </c>
      <c r="R287" s="16">
        <v>680303.71000000008</v>
      </c>
      <c r="S287" s="16">
        <v>123010.43</v>
      </c>
      <c r="T287" s="16" t="s">
        <v>2982</v>
      </c>
      <c r="U287" s="16" t="s">
        <v>2982</v>
      </c>
      <c r="V287" s="16" t="s">
        <v>2982</v>
      </c>
      <c r="W287" s="16" t="s">
        <v>2982</v>
      </c>
      <c r="X287" s="16" t="s">
        <v>2982</v>
      </c>
      <c r="AA287" s="24"/>
      <c r="AB287" s="3"/>
      <c r="AC287" s="3"/>
      <c r="AD287" s="80"/>
      <c r="AE287" s="80"/>
      <c r="AF287" s="80"/>
      <c r="AG287" s="80"/>
      <c r="AH287" s="411"/>
      <c r="AI287" s="411"/>
      <c r="AJ287" s="411"/>
      <c r="AK287" s="411"/>
    </row>
    <row r="288" spans="1:37" x14ac:dyDescent="0.15">
      <c r="A288" s="12" t="s">
        <v>588</v>
      </c>
      <c r="B288" s="13" t="s">
        <v>2390</v>
      </c>
      <c r="C288" s="13" t="s">
        <v>27</v>
      </c>
      <c r="D288" s="13" t="s">
        <v>36</v>
      </c>
      <c r="E288" s="12" t="s">
        <v>32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/>
      <c r="O288" s="14">
        <v>129615.27</v>
      </c>
      <c r="P288" s="15">
        <v>55209.26</v>
      </c>
      <c r="Q288" s="15">
        <v>163.02000000000001</v>
      </c>
      <c r="R288" s="16" t="s">
        <v>2982</v>
      </c>
      <c r="S288" s="16" t="s">
        <v>2982</v>
      </c>
      <c r="T288" s="16" t="s">
        <v>2982</v>
      </c>
      <c r="U288" s="16" t="s">
        <v>2982</v>
      </c>
      <c r="V288" s="16" t="s">
        <v>2982</v>
      </c>
      <c r="W288" s="16" t="s">
        <v>2982</v>
      </c>
      <c r="X288" s="16" t="s">
        <v>2982</v>
      </c>
      <c r="AA288" s="24"/>
      <c r="AB288" s="3"/>
      <c r="AC288" s="3"/>
      <c r="AD288" s="80"/>
      <c r="AE288" s="80"/>
      <c r="AF288" s="80"/>
      <c r="AG288" s="80"/>
      <c r="AH288" s="411"/>
      <c r="AI288" s="411"/>
      <c r="AJ288" s="411"/>
      <c r="AK288" s="411"/>
    </row>
    <row r="289" spans="1:37" x14ac:dyDescent="0.15">
      <c r="A289" s="12" t="s">
        <v>590</v>
      </c>
      <c r="B289" s="13" t="s">
        <v>591</v>
      </c>
      <c r="C289" s="13" t="s">
        <v>27</v>
      </c>
      <c r="D289" s="13" t="s">
        <v>40</v>
      </c>
      <c r="E289" s="12" t="s">
        <v>112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/>
      <c r="O289" s="14"/>
      <c r="P289" s="15"/>
      <c r="Q289" s="15" t="s">
        <v>2982</v>
      </c>
      <c r="R289" s="16" t="s">
        <v>2982</v>
      </c>
      <c r="S289" s="16" t="s">
        <v>2982</v>
      </c>
      <c r="T289" s="16" t="s">
        <v>2982</v>
      </c>
      <c r="U289" s="16">
        <v>1020297</v>
      </c>
      <c r="V289" s="16">
        <v>114907.88</v>
      </c>
      <c r="W289" s="16" t="s">
        <v>2982</v>
      </c>
      <c r="X289" s="16" t="s">
        <v>2982</v>
      </c>
      <c r="AA289" s="24"/>
      <c r="AB289" s="3"/>
      <c r="AC289" s="3"/>
      <c r="AD289" s="80"/>
      <c r="AE289" s="80"/>
      <c r="AF289" s="80"/>
      <c r="AG289" s="80"/>
      <c r="AH289" s="411"/>
      <c r="AI289" s="411"/>
      <c r="AJ289" s="411"/>
      <c r="AK289" s="411"/>
    </row>
    <row r="290" spans="1:37" x14ac:dyDescent="0.15">
      <c r="A290" s="12" t="s">
        <v>592</v>
      </c>
      <c r="B290" s="13" t="s">
        <v>593</v>
      </c>
      <c r="C290" s="13" t="s">
        <v>27</v>
      </c>
      <c r="D290" s="13" t="s">
        <v>40</v>
      </c>
      <c r="E290" s="12" t="s">
        <v>112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/>
      <c r="O290" s="14"/>
      <c r="P290" s="15"/>
      <c r="Q290" s="15" t="s">
        <v>2982</v>
      </c>
      <c r="R290" s="16" t="s">
        <v>2982</v>
      </c>
      <c r="S290" s="16" t="s">
        <v>2982</v>
      </c>
      <c r="T290" s="16" t="s">
        <v>2982</v>
      </c>
      <c r="U290" s="16" t="s">
        <v>2982</v>
      </c>
      <c r="V290" s="16">
        <v>283604.2</v>
      </c>
      <c r="W290" s="16">
        <v>960271.48</v>
      </c>
      <c r="X290" s="16" t="s">
        <v>2982</v>
      </c>
      <c r="AA290" s="24"/>
      <c r="AB290" s="3"/>
      <c r="AC290" s="3"/>
      <c r="AD290" s="80"/>
      <c r="AE290" s="80"/>
      <c r="AF290" s="80"/>
      <c r="AG290" s="80"/>
      <c r="AH290" s="411"/>
      <c r="AI290" s="411"/>
      <c r="AJ290" s="411"/>
      <c r="AK290" s="411"/>
    </row>
    <row r="291" spans="1:37" x14ac:dyDescent="0.15">
      <c r="A291" s="12" t="s">
        <v>594</v>
      </c>
      <c r="B291" s="13" t="s">
        <v>595</v>
      </c>
      <c r="C291" s="13" t="s">
        <v>27</v>
      </c>
      <c r="D291" s="13" t="s">
        <v>40</v>
      </c>
      <c r="E291" s="12" t="s">
        <v>112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/>
      <c r="O291" s="14"/>
      <c r="P291" s="15"/>
      <c r="Q291" s="15" t="s">
        <v>2982</v>
      </c>
      <c r="R291" s="16" t="s">
        <v>2982</v>
      </c>
      <c r="S291" s="16" t="s">
        <v>2982</v>
      </c>
      <c r="T291" s="16" t="s">
        <v>2982</v>
      </c>
      <c r="U291" s="16">
        <v>452543.86</v>
      </c>
      <c r="V291" s="16" t="s">
        <v>2982</v>
      </c>
      <c r="W291" s="16" t="s">
        <v>2982</v>
      </c>
      <c r="X291" s="16" t="s">
        <v>2982</v>
      </c>
      <c r="AA291" s="24"/>
      <c r="AB291" s="3"/>
      <c r="AC291" s="3"/>
      <c r="AD291" s="80"/>
      <c r="AE291" s="80"/>
      <c r="AF291" s="80"/>
      <c r="AG291" s="80"/>
      <c r="AH291" s="411"/>
      <c r="AI291" s="411"/>
      <c r="AJ291" s="411"/>
      <c r="AK291" s="411"/>
    </row>
    <row r="292" spans="1:37" x14ac:dyDescent="0.15">
      <c r="A292" s="12" t="s">
        <v>596</v>
      </c>
      <c r="B292" s="13" t="s">
        <v>597</v>
      </c>
      <c r="C292" s="13" t="s">
        <v>27</v>
      </c>
      <c r="D292" s="13" t="s">
        <v>40</v>
      </c>
      <c r="E292" s="12" t="s">
        <v>112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/>
      <c r="O292" s="14"/>
      <c r="P292" s="15"/>
      <c r="Q292" s="15" t="s">
        <v>2982</v>
      </c>
      <c r="R292" s="16" t="s">
        <v>2982</v>
      </c>
      <c r="S292" s="16" t="s">
        <v>2982</v>
      </c>
      <c r="T292" s="16">
        <v>552578.16</v>
      </c>
      <c r="U292" s="16">
        <v>520399.99</v>
      </c>
      <c r="V292" s="16">
        <v>10948065.199999999</v>
      </c>
      <c r="W292" s="16" t="s">
        <v>2982</v>
      </c>
      <c r="X292" s="16" t="s">
        <v>2982</v>
      </c>
      <c r="AA292" s="24"/>
      <c r="AB292" s="3"/>
      <c r="AC292" s="3"/>
      <c r="AD292" s="80"/>
      <c r="AE292" s="80"/>
      <c r="AF292" s="80"/>
      <c r="AG292" s="80"/>
      <c r="AH292" s="411"/>
      <c r="AI292" s="411"/>
      <c r="AJ292" s="411"/>
      <c r="AK292" s="411"/>
    </row>
    <row r="293" spans="1:37" x14ac:dyDescent="0.15">
      <c r="A293" s="12" t="s">
        <v>601</v>
      </c>
      <c r="B293" s="13" t="s">
        <v>2326</v>
      </c>
      <c r="C293" s="13" t="s">
        <v>27</v>
      </c>
      <c r="D293" s="13" t="s">
        <v>55</v>
      </c>
      <c r="E293" s="12" t="s">
        <v>112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/>
      <c r="O293" s="14"/>
      <c r="P293" s="15"/>
      <c r="Q293" s="15" t="s">
        <v>2982</v>
      </c>
      <c r="R293" s="16" t="s">
        <v>2982</v>
      </c>
      <c r="S293" s="16" t="s">
        <v>2982</v>
      </c>
      <c r="T293" s="16">
        <v>76805.87</v>
      </c>
      <c r="U293" s="16">
        <v>551867.98</v>
      </c>
      <c r="V293" s="16">
        <v>137060.29999999999</v>
      </c>
      <c r="W293" s="16" t="s">
        <v>2982</v>
      </c>
      <c r="X293" s="16" t="s">
        <v>2982</v>
      </c>
      <c r="AA293" s="24"/>
      <c r="AB293" s="3"/>
      <c r="AC293" s="3"/>
      <c r="AD293" s="80"/>
      <c r="AE293" s="80"/>
      <c r="AF293" s="80"/>
      <c r="AG293" s="80"/>
      <c r="AH293" s="411"/>
      <c r="AI293" s="411"/>
      <c r="AJ293" s="411"/>
      <c r="AK293" s="411"/>
    </row>
    <row r="294" spans="1:37" x14ac:dyDescent="0.15">
      <c r="A294" s="12" t="s">
        <v>605</v>
      </c>
      <c r="B294" s="13" t="s">
        <v>2328</v>
      </c>
      <c r="C294" s="13" t="s">
        <v>27</v>
      </c>
      <c r="D294" s="13" t="s">
        <v>55</v>
      </c>
      <c r="E294" s="12" t="s">
        <v>112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/>
      <c r="O294" s="14"/>
      <c r="P294" s="15"/>
      <c r="Q294" s="15" t="s">
        <v>2982</v>
      </c>
      <c r="R294" s="16" t="s">
        <v>2982</v>
      </c>
      <c r="S294" s="16" t="s">
        <v>2982</v>
      </c>
      <c r="T294" s="16" t="s">
        <v>2982</v>
      </c>
      <c r="U294" s="16" t="s">
        <v>2982</v>
      </c>
      <c r="V294" s="16" t="s">
        <v>2982</v>
      </c>
      <c r="W294" s="16">
        <v>531109</v>
      </c>
      <c r="X294" s="16">
        <v>7814.62</v>
      </c>
      <c r="AA294" s="24"/>
      <c r="AB294" s="3"/>
      <c r="AC294" s="3"/>
      <c r="AD294" s="80"/>
      <c r="AE294" s="80"/>
      <c r="AF294" s="80"/>
      <c r="AG294" s="80"/>
      <c r="AH294" s="411"/>
      <c r="AI294" s="411"/>
      <c r="AJ294" s="411"/>
      <c r="AK294" s="411"/>
    </row>
    <row r="295" spans="1:37" x14ac:dyDescent="0.15">
      <c r="A295" s="12" t="s">
        <v>607</v>
      </c>
      <c r="B295" s="13" t="s">
        <v>2330</v>
      </c>
      <c r="C295" s="13" t="s">
        <v>27</v>
      </c>
      <c r="D295" s="13" t="s">
        <v>55</v>
      </c>
      <c r="E295" s="12" t="s">
        <v>112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/>
      <c r="O295" s="14"/>
      <c r="P295" s="15"/>
      <c r="Q295" s="15" t="s">
        <v>2982</v>
      </c>
      <c r="R295" s="16" t="s">
        <v>2982</v>
      </c>
      <c r="S295" s="16">
        <v>108856.9</v>
      </c>
      <c r="T295" s="16">
        <v>156948.82</v>
      </c>
      <c r="U295" s="16">
        <v>19958.64</v>
      </c>
      <c r="V295" s="16" t="s">
        <v>2982</v>
      </c>
      <c r="W295" s="16" t="s">
        <v>2982</v>
      </c>
      <c r="X295" s="16" t="s">
        <v>2982</v>
      </c>
      <c r="AA295" s="24"/>
      <c r="AB295" s="3"/>
      <c r="AC295" s="3"/>
      <c r="AD295" s="80"/>
      <c r="AE295" s="80"/>
      <c r="AF295" s="80"/>
      <c r="AG295" s="80"/>
      <c r="AH295" s="411"/>
      <c r="AI295" s="411"/>
      <c r="AJ295" s="411"/>
      <c r="AK295" s="411"/>
    </row>
    <row r="296" spans="1:37" x14ac:dyDescent="0.15">
      <c r="A296" s="12" t="s">
        <v>608</v>
      </c>
      <c r="B296" s="13" t="s">
        <v>609</v>
      </c>
      <c r="C296" s="13" t="s">
        <v>27</v>
      </c>
      <c r="D296" s="13" t="s">
        <v>44</v>
      </c>
      <c r="E296" s="12" t="s">
        <v>45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/>
      <c r="O296" s="14"/>
      <c r="P296" s="15">
        <v>8906.7900000000009</v>
      </c>
      <c r="Q296" s="15">
        <v>-8906.7900000000009</v>
      </c>
      <c r="R296" s="16" t="s">
        <v>2982</v>
      </c>
      <c r="S296" s="16" t="s">
        <v>2982</v>
      </c>
      <c r="T296" s="16" t="s">
        <v>2982</v>
      </c>
      <c r="U296" s="16" t="s">
        <v>2982</v>
      </c>
      <c r="V296" s="16" t="s">
        <v>2982</v>
      </c>
      <c r="W296" s="16" t="s">
        <v>2982</v>
      </c>
      <c r="X296" s="16" t="s">
        <v>2982</v>
      </c>
      <c r="AA296" s="24"/>
      <c r="AB296" s="3"/>
      <c r="AC296" s="3"/>
      <c r="AD296" s="80"/>
      <c r="AE296" s="80"/>
      <c r="AF296" s="80"/>
      <c r="AG296" s="80"/>
      <c r="AH296" s="411"/>
      <c r="AI296" s="411"/>
      <c r="AJ296" s="411"/>
      <c r="AK296" s="411"/>
    </row>
    <row r="297" spans="1:37" x14ac:dyDescent="0.15">
      <c r="A297" s="12" t="s">
        <v>610</v>
      </c>
      <c r="B297" s="13" t="s">
        <v>2331</v>
      </c>
      <c r="C297" s="13" t="s">
        <v>27</v>
      </c>
      <c r="D297" s="13" t="s">
        <v>55</v>
      </c>
      <c r="E297" s="12" t="s">
        <v>112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/>
      <c r="O297" s="14"/>
      <c r="P297" s="15"/>
      <c r="Q297" s="15" t="s">
        <v>2982</v>
      </c>
      <c r="R297" s="16" t="s">
        <v>2982</v>
      </c>
      <c r="S297" s="16" t="s">
        <v>2982</v>
      </c>
      <c r="T297" s="16">
        <v>461004</v>
      </c>
      <c r="U297" s="16">
        <v>230600.95</v>
      </c>
      <c r="V297" s="16" t="s">
        <v>2982</v>
      </c>
      <c r="W297" s="16" t="s">
        <v>2982</v>
      </c>
      <c r="X297" s="16" t="s">
        <v>2982</v>
      </c>
      <c r="AA297" s="24"/>
      <c r="AB297" s="3"/>
      <c r="AC297" s="3"/>
      <c r="AD297" s="80"/>
      <c r="AE297" s="80"/>
      <c r="AF297" s="80"/>
      <c r="AG297" s="80"/>
      <c r="AH297" s="411"/>
      <c r="AI297" s="411"/>
      <c r="AJ297" s="411"/>
      <c r="AK297" s="411"/>
    </row>
    <row r="298" spans="1:37" x14ac:dyDescent="0.15">
      <c r="A298" s="12" t="s">
        <v>611</v>
      </c>
      <c r="B298" s="13" t="s">
        <v>2332</v>
      </c>
      <c r="C298" s="13" t="s">
        <v>27</v>
      </c>
      <c r="D298" s="13" t="s">
        <v>55</v>
      </c>
      <c r="E298" s="12" t="s">
        <v>112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/>
      <c r="O298" s="14"/>
      <c r="P298" s="15"/>
      <c r="Q298" s="15" t="s">
        <v>2982</v>
      </c>
      <c r="R298" s="16" t="s">
        <v>2982</v>
      </c>
      <c r="S298" s="16">
        <v>38227.760000000002</v>
      </c>
      <c r="T298" s="16">
        <v>247584.79</v>
      </c>
      <c r="U298" s="16">
        <v>423998.8</v>
      </c>
      <c r="V298" s="16">
        <v>193829.92</v>
      </c>
      <c r="W298" s="16" t="s">
        <v>2982</v>
      </c>
      <c r="X298" s="16" t="s">
        <v>2982</v>
      </c>
      <c r="AA298" s="24"/>
      <c r="AB298" s="3"/>
      <c r="AC298" s="3"/>
      <c r="AD298" s="80"/>
      <c r="AE298" s="80"/>
      <c r="AF298" s="80"/>
      <c r="AG298" s="80"/>
      <c r="AH298" s="411"/>
      <c r="AI298" s="411"/>
      <c r="AJ298" s="411"/>
      <c r="AK298" s="411"/>
    </row>
    <row r="299" spans="1:37" x14ac:dyDescent="0.15">
      <c r="A299" s="12" t="s">
        <v>614</v>
      </c>
      <c r="B299" s="13" t="s">
        <v>2333</v>
      </c>
      <c r="C299" s="13" t="s">
        <v>27</v>
      </c>
      <c r="D299" s="13" t="s">
        <v>55</v>
      </c>
      <c r="E299" s="12" t="s">
        <v>112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/>
      <c r="O299" s="14"/>
      <c r="P299" s="15"/>
      <c r="Q299" s="15" t="s">
        <v>2982</v>
      </c>
      <c r="R299" s="16" t="s">
        <v>2982</v>
      </c>
      <c r="S299" s="16">
        <v>419507.05</v>
      </c>
      <c r="T299" s="16">
        <v>521190.96</v>
      </c>
      <c r="U299" s="16">
        <v>2113521.85</v>
      </c>
      <c r="V299" s="16" t="s">
        <v>2982</v>
      </c>
      <c r="W299" s="16" t="s">
        <v>2982</v>
      </c>
      <c r="X299" s="16" t="s">
        <v>2982</v>
      </c>
      <c r="AA299" s="24"/>
      <c r="AB299" s="3"/>
      <c r="AC299" s="3"/>
      <c r="AD299" s="80"/>
      <c r="AE299" s="80"/>
      <c r="AF299" s="80"/>
      <c r="AG299" s="80"/>
      <c r="AH299" s="411"/>
      <c r="AI299" s="411"/>
      <c r="AJ299" s="411"/>
      <c r="AK299" s="411"/>
    </row>
    <row r="300" spans="1:37" x14ac:dyDescent="0.15">
      <c r="A300" s="12" t="s">
        <v>615</v>
      </c>
      <c r="B300" s="13" t="s">
        <v>616</v>
      </c>
      <c r="C300" s="13" t="s">
        <v>27</v>
      </c>
      <c r="D300" s="13" t="s">
        <v>28</v>
      </c>
      <c r="E300" s="12" t="s">
        <v>32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/>
      <c r="O300" s="14"/>
      <c r="P300" s="15">
        <v>40481.32</v>
      </c>
      <c r="Q300" s="15" t="s">
        <v>2982</v>
      </c>
      <c r="R300" s="16" t="s">
        <v>2982</v>
      </c>
      <c r="S300" s="16" t="s">
        <v>2982</v>
      </c>
      <c r="T300" s="16" t="s">
        <v>2982</v>
      </c>
      <c r="U300" s="16" t="s">
        <v>2982</v>
      </c>
      <c r="V300" s="16" t="s">
        <v>2982</v>
      </c>
      <c r="W300" s="16" t="s">
        <v>2982</v>
      </c>
      <c r="X300" s="16" t="s">
        <v>2982</v>
      </c>
      <c r="AA300" s="24"/>
      <c r="AB300" s="3"/>
      <c r="AC300" s="3"/>
      <c r="AD300" s="80"/>
      <c r="AE300" s="80"/>
      <c r="AF300" s="80"/>
      <c r="AG300" s="80"/>
      <c r="AH300" s="411"/>
      <c r="AI300" s="411"/>
      <c r="AJ300" s="411"/>
      <c r="AK300" s="411"/>
    </row>
    <row r="301" spans="1:37" x14ac:dyDescent="0.15">
      <c r="A301" s="12" t="s">
        <v>617</v>
      </c>
      <c r="B301" s="13" t="s">
        <v>618</v>
      </c>
      <c r="C301" s="13" t="s">
        <v>27</v>
      </c>
      <c r="D301" s="13" t="s">
        <v>54</v>
      </c>
      <c r="E301" s="12" t="s">
        <v>29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/>
      <c r="O301" s="14"/>
      <c r="P301" s="15">
        <v>48019.06</v>
      </c>
      <c r="Q301" s="15">
        <v>195473.35</v>
      </c>
      <c r="R301" s="16">
        <v>4526528.6900000004</v>
      </c>
      <c r="S301" s="16">
        <v>1095853.29</v>
      </c>
      <c r="T301" s="16" t="s">
        <v>2982</v>
      </c>
      <c r="U301" s="16" t="s">
        <v>2982</v>
      </c>
      <c r="V301" s="16" t="s">
        <v>2982</v>
      </c>
      <c r="W301" s="16" t="s">
        <v>2982</v>
      </c>
      <c r="X301" s="16" t="s">
        <v>2982</v>
      </c>
      <c r="AA301" s="24"/>
      <c r="AB301" s="3"/>
      <c r="AC301" s="3"/>
      <c r="AD301" s="80"/>
      <c r="AE301" s="80"/>
      <c r="AF301" s="80"/>
      <c r="AG301" s="80"/>
      <c r="AH301" s="411"/>
      <c r="AI301" s="411"/>
      <c r="AJ301" s="411"/>
      <c r="AK301" s="411"/>
    </row>
    <row r="302" spans="1:37" x14ac:dyDescent="0.15">
      <c r="A302" s="12" t="s">
        <v>619</v>
      </c>
      <c r="B302" s="13" t="s">
        <v>620</v>
      </c>
      <c r="C302" s="13" t="s">
        <v>27</v>
      </c>
      <c r="D302" s="13" t="s">
        <v>28</v>
      </c>
      <c r="E302" s="12" t="s">
        <v>112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/>
      <c r="O302" s="14"/>
      <c r="P302" s="15"/>
      <c r="Q302" s="15" t="s">
        <v>2982</v>
      </c>
      <c r="R302" s="16" t="s">
        <v>2982</v>
      </c>
      <c r="S302" s="16">
        <v>50406.99</v>
      </c>
      <c r="T302" s="16">
        <v>1486701.4</v>
      </c>
      <c r="U302" s="16">
        <v>139097.60999999999</v>
      </c>
      <c r="V302" s="16" t="s">
        <v>2982</v>
      </c>
      <c r="W302" s="16" t="s">
        <v>2982</v>
      </c>
      <c r="X302" s="16" t="s">
        <v>2982</v>
      </c>
      <c r="AA302" s="24"/>
      <c r="AB302" s="3"/>
      <c r="AC302" s="3"/>
      <c r="AD302" s="80"/>
      <c r="AE302" s="80"/>
      <c r="AF302" s="80"/>
      <c r="AG302" s="80"/>
      <c r="AH302" s="411"/>
      <c r="AI302" s="411"/>
      <c r="AJ302" s="411"/>
      <c r="AK302" s="411"/>
    </row>
    <row r="303" spans="1:37" x14ac:dyDescent="0.15">
      <c r="A303" s="12" t="s">
        <v>621</v>
      </c>
      <c r="B303" s="13" t="s">
        <v>622</v>
      </c>
      <c r="C303" s="13" t="s">
        <v>27</v>
      </c>
      <c r="D303" s="13" t="s">
        <v>54</v>
      </c>
      <c r="E303" s="12" t="s">
        <v>32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/>
      <c r="O303" s="14"/>
      <c r="P303" s="15">
        <v>187262.35</v>
      </c>
      <c r="Q303" s="15">
        <v>29471.98</v>
      </c>
      <c r="R303" s="16" t="s">
        <v>2982</v>
      </c>
      <c r="S303" s="16" t="s">
        <v>2982</v>
      </c>
      <c r="T303" s="16" t="s">
        <v>2982</v>
      </c>
      <c r="U303" s="16" t="s">
        <v>2982</v>
      </c>
      <c r="V303" s="16" t="s">
        <v>2982</v>
      </c>
      <c r="W303" s="16" t="s">
        <v>2982</v>
      </c>
      <c r="X303" s="16" t="s">
        <v>2982</v>
      </c>
      <c r="AA303" s="24"/>
      <c r="AB303" s="3"/>
      <c r="AC303" s="3"/>
      <c r="AD303" s="80"/>
      <c r="AE303" s="80"/>
      <c r="AF303" s="80"/>
      <c r="AG303" s="80"/>
      <c r="AH303" s="411"/>
      <c r="AI303" s="411"/>
      <c r="AJ303" s="411"/>
      <c r="AK303" s="411"/>
    </row>
    <row r="304" spans="1:37" x14ac:dyDescent="0.15">
      <c r="A304" s="12" t="s">
        <v>623</v>
      </c>
      <c r="B304" s="13" t="s">
        <v>624</v>
      </c>
      <c r="C304" s="13" t="s">
        <v>27</v>
      </c>
      <c r="D304" s="13" t="s">
        <v>40</v>
      </c>
      <c r="E304" s="12" t="s">
        <v>29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/>
      <c r="O304" s="14"/>
      <c r="P304" s="15"/>
      <c r="Q304" s="15">
        <v>198898.81</v>
      </c>
      <c r="R304" s="16">
        <v>1128635.6200000001</v>
      </c>
      <c r="S304" s="16">
        <v>48785.59</v>
      </c>
      <c r="T304" s="16" t="s">
        <v>2982</v>
      </c>
      <c r="U304" s="16" t="s">
        <v>2982</v>
      </c>
      <c r="V304" s="16" t="s">
        <v>2982</v>
      </c>
      <c r="W304" s="16" t="s">
        <v>2982</v>
      </c>
      <c r="X304" s="16" t="s">
        <v>2982</v>
      </c>
      <c r="AA304" s="24"/>
      <c r="AB304" s="3"/>
      <c r="AC304" s="3"/>
      <c r="AD304" s="80"/>
      <c r="AE304" s="80"/>
      <c r="AF304" s="80"/>
      <c r="AG304" s="80"/>
      <c r="AH304" s="411"/>
      <c r="AI304" s="411"/>
      <c r="AJ304" s="411"/>
      <c r="AK304" s="411"/>
    </row>
    <row r="305" spans="1:37" x14ac:dyDescent="0.15">
      <c r="A305" s="12" t="s">
        <v>625</v>
      </c>
      <c r="B305" s="13" t="s">
        <v>626</v>
      </c>
      <c r="C305" s="13" t="s">
        <v>27</v>
      </c>
      <c r="D305" s="13" t="s">
        <v>40</v>
      </c>
      <c r="E305" s="12" t="s">
        <v>29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/>
      <c r="O305" s="14"/>
      <c r="P305" s="15"/>
      <c r="Q305" s="15">
        <v>288956.69</v>
      </c>
      <c r="R305" s="16">
        <v>2280346.9400000004</v>
      </c>
      <c r="S305" s="16">
        <v>474618.31</v>
      </c>
      <c r="T305" s="16" t="s">
        <v>2982</v>
      </c>
      <c r="U305" s="16" t="s">
        <v>2982</v>
      </c>
      <c r="V305" s="16" t="s">
        <v>2982</v>
      </c>
      <c r="W305" s="16" t="s">
        <v>2982</v>
      </c>
      <c r="X305" s="16" t="s">
        <v>2982</v>
      </c>
      <c r="AA305" s="24"/>
      <c r="AB305" s="3"/>
      <c r="AC305" s="3"/>
      <c r="AD305" s="80"/>
      <c r="AE305" s="80"/>
      <c r="AF305" s="80"/>
      <c r="AG305" s="80"/>
      <c r="AH305" s="411"/>
      <c r="AI305" s="411"/>
      <c r="AJ305" s="411"/>
      <c r="AK305" s="411"/>
    </row>
    <row r="306" spans="1:37" x14ac:dyDescent="0.15">
      <c r="A306" s="12" t="s">
        <v>627</v>
      </c>
      <c r="B306" s="13" t="s">
        <v>628</v>
      </c>
      <c r="C306" s="13" t="s">
        <v>27</v>
      </c>
      <c r="D306" s="13" t="s">
        <v>54</v>
      </c>
      <c r="E306" s="12" t="s">
        <v>112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/>
      <c r="O306" s="14"/>
      <c r="P306" s="15"/>
      <c r="Q306" s="15" t="s">
        <v>2982</v>
      </c>
      <c r="R306" s="16" t="s">
        <v>2982</v>
      </c>
      <c r="S306" s="16" t="s">
        <v>2982</v>
      </c>
      <c r="T306" s="16" t="s">
        <v>2982</v>
      </c>
      <c r="U306" s="16" t="s">
        <v>2982</v>
      </c>
      <c r="V306" s="16" t="s">
        <v>2982</v>
      </c>
      <c r="W306" s="16" t="s">
        <v>2982</v>
      </c>
      <c r="X306" s="16" t="s">
        <v>2982</v>
      </c>
      <c r="AA306" s="24"/>
      <c r="AB306" s="3"/>
      <c r="AC306" s="3"/>
      <c r="AD306" s="80"/>
      <c r="AE306" s="80"/>
      <c r="AF306" s="80"/>
      <c r="AG306" s="80"/>
      <c r="AH306" s="411"/>
      <c r="AI306" s="411"/>
      <c r="AJ306" s="411"/>
      <c r="AK306" s="411"/>
    </row>
    <row r="307" spans="1:37" x14ac:dyDescent="0.15">
      <c r="A307" s="12" t="s">
        <v>629</v>
      </c>
      <c r="B307" s="13" t="s">
        <v>630</v>
      </c>
      <c r="C307" s="13" t="s">
        <v>27</v>
      </c>
      <c r="D307" s="13" t="s">
        <v>40</v>
      </c>
      <c r="E307" s="12" t="s">
        <v>32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/>
      <c r="O307" s="14"/>
      <c r="P307" s="15">
        <v>420650.41</v>
      </c>
      <c r="Q307" s="15">
        <v>62007.65</v>
      </c>
      <c r="R307" s="16" t="s">
        <v>2982</v>
      </c>
      <c r="S307" s="16" t="s">
        <v>2982</v>
      </c>
      <c r="T307" s="16" t="s">
        <v>2982</v>
      </c>
      <c r="U307" s="16" t="s">
        <v>2982</v>
      </c>
      <c r="V307" s="16" t="s">
        <v>2982</v>
      </c>
      <c r="W307" s="16" t="s">
        <v>2982</v>
      </c>
      <c r="X307" s="16" t="s">
        <v>2982</v>
      </c>
      <c r="AA307" s="24"/>
      <c r="AB307" s="3"/>
      <c r="AC307" s="3"/>
      <c r="AD307" s="80"/>
      <c r="AE307" s="80"/>
      <c r="AF307" s="80"/>
      <c r="AG307" s="80"/>
      <c r="AH307" s="411"/>
      <c r="AI307" s="411"/>
      <c r="AJ307" s="411"/>
      <c r="AK307" s="411"/>
    </row>
    <row r="308" spans="1:37" x14ac:dyDescent="0.15">
      <c r="A308" s="12" t="s">
        <v>631</v>
      </c>
      <c r="B308" s="13" t="s">
        <v>632</v>
      </c>
      <c r="C308" s="13" t="s">
        <v>27</v>
      </c>
      <c r="D308" s="13" t="s">
        <v>40</v>
      </c>
      <c r="E308" s="12" t="s">
        <v>29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/>
      <c r="O308" s="14"/>
      <c r="P308" s="15">
        <v>1350.18</v>
      </c>
      <c r="Q308" s="15">
        <v>62981.9</v>
      </c>
      <c r="R308" s="16">
        <v>310152.06999999995</v>
      </c>
      <c r="S308" s="16">
        <v>1318203.3700000001</v>
      </c>
      <c r="T308" s="16" t="s">
        <v>2982</v>
      </c>
      <c r="U308" s="16" t="s">
        <v>2982</v>
      </c>
      <c r="V308" s="16" t="s">
        <v>2982</v>
      </c>
      <c r="W308" s="16" t="s">
        <v>2982</v>
      </c>
      <c r="X308" s="16" t="s">
        <v>2982</v>
      </c>
      <c r="AA308" s="24"/>
      <c r="AB308" s="3"/>
      <c r="AC308" s="3"/>
      <c r="AD308" s="80"/>
      <c r="AE308" s="80"/>
      <c r="AF308" s="80"/>
      <c r="AG308" s="80"/>
      <c r="AH308" s="411"/>
      <c r="AI308" s="411"/>
      <c r="AJ308" s="411"/>
      <c r="AK308" s="411"/>
    </row>
    <row r="309" spans="1:37" x14ac:dyDescent="0.15">
      <c r="A309" s="12" t="s">
        <v>633</v>
      </c>
      <c r="B309" s="13" t="s">
        <v>634</v>
      </c>
      <c r="C309" s="13" t="s">
        <v>27</v>
      </c>
      <c r="D309" s="13" t="s">
        <v>54</v>
      </c>
      <c r="E309" s="12" t="s">
        <v>29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/>
      <c r="O309" s="14"/>
      <c r="P309" s="15"/>
      <c r="Q309" s="15">
        <v>1158691.8600000001</v>
      </c>
      <c r="R309" s="16">
        <v>7773341.29</v>
      </c>
      <c r="S309" s="16">
        <v>3841270.77</v>
      </c>
      <c r="T309" s="16">
        <v>4059</v>
      </c>
      <c r="U309" s="16" t="s">
        <v>2982</v>
      </c>
      <c r="V309" s="16" t="s">
        <v>2982</v>
      </c>
      <c r="W309" s="16" t="s">
        <v>2982</v>
      </c>
      <c r="X309" s="16" t="s">
        <v>2982</v>
      </c>
      <c r="AA309" s="24"/>
      <c r="AB309" s="3"/>
      <c r="AC309" s="3"/>
      <c r="AD309" s="80"/>
      <c r="AE309" s="80"/>
      <c r="AF309" s="80"/>
      <c r="AG309" s="80"/>
      <c r="AH309" s="411"/>
      <c r="AI309" s="411"/>
      <c r="AJ309" s="411"/>
      <c r="AK309" s="411"/>
    </row>
    <row r="310" spans="1:37" x14ac:dyDescent="0.15">
      <c r="A310" s="12" t="s">
        <v>635</v>
      </c>
      <c r="B310" s="13" t="s">
        <v>636</v>
      </c>
      <c r="C310" s="13" t="s">
        <v>27</v>
      </c>
      <c r="D310" s="13" t="s">
        <v>54</v>
      </c>
      <c r="E310" s="12" t="s">
        <v>29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/>
      <c r="O310" s="14"/>
      <c r="P310" s="15"/>
      <c r="Q310" s="15">
        <v>1717.95</v>
      </c>
      <c r="R310" s="16">
        <v>658052.53</v>
      </c>
      <c r="S310" s="16">
        <v>257901.54</v>
      </c>
      <c r="T310" s="16" t="s">
        <v>2982</v>
      </c>
      <c r="U310" s="16" t="s">
        <v>2982</v>
      </c>
      <c r="V310" s="16" t="s">
        <v>2982</v>
      </c>
      <c r="W310" s="16" t="s">
        <v>2982</v>
      </c>
      <c r="X310" s="16" t="s">
        <v>2982</v>
      </c>
      <c r="AA310" s="24"/>
      <c r="AB310" s="3"/>
      <c r="AC310" s="3"/>
      <c r="AD310" s="80"/>
      <c r="AE310" s="80"/>
      <c r="AF310" s="80"/>
      <c r="AG310" s="80"/>
      <c r="AH310" s="411"/>
      <c r="AI310" s="411"/>
      <c r="AJ310" s="411"/>
      <c r="AK310" s="411"/>
    </row>
    <row r="311" spans="1:37" x14ac:dyDescent="0.15">
      <c r="A311" s="12" t="s">
        <v>2294</v>
      </c>
      <c r="B311" s="13" t="s">
        <v>2295</v>
      </c>
      <c r="C311" s="13" t="s">
        <v>27</v>
      </c>
      <c r="D311" s="13" t="s">
        <v>28</v>
      </c>
      <c r="E311" s="12" t="s">
        <v>112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/>
      <c r="O311" s="14"/>
      <c r="P311" s="15"/>
      <c r="Q311" s="15">
        <v>159351.10999999999</v>
      </c>
      <c r="R311" s="16">
        <v>5859000</v>
      </c>
      <c r="S311" s="16">
        <v>0</v>
      </c>
      <c r="T311" s="16">
        <v>0</v>
      </c>
      <c r="U311" s="16" t="s">
        <v>2982</v>
      </c>
      <c r="V311" s="16" t="s">
        <v>2982</v>
      </c>
      <c r="W311" s="16" t="s">
        <v>2982</v>
      </c>
      <c r="X311" s="16" t="s">
        <v>2982</v>
      </c>
      <c r="AA311" s="24"/>
      <c r="AB311" s="3"/>
      <c r="AC311" s="3"/>
      <c r="AD311" s="80"/>
      <c r="AE311" s="80"/>
      <c r="AF311" s="80"/>
      <c r="AG311" s="80"/>
      <c r="AH311" s="411"/>
      <c r="AI311" s="411"/>
      <c r="AJ311" s="411"/>
      <c r="AK311" s="411"/>
    </row>
    <row r="312" spans="1:37" x14ac:dyDescent="0.15">
      <c r="A312" s="12" t="s">
        <v>637</v>
      </c>
      <c r="B312" s="13" t="s">
        <v>638</v>
      </c>
      <c r="C312" s="13" t="s">
        <v>27</v>
      </c>
      <c r="D312" s="13" t="s">
        <v>60</v>
      </c>
      <c r="E312" s="12" t="s">
        <v>29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/>
      <c r="O312" s="14"/>
      <c r="P312" s="15">
        <v>334653.59999999998</v>
      </c>
      <c r="Q312" s="15">
        <v>2606238.6</v>
      </c>
      <c r="R312" s="16">
        <v>473138.59</v>
      </c>
      <c r="S312" s="16" t="s">
        <v>2982</v>
      </c>
      <c r="T312" s="16" t="s">
        <v>2982</v>
      </c>
      <c r="U312" s="16" t="s">
        <v>2982</v>
      </c>
      <c r="V312" s="16" t="s">
        <v>2982</v>
      </c>
      <c r="W312" s="16" t="s">
        <v>2982</v>
      </c>
      <c r="X312" s="16" t="s">
        <v>2982</v>
      </c>
      <c r="AA312" s="24"/>
      <c r="AB312" s="3"/>
      <c r="AC312" s="3"/>
      <c r="AD312" s="80"/>
      <c r="AE312" s="80"/>
      <c r="AF312" s="80"/>
      <c r="AG312" s="80"/>
      <c r="AH312" s="411"/>
      <c r="AI312" s="411"/>
      <c r="AJ312" s="411"/>
      <c r="AK312" s="411"/>
    </row>
    <row r="313" spans="1:37" x14ac:dyDescent="0.15">
      <c r="A313" s="12" t="s">
        <v>2391</v>
      </c>
      <c r="B313" s="13" t="s">
        <v>2392</v>
      </c>
      <c r="C313" s="13" t="s">
        <v>27</v>
      </c>
      <c r="D313" s="13" t="s">
        <v>36</v>
      </c>
      <c r="E313" s="12" t="s">
        <v>29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/>
      <c r="O313" s="14"/>
      <c r="P313" s="15"/>
      <c r="Q313" s="15">
        <v>6110.72</v>
      </c>
      <c r="R313" s="16">
        <v>279405.05</v>
      </c>
      <c r="S313" s="16" t="s">
        <v>2982</v>
      </c>
      <c r="T313" s="16" t="s">
        <v>2982</v>
      </c>
      <c r="U313" s="16" t="s">
        <v>2982</v>
      </c>
      <c r="V313" s="16" t="s">
        <v>2982</v>
      </c>
      <c r="W313" s="16" t="s">
        <v>2982</v>
      </c>
      <c r="X313" s="16" t="s">
        <v>2982</v>
      </c>
      <c r="AA313" s="24"/>
      <c r="AB313" s="3"/>
      <c r="AC313" s="3"/>
      <c r="AD313" s="80"/>
      <c r="AE313" s="80"/>
      <c r="AF313" s="80"/>
      <c r="AG313" s="80"/>
      <c r="AH313" s="411"/>
      <c r="AI313" s="411"/>
      <c r="AJ313" s="411"/>
      <c r="AK313" s="411"/>
    </row>
    <row r="314" spans="1:37" x14ac:dyDescent="0.15">
      <c r="A314" s="12" t="s">
        <v>2393</v>
      </c>
      <c r="B314" s="13" t="s">
        <v>2394</v>
      </c>
      <c r="C314" s="13" t="s">
        <v>27</v>
      </c>
      <c r="D314" s="13" t="s">
        <v>36</v>
      </c>
      <c r="E314" s="12" t="s">
        <v>29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/>
      <c r="O314" s="14"/>
      <c r="P314" s="15"/>
      <c r="Q314" s="15">
        <v>14198.62</v>
      </c>
      <c r="R314" s="16">
        <v>835316.55999999994</v>
      </c>
      <c r="S314" s="16" t="s">
        <v>2982</v>
      </c>
      <c r="T314" s="16" t="s">
        <v>2982</v>
      </c>
      <c r="U314" s="16" t="s">
        <v>2982</v>
      </c>
      <c r="V314" s="16" t="s">
        <v>2982</v>
      </c>
      <c r="W314" s="16" t="s">
        <v>2982</v>
      </c>
      <c r="X314" s="16" t="s">
        <v>2982</v>
      </c>
      <c r="AA314" s="24"/>
      <c r="AB314" s="3"/>
      <c r="AC314" s="3"/>
      <c r="AD314" s="80"/>
      <c r="AE314" s="80"/>
      <c r="AF314" s="80"/>
      <c r="AG314" s="80"/>
      <c r="AH314" s="411"/>
      <c r="AI314" s="411"/>
      <c r="AJ314" s="411"/>
      <c r="AK314" s="411"/>
    </row>
    <row r="315" spans="1:37" x14ac:dyDescent="0.15">
      <c r="A315" s="12" t="s">
        <v>2395</v>
      </c>
      <c r="B315" s="13" t="s">
        <v>2396</v>
      </c>
      <c r="C315" s="13" t="s">
        <v>27</v>
      </c>
      <c r="D315" s="13" t="s">
        <v>41</v>
      </c>
      <c r="E315" s="12" t="s">
        <v>112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/>
      <c r="O315" s="14"/>
      <c r="P315" s="15"/>
      <c r="Q315" s="15" t="s">
        <v>2982</v>
      </c>
      <c r="R315" s="16" t="s">
        <v>2982</v>
      </c>
      <c r="S315" s="16">
        <v>975336.26</v>
      </c>
      <c r="T315" s="16">
        <v>11481678.25</v>
      </c>
      <c r="U315" s="16">
        <v>16414485.970000001</v>
      </c>
      <c r="V315" s="16">
        <v>8812756.1600000001</v>
      </c>
      <c r="W315" s="16" t="s">
        <v>2982</v>
      </c>
      <c r="X315" s="16" t="s">
        <v>2982</v>
      </c>
      <c r="AA315" s="24"/>
      <c r="AB315" s="3"/>
      <c r="AC315" s="3"/>
      <c r="AD315" s="80"/>
      <c r="AE315" s="80"/>
      <c r="AF315" s="80"/>
      <c r="AG315" s="80"/>
      <c r="AH315" s="411"/>
      <c r="AI315" s="411"/>
      <c r="AJ315" s="411"/>
      <c r="AK315" s="411"/>
    </row>
    <row r="316" spans="1:37" x14ac:dyDescent="0.15">
      <c r="A316" s="12" t="s">
        <v>2397</v>
      </c>
      <c r="B316" s="13" t="s">
        <v>2398</v>
      </c>
      <c r="C316" s="13" t="s">
        <v>27</v>
      </c>
      <c r="D316" s="13" t="s">
        <v>41</v>
      </c>
      <c r="E316" s="12" t="s">
        <v>112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/>
      <c r="O316" s="14"/>
      <c r="P316" s="15"/>
      <c r="Q316" s="15" t="s">
        <v>2982</v>
      </c>
      <c r="R316" s="16" t="s">
        <v>2982</v>
      </c>
      <c r="S316" s="16">
        <v>887277.43</v>
      </c>
      <c r="T316" s="16">
        <v>8683903.0199999996</v>
      </c>
      <c r="U316" s="16">
        <v>12199972.380000001</v>
      </c>
      <c r="V316" s="16">
        <v>12519743.26</v>
      </c>
      <c r="W316" s="16">
        <v>6680615.8300000001</v>
      </c>
      <c r="X316" s="16" t="s">
        <v>2982</v>
      </c>
      <c r="AA316" s="24"/>
      <c r="AB316" s="3"/>
      <c r="AC316" s="3"/>
      <c r="AD316" s="80"/>
      <c r="AE316" s="80"/>
      <c r="AF316" s="80"/>
      <c r="AG316" s="80"/>
      <c r="AH316" s="411"/>
      <c r="AI316" s="411"/>
      <c r="AJ316" s="411"/>
      <c r="AK316" s="411"/>
    </row>
    <row r="317" spans="1:37" x14ac:dyDescent="0.15">
      <c r="A317" s="12" t="s">
        <v>1097</v>
      </c>
      <c r="B317" s="13" t="s">
        <v>2401</v>
      </c>
      <c r="C317" s="13" t="s">
        <v>27</v>
      </c>
      <c r="D317" s="13" t="s">
        <v>36</v>
      </c>
      <c r="E317" s="12" t="s">
        <v>32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/>
      <c r="O317" s="14"/>
      <c r="P317" s="15"/>
      <c r="Q317" s="15">
        <v>185471.46</v>
      </c>
      <c r="R317" s="16" t="s">
        <v>2982</v>
      </c>
      <c r="S317" s="16" t="s">
        <v>2982</v>
      </c>
      <c r="T317" s="16" t="s">
        <v>2982</v>
      </c>
      <c r="U317" s="16" t="s">
        <v>2982</v>
      </c>
      <c r="V317" s="16" t="s">
        <v>2982</v>
      </c>
      <c r="W317" s="16" t="s">
        <v>2982</v>
      </c>
      <c r="X317" s="16" t="s">
        <v>2982</v>
      </c>
      <c r="AA317" s="24"/>
      <c r="AB317" s="3"/>
      <c r="AC317" s="3"/>
      <c r="AD317" s="80"/>
      <c r="AE317" s="80"/>
      <c r="AF317" s="80"/>
      <c r="AG317" s="80"/>
      <c r="AH317" s="411"/>
      <c r="AI317" s="411"/>
      <c r="AJ317" s="411"/>
      <c r="AK317" s="411"/>
    </row>
    <row r="318" spans="1:37" x14ac:dyDescent="0.15">
      <c r="A318" s="12" t="s">
        <v>2411</v>
      </c>
      <c r="B318" s="13" t="s">
        <v>2296</v>
      </c>
      <c r="C318" s="13" t="s">
        <v>27</v>
      </c>
      <c r="D318" s="13" t="s">
        <v>54</v>
      </c>
      <c r="E318" s="12" t="s">
        <v>112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/>
      <c r="O318" s="14"/>
      <c r="P318" s="15"/>
      <c r="Q318" s="15" t="s">
        <v>2982</v>
      </c>
      <c r="R318" s="16" t="s">
        <v>2982</v>
      </c>
      <c r="S318" s="16">
        <v>136949.44</v>
      </c>
      <c r="T318" s="16" t="s">
        <v>2982</v>
      </c>
      <c r="U318" s="16" t="s">
        <v>2982</v>
      </c>
      <c r="V318" s="16" t="s">
        <v>2982</v>
      </c>
      <c r="W318" s="16" t="s">
        <v>2982</v>
      </c>
      <c r="X318" s="16" t="s">
        <v>2982</v>
      </c>
      <c r="AA318" s="24"/>
      <c r="AB318" s="3"/>
      <c r="AC318" s="3"/>
      <c r="AD318" s="80"/>
      <c r="AE318" s="80"/>
      <c r="AF318" s="80"/>
      <c r="AG318" s="80"/>
      <c r="AH318" s="411"/>
      <c r="AI318" s="411"/>
      <c r="AJ318" s="411"/>
      <c r="AK318" s="411"/>
    </row>
    <row r="319" spans="1:37" x14ac:dyDescent="0.15">
      <c r="A319" s="12" t="s">
        <v>2412</v>
      </c>
      <c r="B319" s="13" t="s">
        <v>2413</v>
      </c>
      <c r="C319" s="13" t="s">
        <v>2371</v>
      </c>
      <c r="D319" s="13" t="s">
        <v>28</v>
      </c>
      <c r="E319" s="12" t="s">
        <v>29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/>
      <c r="O319" s="14"/>
      <c r="P319" s="15"/>
      <c r="Q319" s="15">
        <v>1402875.54</v>
      </c>
      <c r="R319" s="16">
        <v>1045547.69</v>
      </c>
      <c r="S319" s="16" t="s">
        <v>2982</v>
      </c>
      <c r="T319" s="16" t="s">
        <v>2982</v>
      </c>
      <c r="U319" s="16" t="s">
        <v>2982</v>
      </c>
      <c r="V319" s="16" t="s">
        <v>2982</v>
      </c>
      <c r="W319" s="16" t="s">
        <v>2982</v>
      </c>
      <c r="X319" s="16" t="s">
        <v>2982</v>
      </c>
      <c r="AA319" s="24"/>
      <c r="AB319" s="3"/>
      <c r="AC319" s="3"/>
      <c r="AD319" s="80"/>
      <c r="AE319" s="80"/>
      <c r="AF319" s="80"/>
      <c r="AG319" s="80"/>
      <c r="AH319" s="411"/>
      <c r="AI319" s="411"/>
      <c r="AJ319" s="411"/>
      <c r="AK319" s="411"/>
    </row>
    <row r="320" spans="1:37" x14ac:dyDescent="0.15">
      <c r="A320" s="12" t="s">
        <v>2414</v>
      </c>
      <c r="B320" s="13" t="s">
        <v>2415</v>
      </c>
      <c r="C320" s="13" t="s">
        <v>2371</v>
      </c>
      <c r="D320" s="13" t="s">
        <v>28</v>
      </c>
      <c r="E320" s="12" t="s">
        <v>29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/>
      <c r="O320" s="14"/>
      <c r="P320" s="15"/>
      <c r="Q320" s="15">
        <v>110928.9</v>
      </c>
      <c r="R320" s="16">
        <v>397001.15</v>
      </c>
      <c r="S320" s="16" t="s">
        <v>2982</v>
      </c>
      <c r="T320" s="16" t="s">
        <v>2982</v>
      </c>
      <c r="U320" s="16" t="s">
        <v>2982</v>
      </c>
      <c r="V320" s="16" t="s">
        <v>2982</v>
      </c>
      <c r="W320" s="16" t="s">
        <v>2982</v>
      </c>
      <c r="X320" s="16" t="s">
        <v>2982</v>
      </c>
      <c r="AA320" s="24"/>
      <c r="AB320" s="3"/>
      <c r="AC320" s="3"/>
      <c r="AD320" s="80"/>
      <c r="AE320" s="80"/>
      <c r="AF320" s="80"/>
      <c r="AG320" s="80"/>
      <c r="AH320" s="411"/>
      <c r="AI320" s="411"/>
      <c r="AJ320" s="411"/>
      <c r="AK320" s="411"/>
    </row>
    <row r="321" spans="1:37" x14ac:dyDescent="0.15">
      <c r="A321" s="12" t="s">
        <v>2416</v>
      </c>
      <c r="B321" s="13" t="s">
        <v>2417</v>
      </c>
      <c r="C321" s="13" t="s">
        <v>27</v>
      </c>
      <c r="D321" s="13" t="s">
        <v>28</v>
      </c>
      <c r="E321" s="12" t="s">
        <v>112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/>
      <c r="O321" s="14"/>
      <c r="P321" s="15"/>
      <c r="Q321" s="15" t="s">
        <v>2982</v>
      </c>
      <c r="R321" s="16">
        <v>26346.179999999993</v>
      </c>
      <c r="S321" s="16">
        <v>581.34</v>
      </c>
      <c r="T321" s="16" t="s">
        <v>2982</v>
      </c>
      <c r="U321" s="16" t="s">
        <v>2982</v>
      </c>
      <c r="V321" s="16" t="s">
        <v>2982</v>
      </c>
      <c r="W321" s="16" t="s">
        <v>2982</v>
      </c>
      <c r="X321" s="16" t="s">
        <v>2982</v>
      </c>
      <c r="AA321" s="24"/>
      <c r="AB321" s="3"/>
      <c r="AC321" s="3"/>
      <c r="AD321" s="80"/>
      <c r="AE321" s="80"/>
      <c r="AF321" s="80"/>
      <c r="AG321" s="80"/>
      <c r="AH321" s="411"/>
      <c r="AI321" s="411"/>
      <c r="AJ321" s="411"/>
      <c r="AK321" s="411"/>
    </row>
    <row r="322" spans="1:37" x14ac:dyDescent="0.15">
      <c r="A322" s="12" t="s">
        <v>2419</v>
      </c>
      <c r="B322" s="13" t="s">
        <v>2420</v>
      </c>
      <c r="C322" s="13" t="s">
        <v>27</v>
      </c>
      <c r="D322" s="13" t="s">
        <v>40</v>
      </c>
      <c r="E322" s="12" t="s">
        <v>112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/>
      <c r="O322" s="14"/>
      <c r="P322" s="15"/>
      <c r="Q322" s="15" t="s">
        <v>2982</v>
      </c>
      <c r="R322" s="16" t="s">
        <v>2982</v>
      </c>
      <c r="S322" s="16">
        <v>20342.240000000002</v>
      </c>
      <c r="T322" s="16" t="s">
        <v>2982</v>
      </c>
      <c r="U322" s="16">
        <v>138514.82999999999</v>
      </c>
      <c r="V322" s="16">
        <v>1354204.85</v>
      </c>
      <c r="W322" s="16">
        <v>1279448.06</v>
      </c>
      <c r="X322" s="16" t="s">
        <v>2982</v>
      </c>
      <c r="AA322" s="24"/>
      <c r="AB322" s="3"/>
      <c r="AC322" s="3"/>
      <c r="AD322" s="80"/>
      <c r="AE322" s="80"/>
      <c r="AF322" s="80"/>
      <c r="AG322" s="80"/>
      <c r="AH322" s="411"/>
      <c r="AI322" s="411"/>
      <c r="AJ322" s="411"/>
      <c r="AK322" s="411"/>
    </row>
    <row r="323" spans="1:37" x14ac:dyDescent="0.15">
      <c r="A323" s="12" t="s">
        <v>2421</v>
      </c>
      <c r="B323" s="13" t="s">
        <v>2422</v>
      </c>
      <c r="C323" s="13" t="s">
        <v>27</v>
      </c>
      <c r="D323" s="13" t="s">
        <v>36</v>
      </c>
      <c r="E323" s="12" t="s">
        <v>29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/>
      <c r="O323" s="14"/>
      <c r="P323" s="15"/>
      <c r="Q323" s="15">
        <v>57915.38</v>
      </c>
      <c r="R323" s="16">
        <v>1933029.36</v>
      </c>
      <c r="S323" s="16" t="s">
        <v>2982</v>
      </c>
      <c r="T323" s="16" t="s">
        <v>2982</v>
      </c>
      <c r="U323" s="16" t="s">
        <v>2982</v>
      </c>
      <c r="V323" s="16" t="s">
        <v>2982</v>
      </c>
      <c r="W323" s="16" t="s">
        <v>2982</v>
      </c>
      <c r="X323" s="16" t="s">
        <v>2982</v>
      </c>
      <c r="AA323" s="24"/>
      <c r="AB323" s="3"/>
      <c r="AC323" s="3"/>
      <c r="AD323" s="80"/>
      <c r="AE323" s="80"/>
      <c r="AF323" s="80"/>
      <c r="AG323" s="80"/>
      <c r="AH323" s="411"/>
      <c r="AI323" s="411"/>
      <c r="AJ323" s="411"/>
      <c r="AK323" s="411"/>
    </row>
    <row r="324" spans="1:37" x14ac:dyDescent="0.15">
      <c r="A324" s="12" t="s">
        <v>2423</v>
      </c>
      <c r="B324" s="13" t="s">
        <v>2424</v>
      </c>
      <c r="C324" s="13" t="s">
        <v>27</v>
      </c>
      <c r="D324" s="13" t="s">
        <v>40</v>
      </c>
      <c r="E324" s="12" t="s">
        <v>29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/>
      <c r="O324" s="14"/>
      <c r="P324" s="15"/>
      <c r="Q324" s="15">
        <v>126987.51</v>
      </c>
      <c r="R324" s="16">
        <v>636285.17000000004</v>
      </c>
      <c r="S324" s="16" t="s">
        <v>2982</v>
      </c>
      <c r="T324" s="16" t="s">
        <v>2982</v>
      </c>
      <c r="U324" s="16" t="s">
        <v>2982</v>
      </c>
      <c r="V324" s="16" t="s">
        <v>2982</v>
      </c>
      <c r="W324" s="16" t="s">
        <v>2982</v>
      </c>
      <c r="X324" s="16" t="s">
        <v>2982</v>
      </c>
      <c r="AA324" s="24"/>
      <c r="AB324" s="3"/>
      <c r="AC324" s="3"/>
      <c r="AD324" s="80"/>
      <c r="AE324" s="80"/>
      <c r="AF324" s="80"/>
      <c r="AG324" s="80"/>
      <c r="AH324" s="411"/>
      <c r="AI324" s="411"/>
      <c r="AJ324" s="411"/>
      <c r="AK324" s="411"/>
    </row>
    <row r="325" spans="1:37" x14ac:dyDescent="0.15">
      <c r="A325" s="12" t="s">
        <v>2425</v>
      </c>
      <c r="B325" s="13" t="s">
        <v>2426</v>
      </c>
      <c r="C325" s="13" t="s">
        <v>27</v>
      </c>
      <c r="D325" s="13" t="s">
        <v>40</v>
      </c>
      <c r="E325" s="12" t="s">
        <v>112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/>
      <c r="O325" s="14"/>
      <c r="P325" s="15"/>
      <c r="Q325" s="15">
        <v>93300.67</v>
      </c>
      <c r="R325" s="16">
        <v>2592119.3569999998</v>
      </c>
      <c r="S325" s="16" t="s">
        <v>2982</v>
      </c>
      <c r="T325" s="16" t="s">
        <v>2982</v>
      </c>
      <c r="U325" s="16" t="s">
        <v>2982</v>
      </c>
      <c r="V325" s="16" t="s">
        <v>2982</v>
      </c>
      <c r="W325" s="16" t="s">
        <v>2982</v>
      </c>
      <c r="X325" s="16" t="s">
        <v>2982</v>
      </c>
      <c r="AA325" s="24"/>
      <c r="AB325" s="3"/>
      <c r="AC325" s="3"/>
      <c r="AD325" s="80"/>
      <c r="AE325" s="80"/>
      <c r="AF325" s="80"/>
      <c r="AG325" s="80"/>
      <c r="AH325" s="411"/>
      <c r="AI325" s="411"/>
      <c r="AJ325" s="411"/>
      <c r="AK325" s="411"/>
    </row>
    <row r="326" spans="1:37" x14ac:dyDescent="0.15">
      <c r="A326" s="12" t="s">
        <v>2429</v>
      </c>
      <c r="B326" s="13" t="s">
        <v>2430</v>
      </c>
      <c r="C326" s="13" t="s">
        <v>27</v>
      </c>
      <c r="D326" s="13" t="s">
        <v>40</v>
      </c>
      <c r="E326" s="12" t="s">
        <v>112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/>
      <c r="O326" s="14"/>
      <c r="P326" s="15"/>
      <c r="Q326" s="15" t="s">
        <v>2982</v>
      </c>
      <c r="R326" s="16" t="s">
        <v>2982</v>
      </c>
      <c r="S326" s="16" t="s">
        <v>2982</v>
      </c>
      <c r="T326" s="16" t="s">
        <v>2982</v>
      </c>
      <c r="U326" s="16">
        <v>967953.2</v>
      </c>
      <c r="V326" s="16">
        <v>3952023.75</v>
      </c>
      <c r="W326" s="16" t="s">
        <v>2982</v>
      </c>
      <c r="X326" s="16" t="s">
        <v>2982</v>
      </c>
      <c r="AA326" s="24"/>
      <c r="AB326" s="3"/>
      <c r="AC326" s="3"/>
      <c r="AD326" s="80"/>
      <c r="AE326" s="80"/>
      <c r="AF326" s="80"/>
      <c r="AG326" s="80"/>
      <c r="AH326" s="411"/>
      <c r="AI326" s="411"/>
      <c r="AJ326" s="411"/>
      <c r="AK326" s="411"/>
    </row>
    <row r="327" spans="1:37" x14ac:dyDescent="0.15">
      <c r="A327" s="12" t="s">
        <v>2431</v>
      </c>
      <c r="B327" s="13" t="s">
        <v>2432</v>
      </c>
      <c r="C327" s="13" t="s">
        <v>27</v>
      </c>
      <c r="D327" s="13" t="s">
        <v>40</v>
      </c>
      <c r="E327" s="12" t="s">
        <v>32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/>
      <c r="O327" s="14"/>
      <c r="P327" s="15"/>
      <c r="Q327" s="15">
        <v>53395.19</v>
      </c>
      <c r="R327" s="16" t="s">
        <v>2982</v>
      </c>
      <c r="S327" s="16" t="s">
        <v>2982</v>
      </c>
      <c r="T327" s="16" t="s">
        <v>2982</v>
      </c>
      <c r="U327" s="16" t="s">
        <v>2982</v>
      </c>
      <c r="V327" s="16" t="s">
        <v>2982</v>
      </c>
      <c r="W327" s="16" t="s">
        <v>2982</v>
      </c>
      <c r="X327" s="16" t="s">
        <v>2982</v>
      </c>
      <c r="AA327" s="24"/>
      <c r="AB327" s="3"/>
      <c r="AC327" s="3"/>
      <c r="AD327" s="80"/>
      <c r="AE327" s="80"/>
      <c r="AF327" s="80"/>
      <c r="AG327" s="80"/>
      <c r="AH327" s="411"/>
      <c r="AI327" s="411"/>
      <c r="AJ327" s="411"/>
      <c r="AK327" s="411"/>
    </row>
    <row r="328" spans="1:37" x14ac:dyDescent="0.15">
      <c r="A328" s="12" t="s">
        <v>2433</v>
      </c>
      <c r="B328" s="13" t="s">
        <v>2434</v>
      </c>
      <c r="C328" s="13" t="s">
        <v>27</v>
      </c>
      <c r="D328" s="13" t="s">
        <v>36</v>
      </c>
      <c r="E328" s="12" t="s">
        <v>29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/>
      <c r="O328" s="14"/>
      <c r="P328" s="15"/>
      <c r="Q328" s="15">
        <v>115672.59</v>
      </c>
      <c r="R328" s="16">
        <v>13200</v>
      </c>
      <c r="S328" s="16" t="s">
        <v>2982</v>
      </c>
      <c r="T328" s="16" t="s">
        <v>2982</v>
      </c>
      <c r="U328" s="16" t="s">
        <v>2982</v>
      </c>
      <c r="V328" s="16" t="s">
        <v>2982</v>
      </c>
      <c r="W328" s="16" t="s">
        <v>2982</v>
      </c>
      <c r="X328" s="16" t="s">
        <v>2982</v>
      </c>
      <c r="AA328" s="24"/>
      <c r="AB328" s="3"/>
      <c r="AC328" s="3"/>
      <c r="AD328" s="80"/>
      <c r="AE328" s="80"/>
      <c r="AF328" s="80"/>
      <c r="AG328" s="80"/>
      <c r="AH328" s="411"/>
      <c r="AI328" s="411"/>
      <c r="AJ328" s="411"/>
      <c r="AK328" s="411"/>
    </row>
    <row r="329" spans="1:37" x14ac:dyDescent="0.15">
      <c r="A329" s="12" t="s">
        <v>2435</v>
      </c>
      <c r="B329" s="13" t="s">
        <v>2436</v>
      </c>
      <c r="C329" s="13" t="s">
        <v>27</v>
      </c>
      <c r="D329" s="13" t="s">
        <v>54</v>
      </c>
      <c r="E329" s="12" t="s">
        <v>29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5"/>
      <c r="Q329" s="15">
        <v>112917.27</v>
      </c>
      <c r="R329" s="16">
        <v>465023.05</v>
      </c>
      <c r="S329" s="16" t="s">
        <v>2982</v>
      </c>
      <c r="T329" s="16" t="s">
        <v>2982</v>
      </c>
      <c r="U329" s="16" t="s">
        <v>2982</v>
      </c>
      <c r="V329" s="16" t="s">
        <v>2982</v>
      </c>
      <c r="W329" s="16" t="s">
        <v>2982</v>
      </c>
      <c r="X329" s="16" t="s">
        <v>2982</v>
      </c>
      <c r="AA329" s="24"/>
      <c r="AB329" s="3"/>
      <c r="AC329" s="3"/>
      <c r="AD329" s="80"/>
      <c r="AE329" s="80"/>
      <c r="AF329" s="80"/>
      <c r="AG329" s="80"/>
      <c r="AH329" s="411"/>
      <c r="AI329" s="411"/>
      <c r="AJ329" s="411"/>
      <c r="AK329" s="411"/>
    </row>
    <row r="330" spans="1:37" x14ac:dyDescent="0.15">
      <c r="A330" s="12" t="s">
        <v>2437</v>
      </c>
      <c r="B330" s="13" t="s">
        <v>2438</v>
      </c>
      <c r="C330" s="13" t="s">
        <v>27</v>
      </c>
      <c r="D330" s="13" t="s">
        <v>36</v>
      </c>
      <c r="E330" s="12" t="s">
        <v>29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5"/>
      <c r="Q330" s="15">
        <v>33336.53</v>
      </c>
      <c r="R330" s="16">
        <v>5679738.5300000003</v>
      </c>
      <c r="S330" s="16" t="s">
        <v>2982</v>
      </c>
      <c r="T330" s="16" t="s">
        <v>2982</v>
      </c>
      <c r="U330" s="16" t="s">
        <v>2982</v>
      </c>
      <c r="V330" s="16" t="s">
        <v>2982</v>
      </c>
      <c r="W330" s="16" t="s">
        <v>2982</v>
      </c>
      <c r="X330" s="16" t="s">
        <v>2982</v>
      </c>
      <c r="AA330" s="24"/>
      <c r="AB330" s="3"/>
      <c r="AC330" s="3"/>
      <c r="AD330" s="80"/>
      <c r="AE330" s="80"/>
      <c r="AF330" s="80"/>
      <c r="AG330" s="80"/>
      <c r="AH330" s="411"/>
      <c r="AI330" s="411"/>
      <c r="AJ330" s="411"/>
      <c r="AK330" s="411"/>
    </row>
    <row r="331" spans="1:37" x14ac:dyDescent="0.15">
      <c r="A331" s="12" t="s">
        <v>2439</v>
      </c>
      <c r="B331" s="13" t="s">
        <v>2440</v>
      </c>
      <c r="C331" s="13" t="s">
        <v>27</v>
      </c>
      <c r="D331" s="13" t="s">
        <v>60</v>
      </c>
      <c r="E331" s="12" t="s">
        <v>29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5"/>
      <c r="Q331" s="15">
        <v>1148062.3400000001</v>
      </c>
      <c r="R331" s="16">
        <v>1823765.5799999998</v>
      </c>
      <c r="S331" s="16" t="s">
        <v>2982</v>
      </c>
      <c r="T331" s="16" t="s">
        <v>2982</v>
      </c>
      <c r="U331" s="16" t="s">
        <v>2982</v>
      </c>
      <c r="V331" s="16" t="s">
        <v>2982</v>
      </c>
      <c r="W331" s="16" t="s">
        <v>2982</v>
      </c>
      <c r="X331" s="16" t="s">
        <v>2982</v>
      </c>
      <c r="AA331" s="24"/>
      <c r="AB331" s="3"/>
      <c r="AC331" s="3"/>
      <c r="AD331" s="80"/>
      <c r="AE331" s="80"/>
      <c r="AF331" s="80"/>
      <c r="AG331" s="80"/>
      <c r="AH331" s="411"/>
      <c r="AI331" s="411"/>
      <c r="AJ331" s="411"/>
      <c r="AK331" s="411"/>
    </row>
    <row r="332" spans="1:37" x14ac:dyDescent="0.15">
      <c r="A332" s="78" t="s">
        <v>2604</v>
      </c>
      <c r="B332" s="78" t="s">
        <v>2605</v>
      </c>
      <c r="C332" s="78" t="s">
        <v>27</v>
      </c>
      <c r="D332" s="13" t="s">
        <v>28</v>
      </c>
      <c r="E332" s="78" t="s">
        <v>29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5"/>
      <c r="Q332" s="15">
        <v>177945.1</v>
      </c>
      <c r="R332" s="16">
        <v>2834362.9</v>
      </c>
      <c r="S332" s="16">
        <v>520734.82</v>
      </c>
      <c r="T332" s="16" t="s">
        <v>2982</v>
      </c>
      <c r="U332" s="16" t="s">
        <v>2982</v>
      </c>
      <c r="V332" s="16" t="s">
        <v>2982</v>
      </c>
      <c r="W332" s="16" t="s">
        <v>2982</v>
      </c>
      <c r="X332" s="16" t="s">
        <v>2982</v>
      </c>
      <c r="AA332" s="24"/>
      <c r="AB332" s="3"/>
      <c r="AC332" s="3"/>
      <c r="AD332" s="80"/>
      <c r="AE332" s="80"/>
      <c r="AF332" s="80"/>
      <c r="AG332" s="80"/>
      <c r="AH332" s="411"/>
      <c r="AI332" s="411"/>
      <c r="AJ332" s="411"/>
      <c r="AK332" s="411"/>
    </row>
    <row r="333" spans="1:37" x14ac:dyDescent="0.15">
      <c r="A333" s="78" t="s">
        <v>2606</v>
      </c>
      <c r="B333" s="78" t="s">
        <v>2607</v>
      </c>
      <c r="C333" s="78" t="s">
        <v>27</v>
      </c>
      <c r="D333" s="13" t="s">
        <v>28</v>
      </c>
      <c r="E333" s="78" t="s">
        <v>29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5"/>
      <c r="Q333" s="15">
        <v>56209.279999999999</v>
      </c>
      <c r="R333" s="16">
        <v>2723489.6</v>
      </c>
      <c r="S333" s="16">
        <v>1014256.16</v>
      </c>
      <c r="T333" s="16" t="s">
        <v>2982</v>
      </c>
      <c r="U333" s="16" t="s">
        <v>2982</v>
      </c>
      <c r="V333" s="16" t="s">
        <v>2982</v>
      </c>
      <c r="W333" s="16" t="s">
        <v>2982</v>
      </c>
      <c r="X333" s="16" t="s">
        <v>2982</v>
      </c>
      <c r="AA333" s="24"/>
      <c r="AB333" s="3"/>
      <c r="AC333" s="3"/>
      <c r="AD333" s="80"/>
      <c r="AE333" s="80"/>
      <c r="AF333" s="80"/>
      <c r="AG333" s="80"/>
      <c r="AH333" s="411"/>
      <c r="AI333" s="411"/>
      <c r="AJ333" s="411"/>
      <c r="AK333" s="411"/>
    </row>
    <row r="334" spans="1:37" x14ac:dyDescent="0.15">
      <c r="A334" s="78" t="s">
        <v>2608</v>
      </c>
      <c r="B334" s="78" t="s">
        <v>2609</v>
      </c>
      <c r="C334" s="78" t="s">
        <v>27</v>
      </c>
      <c r="D334" s="13" t="s">
        <v>54</v>
      </c>
      <c r="E334" s="78" t="s">
        <v>112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5"/>
      <c r="Q334" s="15" t="s">
        <v>2982</v>
      </c>
      <c r="R334" s="16">
        <v>21824.36</v>
      </c>
      <c r="S334" s="16">
        <v>407980</v>
      </c>
      <c r="T334" s="16" t="s">
        <v>2982</v>
      </c>
      <c r="U334" s="16" t="s">
        <v>2982</v>
      </c>
      <c r="V334" s="16" t="s">
        <v>2982</v>
      </c>
      <c r="W334" s="16" t="s">
        <v>2982</v>
      </c>
      <c r="X334" s="16" t="s">
        <v>2982</v>
      </c>
      <c r="AA334" s="24"/>
      <c r="AB334" s="3"/>
      <c r="AC334" s="3"/>
      <c r="AD334" s="80"/>
      <c r="AE334" s="80"/>
      <c r="AF334" s="80"/>
      <c r="AG334" s="80"/>
      <c r="AH334" s="411"/>
      <c r="AI334" s="411"/>
      <c r="AJ334" s="411"/>
      <c r="AK334" s="411"/>
    </row>
    <row r="335" spans="1:37" x14ac:dyDescent="0.15">
      <c r="A335" s="78" t="s">
        <v>2610</v>
      </c>
      <c r="B335" s="78" t="s">
        <v>2611</v>
      </c>
      <c r="C335" s="78" t="s">
        <v>27</v>
      </c>
      <c r="D335" s="13" t="s">
        <v>40</v>
      </c>
      <c r="E335" s="78" t="s">
        <v>29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5"/>
      <c r="Q335" s="15">
        <v>32144.98</v>
      </c>
      <c r="R335" s="16">
        <v>927855.05</v>
      </c>
      <c r="S335" s="16" t="s">
        <v>2982</v>
      </c>
      <c r="T335" s="16" t="s">
        <v>2982</v>
      </c>
      <c r="U335" s="16" t="s">
        <v>2982</v>
      </c>
      <c r="V335" s="16" t="s">
        <v>2982</v>
      </c>
      <c r="W335" s="16" t="s">
        <v>2982</v>
      </c>
      <c r="X335" s="16" t="s">
        <v>2982</v>
      </c>
      <c r="AA335" s="24"/>
      <c r="AB335" s="3"/>
      <c r="AC335" s="3"/>
      <c r="AD335" s="80"/>
      <c r="AE335" s="80"/>
      <c r="AF335" s="80"/>
      <c r="AG335" s="80"/>
      <c r="AH335" s="411"/>
      <c r="AI335" s="411"/>
      <c r="AJ335" s="411"/>
      <c r="AK335" s="411"/>
    </row>
    <row r="336" spans="1:37" x14ac:dyDescent="0.15">
      <c r="A336" s="12" t="s">
        <v>2612</v>
      </c>
      <c r="B336" s="13" t="s">
        <v>2613</v>
      </c>
      <c r="C336" s="13" t="s">
        <v>27</v>
      </c>
      <c r="D336" s="13" t="s">
        <v>54</v>
      </c>
      <c r="E336" s="12" t="s">
        <v>29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5"/>
      <c r="Q336" s="15">
        <v>37331.14</v>
      </c>
      <c r="R336" s="16">
        <v>1930287.0449999999</v>
      </c>
      <c r="S336" s="16" t="s">
        <v>2982</v>
      </c>
      <c r="T336" s="16" t="s">
        <v>2982</v>
      </c>
      <c r="U336" s="16" t="s">
        <v>2982</v>
      </c>
      <c r="V336" s="16" t="s">
        <v>2982</v>
      </c>
      <c r="W336" s="16" t="s">
        <v>2982</v>
      </c>
      <c r="X336" s="16" t="s">
        <v>2982</v>
      </c>
      <c r="AA336" s="24"/>
      <c r="AB336" s="3"/>
      <c r="AC336" s="3"/>
      <c r="AD336" s="654">
        <v>1</v>
      </c>
      <c r="AE336" s="654">
        <v>1</v>
      </c>
      <c r="AF336" s="654">
        <v>0.75</v>
      </c>
      <c r="AG336" s="654">
        <v>0</v>
      </c>
      <c r="AH336" s="654">
        <v>0</v>
      </c>
      <c r="AI336" s="411"/>
      <c r="AJ336" s="411"/>
      <c r="AK336" s="411"/>
    </row>
    <row r="337" spans="1:37" x14ac:dyDescent="0.15">
      <c r="A337" s="12" t="s">
        <v>2614</v>
      </c>
      <c r="B337" s="13" t="s">
        <v>2615</v>
      </c>
      <c r="C337" s="13" t="s">
        <v>27</v>
      </c>
      <c r="D337" s="13" t="s">
        <v>54</v>
      </c>
      <c r="E337" s="12" t="s">
        <v>112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5"/>
      <c r="Q337" s="15">
        <v>19135.87</v>
      </c>
      <c r="R337" s="16">
        <v>619518.56999999983</v>
      </c>
      <c r="S337" s="16">
        <v>1888865</v>
      </c>
      <c r="T337" s="16">
        <v>6378</v>
      </c>
      <c r="U337" s="16" t="s">
        <v>2982</v>
      </c>
      <c r="V337" s="16" t="s">
        <v>2982</v>
      </c>
      <c r="W337" s="16" t="s">
        <v>2982</v>
      </c>
      <c r="X337" s="16" t="s">
        <v>2982</v>
      </c>
      <c r="AA337" s="24"/>
      <c r="AB337" s="3"/>
      <c r="AC337" s="3"/>
      <c r="AD337" s="80"/>
      <c r="AE337" s="80"/>
      <c r="AF337" s="80"/>
      <c r="AG337" s="80"/>
      <c r="AH337" s="411"/>
      <c r="AI337" s="411"/>
      <c r="AJ337" s="411"/>
      <c r="AK337" s="411"/>
    </row>
    <row r="338" spans="1:37" x14ac:dyDescent="0.15">
      <c r="A338" s="78" t="s">
        <v>2616</v>
      </c>
      <c r="B338" s="78" t="s">
        <v>2617</v>
      </c>
      <c r="C338" s="78" t="s">
        <v>27</v>
      </c>
      <c r="D338" s="13" t="s">
        <v>54</v>
      </c>
      <c r="E338" s="78" t="s">
        <v>112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5"/>
      <c r="Q338" s="15">
        <v>36152.019999999997</v>
      </c>
      <c r="R338" s="16">
        <v>214027.02000000002</v>
      </c>
      <c r="S338" s="16" t="s">
        <v>2982</v>
      </c>
      <c r="T338" s="16" t="s">
        <v>2982</v>
      </c>
      <c r="U338" s="16" t="s">
        <v>2982</v>
      </c>
      <c r="V338" s="16" t="s">
        <v>2982</v>
      </c>
      <c r="W338" s="16" t="s">
        <v>2982</v>
      </c>
      <c r="X338" s="16" t="s">
        <v>2982</v>
      </c>
      <c r="AA338" s="24"/>
      <c r="AB338" s="3"/>
      <c r="AC338" s="3"/>
      <c r="AD338" s="80"/>
      <c r="AE338" s="80"/>
      <c r="AF338" s="80"/>
      <c r="AG338" s="80"/>
      <c r="AH338" s="411"/>
      <c r="AI338" s="411"/>
      <c r="AJ338" s="411"/>
      <c r="AK338" s="411"/>
    </row>
    <row r="339" spans="1:37" x14ac:dyDescent="0.15">
      <c r="A339" s="78" t="s">
        <v>2633</v>
      </c>
      <c r="B339" s="78" t="s">
        <v>2634</v>
      </c>
      <c r="C339" s="78" t="s">
        <v>27</v>
      </c>
      <c r="D339" s="13" t="s">
        <v>54</v>
      </c>
      <c r="E339" s="78" t="s">
        <v>112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5"/>
      <c r="Q339" s="15">
        <v>4901.7299999999996</v>
      </c>
      <c r="R339" s="16">
        <v>576838.11</v>
      </c>
      <c r="S339" s="16">
        <v>587.35</v>
      </c>
      <c r="T339" s="16" t="s">
        <v>2982</v>
      </c>
      <c r="U339" s="16" t="s">
        <v>2982</v>
      </c>
      <c r="V339" s="16" t="s">
        <v>2982</v>
      </c>
      <c r="W339" s="16" t="s">
        <v>2982</v>
      </c>
      <c r="X339" s="16" t="s">
        <v>2982</v>
      </c>
      <c r="AA339" s="24"/>
      <c r="AB339" s="3"/>
      <c r="AC339" s="3"/>
      <c r="AD339" s="80"/>
      <c r="AE339" s="80"/>
      <c r="AF339" s="80"/>
      <c r="AG339" s="80"/>
      <c r="AH339" s="411"/>
      <c r="AI339" s="411"/>
      <c r="AJ339" s="411"/>
      <c r="AK339" s="411"/>
    </row>
    <row r="340" spans="1:37" x14ac:dyDescent="0.15">
      <c r="A340" s="78" t="s">
        <v>2635</v>
      </c>
      <c r="B340" s="78" t="s">
        <v>2636</v>
      </c>
      <c r="C340" s="78" t="s">
        <v>27</v>
      </c>
      <c r="D340" s="13" t="s">
        <v>40</v>
      </c>
      <c r="E340" s="78" t="s">
        <v>112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5"/>
      <c r="Q340" s="15" t="s">
        <v>2982</v>
      </c>
      <c r="R340" s="16" t="s">
        <v>2982</v>
      </c>
      <c r="S340" s="16" t="s">
        <v>2982</v>
      </c>
      <c r="T340" s="16" t="s">
        <v>2982</v>
      </c>
      <c r="U340" s="16">
        <v>77392.25</v>
      </c>
      <c r="V340" s="16">
        <v>857413.96</v>
      </c>
      <c r="W340" s="16">
        <v>428860.49</v>
      </c>
      <c r="X340" s="16" t="s">
        <v>2982</v>
      </c>
      <c r="AA340" s="24"/>
      <c r="AB340" s="3"/>
      <c r="AC340" s="3"/>
      <c r="AD340" s="80"/>
      <c r="AE340" s="80"/>
      <c r="AF340" s="80"/>
      <c r="AG340" s="80"/>
      <c r="AH340" s="411"/>
      <c r="AI340" s="411"/>
      <c r="AJ340" s="411"/>
      <c r="AK340" s="411"/>
    </row>
    <row r="341" spans="1:37" x14ac:dyDescent="0.15">
      <c r="A341" s="78" t="s">
        <v>2637</v>
      </c>
      <c r="B341" s="78" t="s">
        <v>2638</v>
      </c>
      <c r="C341" s="78" t="s">
        <v>27</v>
      </c>
      <c r="D341" s="13" t="s">
        <v>54</v>
      </c>
      <c r="E341" s="78" t="s">
        <v>112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5"/>
      <c r="Q341" s="15">
        <v>3990.84</v>
      </c>
      <c r="R341" s="16">
        <v>358172.39</v>
      </c>
      <c r="S341" s="16" t="s">
        <v>2982</v>
      </c>
      <c r="T341" s="16" t="s">
        <v>2982</v>
      </c>
      <c r="U341" s="16" t="s">
        <v>2982</v>
      </c>
      <c r="V341" s="16" t="s">
        <v>2982</v>
      </c>
      <c r="W341" s="16" t="s">
        <v>2982</v>
      </c>
      <c r="X341" s="16" t="s">
        <v>2982</v>
      </c>
      <c r="AA341" s="24"/>
      <c r="AB341" s="3"/>
      <c r="AC341" s="3"/>
      <c r="AD341" s="80"/>
      <c r="AE341" s="80"/>
      <c r="AF341" s="80"/>
      <c r="AG341" s="80"/>
      <c r="AH341" s="411"/>
      <c r="AI341" s="411"/>
      <c r="AJ341" s="411"/>
      <c r="AK341" s="411"/>
    </row>
    <row r="342" spans="1:37" x14ac:dyDescent="0.15">
      <c r="A342" s="78" t="s">
        <v>2639</v>
      </c>
      <c r="B342" s="78" t="s">
        <v>2640</v>
      </c>
      <c r="C342" s="78" t="s">
        <v>27</v>
      </c>
      <c r="D342" s="78" t="s">
        <v>40</v>
      </c>
      <c r="E342" s="78" t="s">
        <v>112</v>
      </c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5"/>
      <c r="Q342" s="15" t="s">
        <v>2982</v>
      </c>
      <c r="R342" s="16" t="s">
        <v>2982</v>
      </c>
      <c r="S342" s="16">
        <v>461509.82</v>
      </c>
      <c r="T342" s="16">
        <v>429496.12</v>
      </c>
      <c r="U342" s="16">
        <v>437658.52</v>
      </c>
      <c r="V342" s="16">
        <v>449021.82</v>
      </c>
      <c r="W342" s="16">
        <v>361750.28</v>
      </c>
      <c r="X342" s="16" t="s">
        <v>2982</v>
      </c>
      <c r="AA342" s="24"/>
      <c r="AB342" s="3"/>
      <c r="AC342" s="3"/>
      <c r="AD342" s="80"/>
      <c r="AE342" s="80"/>
      <c r="AF342" s="80"/>
      <c r="AG342" s="80"/>
      <c r="AH342" s="411"/>
      <c r="AI342" s="411"/>
      <c r="AJ342" s="411"/>
      <c r="AK342" s="411"/>
    </row>
    <row r="343" spans="1:37" x14ac:dyDescent="0.15">
      <c r="A343" s="78" t="s">
        <v>2641</v>
      </c>
      <c r="B343" s="78" t="s">
        <v>2642</v>
      </c>
      <c r="C343" s="78" t="s">
        <v>27</v>
      </c>
      <c r="D343" s="78" t="s">
        <v>54</v>
      </c>
      <c r="E343" s="78" t="s">
        <v>112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5"/>
      <c r="Q343" s="15">
        <v>3215.52</v>
      </c>
      <c r="R343" s="16">
        <v>246513.39</v>
      </c>
      <c r="S343" s="16" t="s">
        <v>2982</v>
      </c>
      <c r="T343" s="16" t="s">
        <v>2982</v>
      </c>
      <c r="U343" s="16" t="s">
        <v>2982</v>
      </c>
      <c r="V343" s="16" t="s">
        <v>2982</v>
      </c>
      <c r="W343" s="16" t="s">
        <v>2982</v>
      </c>
      <c r="X343" s="16" t="s">
        <v>2982</v>
      </c>
      <c r="AA343" s="24"/>
      <c r="AB343" s="3"/>
      <c r="AC343" s="3"/>
      <c r="AD343" s="80"/>
      <c r="AE343" s="80"/>
      <c r="AF343" s="80"/>
      <c r="AG343" s="80"/>
      <c r="AH343" s="411"/>
      <c r="AI343" s="411"/>
      <c r="AJ343" s="411"/>
      <c r="AK343" s="411"/>
    </row>
    <row r="344" spans="1:37" x14ac:dyDescent="0.15">
      <c r="A344" s="78" t="s">
        <v>2643</v>
      </c>
      <c r="B344" s="78" t="s">
        <v>2644</v>
      </c>
      <c r="C344" s="78" t="s">
        <v>27</v>
      </c>
      <c r="D344" s="78" t="s">
        <v>54</v>
      </c>
      <c r="E344" s="78" t="s">
        <v>112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5"/>
      <c r="Q344" s="15" t="s">
        <v>2982</v>
      </c>
      <c r="R344" s="16">
        <v>2109872.1</v>
      </c>
      <c r="S344" s="16">
        <v>2628692.35</v>
      </c>
      <c r="T344" s="16">
        <v>644330.27</v>
      </c>
      <c r="U344" s="16" t="s">
        <v>2982</v>
      </c>
      <c r="V344" s="16" t="s">
        <v>2982</v>
      </c>
      <c r="W344" s="16" t="s">
        <v>2982</v>
      </c>
      <c r="X344" s="16" t="s">
        <v>2982</v>
      </c>
      <c r="AA344" s="24"/>
      <c r="AB344" s="3"/>
      <c r="AC344" s="3"/>
      <c r="AD344" s="80"/>
      <c r="AE344" s="80"/>
      <c r="AF344" s="80"/>
      <c r="AG344" s="80"/>
      <c r="AH344" s="411"/>
      <c r="AI344" s="411"/>
      <c r="AJ344" s="411"/>
      <c r="AK344" s="411"/>
    </row>
    <row r="345" spans="1:37" x14ac:dyDescent="0.15">
      <c r="A345" s="78" t="s">
        <v>2645</v>
      </c>
      <c r="B345" s="78" t="s">
        <v>2646</v>
      </c>
      <c r="C345" s="78" t="s">
        <v>27</v>
      </c>
      <c r="D345" s="78" t="s">
        <v>54</v>
      </c>
      <c r="E345" s="78" t="s">
        <v>112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5"/>
      <c r="Q345" s="15" t="s">
        <v>2982</v>
      </c>
      <c r="R345" s="16" t="s">
        <v>2982</v>
      </c>
      <c r="S345" s="16">
        <v>4203342.25</v>
      </c>
      <c r="T345" s="16">
        <v>3593894.39</v>
      </c>
      <c r="U345" s="16" t="s">
        <v>2982</v>
      </c>
      <c r="V345" s="16" t="s">
        <v>2982</v>
      </c>
      <c r="W345" s="16" t="s">
        <v>2982</v>
      </c>
      <c r="X345" s="16" t="s">
        <v>2982</v>
      </c>
      <c r="AA345" s="24"/>
      <c r="AB345" s="3"/>
      <c r="AC345" s="3"/>
      <c r="AD345" s="80"/>
      <c r="AE345" s="80"/>
      <c r="AF345" s="80"/>
      <c r="AG345" s="80"/>
      <c r="AH345" s="411"/>
      <c r="AI345" s="411"/>
      <c r="AJ345" s="411"/>
      <c r="AK345" s="411"/>
    </row>
    <row r="346" spans="1:37" x14ac:dyDescent="0.15">
      <c r="A346" s="12" t="s">
        <v>2647</v>
      </c>
      <c r="B346" s="13" t="s">
        <v>2648</v>
      </c>
      <c r="C346" s="13" t="s">
        <v>27</v>
      </c>
      <c r="D346" s="13" t="s">
        <v>54</v>
      </c>
      <c r="E346" s="12" t="s">
        <v>112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5"/>
      <c r="Q346" s="15">
        <v>16201.47</v>
      </c>
      <c r="R346" s="16">
        <v>1327129.0699999998</v>
      </c>
      <c r="S346" s="16">
        <v>1103882</v>
      </c>
      <c r="T346" s="16">
        <v>3728</v>
      </c>
      <c r="U346" s="16" t="s">
        <v>2982</v>
      </c>
      <c r="V346" s="16" t="s">
        <v>2982</v>
      </c>
      <c r="W346" s="16" t="s">
        <v>2982</v>
      </c>
      <c r="X346" s="16" t="s">
        <v>2982</v>
      </c>
      <c r="AA346" s="24"/>
      <c r="AB346" s="3"/>
      <c r="AC346" s="3"/>
      <c r="AD346" s="80"/>
      <c r="AE346" s="80"/>
      <c r="AF346" s="80"/>
      <c r="AG346" s="80"/>
      <c r="AH346" s="411"/>
      <c r="AI346" s="411"/>
      <c r="AJ346" s="411"/>
      <c r="AK346" s="411"/>
    </row>
    <row r="347" spans="1:37" x14ac:dyDescent="0.15">
      <c r="A347" s="78" t="s">
        <v>2650</v>
      </c>
      <c r="B347" s="78" t="s">
        <v>2651</v>
      </c>
      <c r="C347" s="78" t="s">
        <v>27</v>
      </c>
      <c r="D347" s="78" t="s">
        <v>54</v>
      </c>
      <c r="E347" s="78" t="s">
        <v>112</v>
      </c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5"/>
      <c r="Q347" s="15" t="s">
        <v>2982</v>
      </c>
      <c r="R347" s="16" t="s">
        <v>2982</v>
      </c>
      <c r="S347" s="16">
        <v>1622577.65</v>
      </c>
      <c r="T347" s="16">
        <v>2070239.02</v>
      </c>
      <c r="U347" s="16" t="s">
        <v>2982</v>
      </c>
      <c r="V347" s="16" t="s">
        <v>2982</v>
      </c>
      <c r="W347" s="16" t="s">
        <v>2982</v>
      </c>
      <c r="X347" s="16" t="s">
        <v>2982</v>
      </c>
      <c r="AA347" s="24"/>
      <c r="AB347" s="3"/>
      <c r="AC347" s="3"/>
      <c r="AD347" s="80"/>
      <c r="AE347" s="80"/>
      <c r="AF347" s="80"/>
      <c r="AG347" s="80"/>
      <c r="AH347" s="411"/>
      <c r="AI347" s="411"/>
      <c r="AJ347" s="411"/>
      <c r="AK347" s="411"/>
    </row>
    <row r="348" spans="1:37" x14ac:dyDescent="0.15">
      <c r="A348" s="78" t="s">
        <v>2652</v>
      </c>
      <c r="B348" s="78" t="s">
        <v>2653</v>
      </c>
      <c r="C348" s="78" t="s">
        <v>27</v>
      </c>
      <c r="D348" s="78" t="s">
        <v>54</v>
      </c>
      <c r="E348" s="78" t="s">
        <v>112</v>
      </c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5"/>
      <c r="Q348" s="15" t="s">
        <v>2982</v>
      </c>
      <c r="R348" s="16" t="s">
        <v>2982</v>
      </c>
      <c r="S348" s="16" t="s">
        <v>2982</v>
      </c>
      <c r="T348" s="16" t="s">
        <v>2982</v>
      </c>
      <c r="U348" s="16">
        <v>289213.11</v>
      </c>
      <c r="V348" s="16">
        <v>3041140.35</v>
      </c>
      <c r="W348" s="16">
        <v>1500225.48</v>
      </c>
      <c r="X348" s="16" t="s">
        <v>2982</v>
      </c>
      <c r="AA348" s="24"/>
      <c r="AB348" s="3"/>
      <c r="AC348" s="3"/>
      <c r="AD348" s="80"/>
      <c r="AE348" s="80"/>
      <c r="AF348" s="80"/>
      <c r="AG348" s="80"/>
      <c r="AH348" s="411"/>
      <c r="AI348" s="411"/>
      <c r="AJ348" s="411"/>
      <c r="AK348" s="411"/>
    </row>
    <row r="349" spans="1:37" x14ac:dyDescent="0.15">
      <c r="A349" s="78" t="s">
        <v>2654</v>
      </c>
      <c r="B349" s="78" t="s">
        <v>2655</v>
      </c>
      <c r="C349" s="78" t="s">
        <v>27</v>
      </c>
      <c r="D349" s="78" t="s">
        <v>54</v>
      </c>
      <c r="E349" s="78" t="s">
        <v>112</v>
      </c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5"/>
      <c r="Q349" s="15" t="s">
        <v>2982</v>
      </c>
      <c r="R349" s="16" t="s">
        <v>2982</v>
      </c>
      <c r="S349" s="16">
        <v>41619.699999999997</v>
      </c>
      <c r="T349" s="16">
        <v>1336962.96</v>
      </c>
      <c r="U349" s="16">
        <v>3140892</v>
      </c>
      <c r="V349" s="16">
        <v>141574.46</v>
      </c>
      <c r="W349" s="16" t="s">
        <v>2982</v>
      </c>
      <c r="X349" s="16" t="s">
        <v>2982</v>
      </c>
      <c r="AA349" s="24"/>
      <c r="AB349" s="3"/>
      <c r="AC349" s="3"/>
      <c r="AD349" s="80"/>
      <c r="AE349" s="80"/>
      <c r="AF349" s="80"/>
      <c r="AG349" s="80"/>
      <c r="AH349" s="411"/>
      <c r="AI349" s="411"/>
      <c r="AJ349" s="411"/>
      <c r="AK349" s="411"/>
    </row>
    <row r="350" spans="1:37" x14ac:dyDescent="0.15">
      <c r="A350" s="511" t="s">
        <v>2745</v>
      </c>
      <c r="B350" s="512" t="s">
        <v>115</v>
      </c>
      <c r="C350" s="512" t="s">
        <v>27</v>
      </c>
      <c r="D350" s="512" t="s">
        <v>40</v>
      </c>
      <c r="E350" s="511" t="s">
        <v>29</v>
      </c>
      <c r="F350" s="529"/>
      <c r="G350" s="529"/>
      <c r="H350" s="529"/>
      <c r="I350" s="529"/>
      <c r="J350" s="529"/>
      <c r="K350" s="529"/>
      <c r="L350" s="529"/>
      <c r="M350" s="529"/>
      <c r="N350" s="529"/>
      <c r="O350" s="529"/>
      <c r="P350" s="529"/>
      <c r="Q350" s="529">
        <f>31714128.3208057+128</f>
        <v>31714256.320805699</v>
      </c>
      <c r="R350" s="513">
        <v>7500275.1699999999</v>
      </c>
      <c r="S350" s="513" t="s">
        <v>2982</v>
      </c>
      <c r="T350" s="513" t="s">
        <v>2982</v>
      </c>
      <c r="U350" s="513" t="s">
        <v>2982</v>
      </c>
      <c r="V350" s="513" t="s">
        <v>2982</v>
      </c>
      <c r="W350" s="513" t="s">
        <v>2982</v>
      </c>
      <c r="X350" s="513" t="s">
        <v>2982</v>
      </c>
      <c r="AA350" s="24"/>
      <c r="AB350" s="3"/>
      <c r="AC350" s="3"/>
      <c r="AD350" s="653">
        <v>1.10663</v>
      </c>
      <c r="AE350" s="653">
        <v>0.5</v>
      </c>
      <c r="AF350" s="653">
        <v>0</v>
      </c>
      <c r="AG350" s="653">
        <v>0</v>
      </c>
      <c r="AH350" s="653">
        <v>0</v>
      </c>
      <c r="AI350" s="653">
        <v>0</v>
      </c>
      <c r="AJ350" s="653">
        <v>0</v>
      </c>
      <c r="AK350" s="653"/>
    </row>
    <row r="351" spans="1:37" x14ac:dyDescent="0.15">
      <c r="A351" s="511" t="s">
        <v>2746</v>
      </c>
      <c r="B351" s="512" t="s">
        <v>359</v>
      </c>
      <c r="C351" s="512" t="s">
        <v>27</v>
      </c>
      <c r="D351" s="512" t="s">
        <v>40</v>
      </c>
      <c r="E351" s="511" t="s">
        <v>29</v>
      </c>
      <c r="F351" s="529"/>
      <c r="G351" s="529"/>
      <c r="H351" s="529"/>
      <c r="I351" s="529"/>
      <c r="J351" s="529"/>
      <c r="K351" s="529"/>
      <c r="L351" s="529"/>
      <c r="M351" s="529"/>
      <c r="N351" s="529"/>
      <c r="O351" s="529"/>
      <c r="P351" s="529"/>
      <c r="Q351" s="529">
        <v>7659944.3399999999</v>
      </c>
      <c r="R351" s="513">
        <v>4396816.84</v>
      </c>
      <c r="S351" s="513" t="s">
        <v>2982</v>
      </c>
      <c r="T351" s="513" t="s">
        <v>2982</v>
      </c>
      <c r="U351" s="513" t="s">
        <v>2982</v>
      </c>
      <c r="V351" s="513" t="s">
        <v>2982</v>
      </c>
      <c r="W351" s="513" t="s">
        <v>2982</v>
      </c>
      <c r="X351" s="513" t="s">
        <v>2982</v>
      </c>
      <c r="AA351" s="24"/>
      <c r="AB351" s="3"/>
      <c r="AC351" s="3"/>
      <c r="AD351" s="653">
        <v>1</v>
      </c>
      <c r="AE351" s="653">
        <v>1</v>
      </c>
      <c r="AF351" s="653">
        <v>0</v>
      </c>
      <c r="AG351" s="653">
        <v>0</v>
      </c>
      <c r="AH351" s="653">
        <v>0</v>
      </c>
      <c r="AI351" s="653">
        <v>0</v>
      </c>
      <c r="AJ351" s="653">
        <v>0</v>
      </c>
      <c r="AK351" s="653"/>
    </row>
    <row r="352" spans="1:37" x14ac:dyDescent="0.15">
      <c r="A352" s="511" t="s">
        <v>2747</v>
      </c>
      <c r="B352" s="512" t="s">
        <v>115</v>
      </c>
      <c r="C352" s="512" t="s">
        <v>27</v>
      </c>
      <c r="D352" s="512" t="s">
        <v>40</v>
      </c>
      <c r="E352" s="511" t="s">
        <v>29</v>
      </c>
      <c r="F352" s="529"/>
      <c r="G352" s="529"/>
      <c r="H352" s="529"/>
      <c r="I352" s="529"/>
      <c r="J352" s="529"/>
      <c r="K352" s="529"/>
      <c r="L352" s="529"/>
      <c r="M352" s="529"/>
      <c r="N352" s="529"/>
      <c r="O352" s="529"/>
      <c r="P352" s="529"/>
      <c r="Q352" s="529" t="s">
        <v>2982</v>
      </c>
      <c r="R352" s="513">
        <v>4056669.6156960842</v>
      </c>
      <c r="S352" s="513">
        <v>4208294.04</v>
      </c>
      <c r="T352" s="513">
        <v>140785.07</v>
      </c>
      <c r="U352" s="513" t="s">
        <v>2982</v>
      </c>
      <c r="V352" s="513" t="s">
        <v>2982</v>
      </c>
      <c r="W352" s="513" t="s">
        <v>2982</v>
      </c>
      <c r="X352" s="513" t="s">
        <v>2982</v>
      </c>
      <c r="AA352" s="24"/>
      <c r="AB352" s="3"/>
      <c r="AC352" s="3"/>
      <c r="AD352" s="653">
        <v>0</v>
      </c>
      <c r="AE352" s="653">
        <v>0.5</v>
      </c>
      <c r="AF352" s="653">
        <v>1</v>
      </c>
      <c r="AG352" s="653">
        <v>1</v>
      </c>
      <c r="AH352" s="653">
        <v>0</v>
      </c>
      <c r="AI352" s="653">
        <v>0</v>
      </c>
      <c r="AJ352" s="653">
        <v>0</v>
      </c>
      <c r="AK352" s="653"/>
    </row>
    <row r="353" spans="1:37" x14ac:dyDescent="0.15">
      <c r="A353" s="511" t="s">
        <v>2748</v>
      </c>
      <c r="B353" s="512" t="s">
        <v>359</v>
      </c>
      <c r="C353" s="512" t="s">
        <v>27</v>
      </c>
      <c r="D353" s="512" t="s">
        <v>40</v>
      </c>
      <c r="E353" s="511" t="s">
        <v>29</v>
      </c>
      <c r="F353" s="529"/>
      <c r="G353" s="529"/>
      <c r="H353" s="529"/>
      <c r="I353" s="529"/>
      <c r="J353" s="529"/>
      <c r="K353" s="529"/>
      <c r="L353" s="529"/>
      <c r="M353" s="529"/>
      <c r="N353" s="529"/>
      <c r="O353" s="529"/>
      <c r="P353" s="529"/>
      <c r="Q353" s="529" t="s">
        <v>2982</v>
      </c>
      <c r="R353" s="513" t="s">
        <v>2982</v>
      </c>
      <c r="S353" s="513">
        <v>309120.19</v>
      </c>
      <c r="T353" s="513" t="s">
        <v>2982</v>
      </c>
      <c r="U353" s="513" t="s">
        <v>2982</v>
      </c>
      <c r="V353" s="513" t="s">
        <v>2982</v>
      </c>
      <c r="W353" s="513" t="s">
        <v>2982</v>
      </c>
      <c r="X353" s="513" t="s">
        <v>2982</v>
      </c>
      <c r="AA353" s="24"/>
      <c r="AB353" s="3"/>
      <c r="AC353" s="3"/>
      <c r="AD353" s="653">
        <v>0</v>
      </c>
      <c r="AE353" s="653">
        <v>0</v>
      </c>
      <c r="AF353" s="653">
        <v>1</v>
      </c>
      <c r="AG353" s="653">
        <v>0</v>
      </c>
      <c r="AH353" s="653">
        <v>0</v>
      </c>
      <c r="AI353" s="653">
        <v>0</v>
      </c>
      <c r="AJ353" s="653">
        <v>0</v>
      </c>
      <c r="AK353" s="653"/>
    </row>
    <row r="354" spans="1:37" x14ac:dyDescent="0.15">
      <c r="A354" s="511" t="s">
        <v>2750</v>
      </c>
      <c r="B354" s="512" t="s">
        <v>568</v>
      </c>
      <c r="C354" s="512" t="s">
        <v>27</v>
      </c>
      <c r="D354" s="512" t="s">
        <v>41</v>
      </c>
      <c r="E354" s="512" t="s">
        <v>112</v>
      </c>
      <c r="F354" s="529"/>
      <c r="G354" s="529"/>
      <c r="H354" s="529"/>
      <c r="I354" s="529"/>
      <c r="J354" s="529"/>
      <c r="K354" s="529"/>
      <c r="L354" s="529"/>
      <c r="M354" s="529"/>
      <c r="N354" s="529"/>
      <c r="O354" s="529"/>
      <c r="P354" s="529"/>
      <c r="Q354" s="529" t="s">
        <v>2982</v>
      </c>
      <c r="R354" s="513" t="s">
        <v>2982</v>
      </c>
      <c r="S354" s="513">
        <v>3667547.5879968205</v>
      </c>
      <c r="T354" s="513">
        <v>6687726.1541653425</v>
      </c>
      <c r="U354" s="513" t="s">
        <v>2982</v>
      </c>
      <c r="V354" s="513" t="s">
        <v>2982</v>
      </c>
      <c r="W354" s="513" t="s">
        <v>2982</v>
      </c>
      <c r="X354" s="513" t="s">
        <v>2982</v>
      </c>
      <c r="AA354" s="24"/>
      <c r="AC354" s="3"/>
      <c r="AD354" s="654">
        <v>0</v>
      </c>
      <c r="AE354" s="654">
        <v>0</v>
      </c>
      <c r="AF354" s="654">
        <v>0.55352946932308633</v>
      </c>
      <c r="AG354" s="654">
        <v>0.46310230100438177</v>
      </c>
      <c r="AH354" s="654">
        <v>0</v>
      </c>
      <c r="AI354" s="654">
        <v>0</v>
      </c>
      <c r="AJ354" s="654">
        <v>0</v>
      </c>
      <c r="AK354" s="653"/>
    </row>
    <row r="355" spans="1:37" x14ac:dyDescent="0.15">
      <c r="A355" s="511" t="s">
        <v>2751</v>
      </c>
      <c r="B355" s="512" t="s">
        <v>568</v>
      </c>
      <c r="C355" s="512" t="s">
        <v>27</v>
      </c>
      <c r="D355" s="512" t="s">
        <v>41</v>
      </c>
      <c r="E355" s="512" t="s">
        <v>112</v>
      </c>
      <c r="F355" s="529"/>
      <c r="G355" s="529"/>
      <c r="H355" s="529"/>
      <c r="I355" s="529"/>
      <c r="J355" s="529"/>
      <c r="K355" s="529"/>
      <c r="L355" s="529"/>
      <c r="M355" s="529"/>
      <c r="N355" s="529"/>
      <c r="O355" s="529"/>
      <c r="P355" s="529"/>
      <c r="Q355" s="529" t="s">
        <v>2982</v>
      </c>
      <c r="R355" s="513" t="s">
        <v>2982</v>
      </c>
      <c r="S355" s="513" t="s">
        <v>2982</v>
      </c>
      <c r="T355" s="513">
        <v>7753415.9858346581</v>
      </c>
      <c r="U355" s="513">
        <v>5241437.3376629576</v>
      </c>
      <c r="V355" s="513" t="s">
        <v>2982</v>
      </c>
      <c r="W355" s="513" t="s">
        <v>2982</v>
      </c>
      <c r="X355" s="513" t="s">
        <v>2982</v>
      </c>
      <c r="AA355" s="24"/>
      <c r="AC355" s="3"/>
      <c r="AD355" s="654">
        <v>0</v>
      </c>
      <c r="AE355" s="654">
        <v>0</v>
      </c>
      <c r="AF355" s="654">
        <v>0</v>
      </c>
      <c r="AG355" s="654">
        <v>0.53689769899561823</v>
      </c>
      <c r="AH355" s="654">
        <v>0.35949979138494909</v>
      </c>
      <c r="AI355" s="654">
        <v>0</v>
      </c>
      <c r="AJ355" s="654">
        <v>0</v>
      </c>
      <c r="AK355" s="653"/>
    </row>
    <row r="356" spans="1:37" x14ac:dyDescent="0.15">
      <c r="A356" s="511" t="s">
        <v>2752</v>
      </c>
      <c r="B356" s="512" t="s">
        <v>568</v>
      </c>
      <c r="C356" s="512" t="s">
        <v>27</v>
      </c>
      <c r="D356" s="512" t="s">
        <v>41</v>
      </c>
      <c r="E356" s="512" t="s">
        <v>112</v>
      </c>
      <c r="F356" s="529"/>
      <c r="G356" s="529"/>
      <c r="H356" s="529"/>
      <c r="I356" s="529"/>
      <c r="J356" s="529"/>
      <c r="K356" s="529"/>
      <c r="L356" s="529"/>
      <c r="M356" s="529"/>
      <c r="N356" s="529"/>
      <c r="O356" s="529"/>
      <c r="P356" s="529"/>
      <c r="Q356" s="529" t="s">
        <v>2982</v>
      </c>
      <c r="R356" s="513" t="s">
        <v>2982</v>
      </c>
      <c r="S356" s="513" t="s">
        <v>2982</v>
      </c>
      <c r="T356" s="513" t="s">
        <v>2982</v>
      </c>
      <c r="U356" s="513">
        <v>9338369.0023370404</v>
      </c>
      <c r="V356" s="513">
        <v>9544777.2333704326</v>
      </c>
      <c r="W356" s="513" t="s">
        <v>2982</v>
      </c>
      <c r="X356" s="513" t="s">
        <v>2982</v>
      </c>
      <c r="AA356" s="24"/>
      <c r="AC356" s="3"/>
      <c r="AD356" s="654">
        <v>0</v>
      </c>
      <c r="AE356" s="654">
        <v>0</v>
      </c>
      <c r="AF356" s="654">
        <v>0</v>
      </c>
      <c r="AG356" s="654">
        <v>0</v>
      </c>
      <c r="AH356" s="654">
        <v>0.64050020861505086</v>
      </c>
      <c r="AI356" s="654">
        <v>0.6379878220201588</v>
      </c>
      <c r="AJ356" s="654">
        <v>0</v>
      </c>
      <c r="AK356" s="653"/>
    </row>
    <row r="357" spans="1:37" x14ac:dyDescent="0.15">
      <c r="A357" s="511" t="s">
        <v>2753</v>
      </c>
      <c r="B357" s="512" t="s">
        <v>570</v>
      </c>
      <c r="C357" s="512" t="s">
        <v>27</v>
      </c>
      <c r="D357" s="512" t="s">
        <v>41</v>
      </c>
      <c r="E357" s="512" t="s">
        <v>112</v>
      </c>
      <c r="F357" s="529"/>
      <c r="G357" s="529"/>
      <c r="H357" s="529"/>
      <c r="I357" s="529"/>
      <c r="J357" s="529"/>
      <c r="K357" s="529"/>
      <c r="L357" s="529"/>
      <c r="M357" s="529"/>
      <c r="N357" s="529"/>
      <c r="O357" s="529"/>
      <c r="P357" s="529"/>
      <c r="Q357" s="529" t="s">
        <v>2982</v>
      </c>
      <c r="R357" s="513" t="s">
        <v>2982</v>
      </c>
      <c r="S357" s="513" t="s">
        <v>2982</v>
      </c>
      <c r="T357" s="513" t="s">
        <v>2982</v>
      </c>
      <c r="U357" s="513">
        <v>445567.59777778096</v>
      </c>
      <c r="V357" s="513">
        <v>5769334.2399999956</v>
      </c>
      <c r="W357" s="513" t="s">
        <v>2982</v>
      </c>
      <c r="X357" s="513" t="s">
        <v>2982</v>
      </c>
      <c r="AA357" s="24"/>
      <c r="AC357" s="3"/>
      <c r="AD357" s="654">
        <v>0</v>
      </c>
      <c r="AE357" s="654">
        <v>0</v>
      </c>
      <c r="AF357" s="654">
        <v>0</v>
      </c>
      <c r="AG357" s="654">
        <v>0</v>
      </c>
      <c r="AH357" s="654">
        <v>7.9029073577400855E-2</v>
      </c>
      <c r="AI357" s="654">
        <v>0.99723459653148816</v>
      </c>
      <c r="AJ357" s="654">
        <v>0</v>
      </c>
      <c r="AK357" s="653"/>
    </row>
    <row r="358" spans="1:37" x14ac:dyDescent="0.15">
      <c r="A358" s="511" t="s">
        <v>2754</v>
      </c>
      <c r="B358" s="512" t="s">
        <v>568</v>
      </c>
      <c r="C358" s="512" t="s">
        <v>27</v>
      </c>
      <c r="D358" s="512" t="s">
        <v>41</v>
      </c>
      <c r="E358" s="512" t="s">
        <v>112</v>
      </c>
      <c r="F358" s="529"/>
      <c r="G358" s="529"/>
      <c r="H358" s="529"/>
      <c r="I358" s="529"/>
      <c r="J358" s="529"/>
      <c r="K358" s="529"/>
      <c r="L358" s="529"/>
      <c r="M358" s="529"/>
      <c r="N358" s="529"/>
      <c r="O358" s="529"/>
      <c r="P358" s="529"/>
      <c r="Q358" s="529" t="s">
        <v>2982</v>
      </c>
      <c r="R358" s="513" t="s">
        <v>2982</v>
      </c>
      <c r="S358" s="513" t="s">
        <v>2982</v>
      </c>
      <c r="T358" s="513" t="s">
        <v>2982</v>
      </c>
      <c r="U358" s="513" t="s">
        <v>2982</v>
      </c>
      <c r="V358" s="513">
        <v>5415974.2166295666</v>
      </c>
      <c r="W358" s="513">
        <v>12248904.520000001</v>
      </c>
      <c r="X358" s="513" t="s">
        <v>2982</v>
      </c>
      <c r="AA358" s="24"/>
      <c r="AC358" s="3"/>
      <c r="AD358" s="654">
        <v>0</v>
      </c>
      <c r="AE358" s="654">
        <v>0</v>
      </c>
      <c r="AF358" s="654">
        <v>0</v>
      </c>
      <c r="AG358" s="654">
        <v>0</v>
      </c>
      <c r="AH358" s="654">
        <v>0</v>
      </c>
      <c r="AI358" s="654">
        <v>0.3620121779798412</v>
      </c>
      <c r="AJ358" s="654">
        <v>1.0000000000000002</v>
      </c>
      <c r="AK358" s="653"/>
    </row>
    <row r="359" spans="1:37" x14ac:dyDescent="0.15">
      <c r="A359" s="511" t="s">
        <v>2755</v>
      </c>
      <c r="B359" s="512" t="s">
        <v>570</v>
      </c>
      <c r="C359" s="512" t="s">
        <v>27</v>
      </c>
      <c r="D359" s="512" t="s">
        <v>41</v>
      </c>
      <c r="E359" s="512" t="s">
        <v>112</v>
      </c>
      <c r="F359" s="529"/>
      <c r="G359" s="529"/>
      <c r="H359" s="529"/>
      <c r="I359" s="529"/>
      <c r="J359" s="529"/>
      <c r="K359" s="529"/>
      <c r="L359" s="529"/>
      <c r="M359" s="529"/>
      <c r="N359" s="529"/>
      <c r="O359" s="529"/>
      <c r="P359" s="529"/>
      <c r="Q359" s="529" t="s">
        <v>2982</v>
      </c>
      <c r="R359" s="513" t="s">
        <v>2982</v>
      </c>
      <c r="S359" s="513" t="s">
        <v>2982</v>
      </c>
      <c r="T359" s="513" t="s">
        <v>2982</v>
      </c>
      <c r="U359" s="513" t="s">
        <v>2982</v>
      </c>
      <c r="V359" s="513">
        <v>15998.780000004077</v>
      </c>
      <c r="W359" s="513">
        <v>3592653.9</v>
      </c>
      <c r="X359" s="513" t="s">
        <v>2982</v>
      </c>
      <c r="AA359" s="24"/>
      <c r="AC359" s="3"/>
      <c r="AD359" s="654">
        <v>0</v>
      </c>
      <c r="AE359" s="654">
        <v>0</v>
      </c>
      <c r="AF359" s="654">
        <v>0</v>
      </c>
      <c r="AG359" s="654">
        <v>0</v>
      </c>
      <c r="AH359" s="654">
        <v>0</v>
      </c>
      <c r="AI359" s="654">
        <v>2.76540346851184E-3</v>
      </c>
      <c r="AJ359" s="654">
        <v>1</v>
      </c>
      <c r="AK359" s="653"/>
    </row>
    <row r="360" spans="1:37" x14ac:dyDescent="0.15">
      <c r="A360" s="517" t="s">
        <v>2976</v>
      </c>
      <c r="B360" s="512" t="s">
        <v>325</v>
      </c>
      <c r="C360" s="512" t="s">
        <v>27</v>
      </c>
      <c r="D360" s="512" t="s">
        <v>40</v>
      </c>
      <c r="E360" s="511" t="s">
        <v>29</v>
      </c>
      <c r="F360" s="529"/>
      <c r="G360" s="529"/>
      <c r="H360" s="529"/>
      <c r="I360" s="529"/>
      <c r="J360" s="529"/>
      <c r="K360" s="529"/>
      <c r="L360" s="529"/>
      <c r="M360" s="529"/>
      <c r="N360" s="529"/>
      <c r="O360" s="529"/>
      <c r="P360" s="529"/>
      <c r="Q360" s="529" t="s">
        <v>2982</v>
      </c>
      <c r="R360" s="513">
        <v>3420771.5200000009</v>
      </c>
      <c r="S360" s="513">
        <v>69638.36</v>
      </c>
      <c r="T360" s="513" t="s">
        <v>2982</v>
      </c>
      <c r="U360" s="513" t="s">
        <v>2982</v>
      </c>
      <c r="V360" s="513" t="s">
        <v>2982</v>
      </c>
      <c r="W360" s="513" t="s">
        <v>2982</v>
      </c>
      <c r="X360" s="513" t="s">
        <v>2982</v>
      </c>
      <c r="AA360" s="24"/>
      <c r="AC360" s="3"/>
      <c r="AD360" s="654">
        <v>0.75</v>
      </c>
      <c r="AE360" s="654">
        <v>1</v>
      </c>
      <c r="AF360" s="654">
        <v>1</v>
      </c>
      <c r="AG360" s="654">
        <v>0</v>
      </c>
      <c r="AH360" s="654">
        <v>0</v>
      </c>
      <c r="AI360" s="654">
        <v>0</v>
      </c>
      <c r="AJ360" s="654">
        <v>0</v>
      </c>
      <c r="AK360" s="653"/>
    </row>
    <row r="361" spans="1:37" x14ac:dyDescent="0.15">
      <c r="A361" s="517" t="s">
        <v>3111</v>
      </c>
      <c r="B361" s="512" t="s">
        <v>2613</v>
      </c>
      <c r="C361" s="512" t="s">
        <v>27</v>
      </c>
      <c r="D361" s="512" t="s">
        <v>54</v>
      </c>
      <c r="E361" s="512" t="s">
        <v>29</v>
      </c>
      <c r="F361" s="529"/>
      <c r="G361" s="529"/>
      <c r="H361" s="529"/>
      <c r="I361" s="529"/>
      <c r="J361" s="529"/>
      <c r="K361" s="529"/>
      <c r="L361" s="529"/>
      <c r="M361" s="529"/>
      <c r="N361" s="529"/>
      <c r="O361" s="529"/>
      <c r="P361" s="529"/>
      <c r="Q361" s="529" t="s">
        <v>2982</v>
      </c>
      <c r="R361" s="513">
        <v>643429.01500000001</v>
      </c>
      <c r="S361" s="513">
        <v>561811</v>
      </c>
      <c r="T361" s="513">
        <v>1657</v>
      </c>
      <c r="U361" s="513">
        <v>0</v>
      </c>
      <c r="V361" s="513">
        <v>0</v>
      </c>
      <c r="W361" s="513">
        <v>0</v>
      </c>
      <c r="X361" s="513">
        <v>0</v>
      </c>
      <c r="AA361" s="24"/>
      <c r="AC361" s="3"/>
      <c r="AD361" s="654"/>
      <c r="AE361" s="654"/>
      <c r="AF361" s="654">
        <v>0.25</v>
      </c>
      <c r="AG361" s="654">
        <v>1</v>
      </c>
      <c r="AH361" s="654">
        <v>1</v>
      </c>
      <c r="AI361" s="654"/>
      <c r="AJ361" s="654"/>
      <c r="AK361" s="653"/>
    </row>
    <row r="362" spans="1:37" x14ac:dyDescent="0.15">
      <c r="A362" s="12" t="s">
        <v>3136</v>
      </c>
      <c r="B362" s="13" t="s">
        <v>3137</v>
      </c>
      <c r="C362" s="13" t="s">
        <v>27</v>
      </c>
      <c r="D362" s="13" t="s">
        <v>40</v>
      </c>
      <c r="E362" s="12"/>
      <c r="F362" s="529"/>
      <c r="G362" s="529"/>
      <c r="H362" s="529"/>
      <c r="I362" s="529"/>
      <c r="J362" s="529"/>
      <c r="K362" s="529"/>
      <c r="L362" s="529"/>
      <c r="M362" s="529"/>
      <c r="N362" s="529"/>
      <c r="O362" s="529"/>
      <c r="P362" s="529"/>
      <c r="Q362" s="529" t="s">
        <v>2982</v>
      </c>
      <c r="R362" s="513">
        <v>0</v>
      </c>
      <c r="S362" s="513">
        <v>0</v>
      </c>
      <c r="T362" s="513">
        <v>289996.40999999997</v>
      </c>
      <c r="U362" s="513" t="s">
        <v>2982</v>
      </c>
      <c r="V362" s="513" t="s">
        <v>2982</v>
      </c>
      <c r="W362" s="513" t="s">
        <v>2982</v>
      </c>
      <c r="X362" s="513" t="s">
        <v>2982</v>
      </c>
      <c r="AA362" s="24"/>
      <c r="AC362" s="3"/>
      <c r="AD362" s="654"/>
      <c r="AE362" s="654"/>
      <c r="AF362" s="654"/>
      <c r="AG362" s="654"/>
      <c r="AH362" s="654"/>
      <c r="AI362" s="654"/>
      <c r="AJ362" s="654"/>
      <c r="AK362" s="653"/>
    </row>
    <row r="363" spans="1:37" x14ac:dyDescent="0.15">
      <c r="A363" s="12" t="s">
        <v>3138</v>
      </c>
      <c r="B363" s="13" t="s">
        <v>3137</v>
      </c>
      <c r="C363" s="13" t="s">
        <v>27</v>
      </c>
      <c r="D363" s="13" t="s">
        <v>40</v>
      </c>
      <c r="E363" s="12"/>
      <c r="F363" s="529"/>
      <c r="G363" s="529"/>
      <c r="H363" s="529"/>
      <c r="I363" s="529"/>
      <c r="J363" s="529"/>
      <c r="K363" s="529"/>
      <c r="L363" s="529"/>
      <c r="M363" s="529"/>
      <c r="N363" s="529"/>
      <c r="O363" s="529"/>
      <c r="P363" s="529"/>
      <c r="Q363" s="529" t="s">
        <v>2982</v>
      </c>
      <c r="R363" s="513">
        <v>0</v>
      </c>
      <c r="S363" s="513">
        <v>0</v>
      </c>
      <c r="T363" s="513">
        <v>0</v>
      </c>
      <c r="U363" s="513">
        <v>700000.31</v>
      </c>
      <c r="V363" s="513" t="s">
        <v>2982</v>
      </c>
      <c r="W363" s="513" t="s">
        <v>2982</v>
      </c>
      <c r="X363" s="513" t="s">
        <v>2982</v>
      </c>
      <c r="AA363" s="24"/>
      <c r="AC363" s="3"/>
      <c r="AD363" s="654"/>
      <c r="AE363" s="654"/>
      <c r="AF363" s="654"/>
      <c r="AG363" s="654"/>
      <c r="AH363" s="654"/>
      <c r="AI363" s="654"/>
      <c r="AJ363" s="654"/>
      <c r="AK363" s="653"/>
    </row>
    <row r="364" spans="1:37" x14ac:dyDescent="0.15">
      <c r="A364" s="12" t="s">
        <v>3139</v>
      </c>
      <c r="B364" s="13" t="s">
        <v>3059</v>
      </c>
      <c r="C364" s="13" t="s">
        <v>27</v>
      </c>
      <c r="D364" s="13" t="s">
        <v>41</v>
      </c>
      <c r="E364" s="12"/>
      <c r="F364" s="529"/>
      <c r="G364" s="529"/>
      <c r="H364" s="529"/>
      <c r="I364" s="529"/>
      <c r="J364" s="529"/>
      <c r="K364" s="529"/>
      <c r="L364" s="529"/>
      <c r="M364" s="529"/>
      <c r="N364" s="529"/>
      <c r="O364" s="529"/>
      <c r="P364" s="529"/>
      <c r="Q364" s="529" t="s">
        <v>2982</v>
      </c>
      <c r="R364" s="513">
        <v>0</v>
      </c>
      <c r="S364" s="513">
        <v>0</v>
      </c>
      <c r="T364" s="513">
        <v>0</v>
      </c>
      <c r="U364" s="513">
        <v>1046240.31</v>
      </c>
      <c r="V364" s="513" t="s">
        <v>2982</v>
      </c>
      <c r="W364" s="513" t="s">
        <v>2982</v>
      </c>
      <c r="X364" s="513" t="s">
        <v>2982</v>
      </c>
      <c r="AA364" s="24"/>
      <c r="AC364" s="3"/>
      <c r="AD364" s="654"/>
      <c r="AE364" s="654"/>
      <c r="AF364" s="654"/>
      <c r="AG364" s="654"/>
      <c r="AH364" s="654"/>
      <c r="AI364" s="654"/>
      <c r="AJ364" s="654"/>
      <c r="AK364" s="653"/>
    </row>
    <row r="365" spans="1:37" x14ac:dyDescent="0.15">
      <c r="A365" s="12" t="s">
        <v>3140</v>
      </c>
      <c r="B365" s="13" t="s">
        <v>3059</v>
      </c>
      <c r="C365" s="13" t="s">
        <v>27</v>
      </c>
      <c r="D365" s="13" t="s">
        <v>41</v>
      </c>
      <c r="E365" s="12"/>
      <c r="F365" s="529"/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 t="s">
        <v>2982</v>
      </c>
      <c r="R365" s="513">
        <v>0</v>
      </c>
      <c r="S365" s="513">
        <v>0</v>
      </c>
      <c r="T365" s="513">
        <v>0</v>
      </c>
      <c r="U365" s="513">
        <v>0</v>
      </c>
      <c r="V365" s="513">
        <v>2049431.53</v>
      </c>
      <c r="W365" s="513">
        <v>2171.1999999999998</v>
      </c>
      <c r="X365" s="513" t="s">
        <v>2982</v>
      </c>
      <c r="AA365" s="24"/>
      <c r="AC365" s="3"/>
      <c r="AD365" s="654"/>
      <c r="AE365" s="654"/>
      <c r="AF365" s="654"/>
      <c r="AG365" s="654"/>
      <c r="AH365" s="654"/>
      <c r="AI365" s="654"/>
      <c r="AJ365" s="654"/>
      <c r="AK365" s="653"/>
    </row>
    <row r="366" spans="1:37" x14ac:dyDescent="0.15">
      <c r="A366" s="78" t="s">
        <v>2774</v>
      </c>
      <c r="B366" s="78" t="s">
        <v>2775</v>
      </c>
      <c r="C366" s="78" t="s">
        <v>27</v>
      </c>
      <c r="D366" s="78" t="s">
        <v>54</v>
      </c>
      <c r="E366" s="78" t="s">
        <v>112</v>
      </c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>
        <v>2281.92</v>
      </c>
      <c r="R366" s="16">
        <v>2706238.42</v>
      </c>
      <c r="S366" s="16">
        <v>636375.14</v>
      </c>
      <c r="T366" s="16" t="s">
        <v>2982</v>
      </c>
      <c r="U366" s="16" t="s">
        <v>2982</v>
      </c>
      <c r="V366" s="16" t="s">
        <v>2982</v>
      </c>
      <c r="W366" s="16" t="s">
        <v>2982</v>
      </c>
      <c r="X366" s="16" t="s">
        <v>2982</v>
      </c>
      <c r="AA366" s="24"/>
      <c r="AC366" s="3"/>
      <c r="AF366" s="1" t="s">
        <v>2714</v>
      </c>
    </row>
    <row r="367" spans="1:37" x14ac:dyDescent="0.15">
      <c r="A367" s="78" t="s">
        <v>2772</v>
      </c>
      <c r="B367" s="78" t="s">
        <v>2773</v>
      </c>
      <c r="C367" s="78" t="s">
        <v>27</v>
      </c>
      <c r="D367" s="78" t="s">
        <v>54</v>
      </c>
      <c r="E367" s="78" t="s">
        <v>112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 t="s">
        <v>2982</v>
      </c>
      <c r="R367" s="16" t="s">
        <v>2982</v>
      </c>
      <c r="S367" s="16" t="s">
        <v>2982</v>
      </c>
      <c r="T367" s="16" t="s">
        <v>2982</v>
      </c>
      <c r="U367" s="16">
        <v>95215</v>
      </c>
      <c r="V367" s="16">
        <v>458147.32</v>
      </c>
      <c r="W367" s="16">
        <v>1022225.4</v>
      </c>
      <c r="X367" s="16" t="s">
        <v>2982</v>
      </c>
      <c r="AA367" s="24"/>
      <c r="AC367" s="3"/>
    </row>
    <row r="368" spans="1:37" x14ac:dyDescent="0.15">
      <c r="A368" s="12" t="s">
        <v>3054</v>
      </c>
      <c r="B368" s="13" t="s">
        <v>3055</v>
      </c>
      <c r="C368" s="13" t="s">
        <v>27</v>
      </c>
      <c r="D368" s="13" t="s">
        <v>28</v>
      </c>
      <c r="E368" s="12" t="s">
        <v>29</v>
      </c>
      <c r="Q368" s="15">
        <v>267107.65000000002</v>
      </c>
      <c r="R368" s="16">
        <v>360279</v>
      </c>
      <c r="S368" s="16" t="s">
        <v>2973</v>
      </c>
      <c r="T368" s="16" t="s">
        <v>2973</v>
      </c>
      <c r="U368" s="16" t="s">
        <v>2973</v>
      </c>
      <c r="V368" s="16" t="s">
        <v>2973</v>
      </c>
      <c r="W368" s="16" t="s">
        <v>2973</v>
      </c>
      <c r="X368" s="16" t="s">
        <v>2973</v>
      </c>
      <c r="AA368" s="24"/>
    </row>
    <row r="369" spans="1:27" x14ac:dyDescent="0.15">
      <c r="A369" s="12" t="s">
        <v>3056</v>
      </c>
      <c r="B369" s="13" t="s">
        <v>3057</v>
      </c>
      <c r="C369" s="13" t="s">
        <v>27</v>
      </c>
      <c r="D369" s="13" t="s">
        <v>54</v>
      </c>
      <c r="E369" s="12" t="s">
        <v>29</v>
      </c>
      <c r="Q369" s="15">
        <v>72701.73</v>
      </c>
      <c r="R369" s="16">
        <v>1517282.22</v>
      </c>
      <c r="S369" s="16" t="s">
        <v>2973</v>
      </c>
      <c r="T369" s="16" t="s">
        <v>2973</v>
      </c>
      <c r="U369" s="16" t="s">
        <v>2973</v>
      </c>
      <c r="V369" s="16" t="s">
        <v>2973</v>
      </c>
      <c r="W369" s="16" t="s">
        <v>2973</v>
      </c>
      <c r="X369" s="16" t="s">
        <v>2973</v>
      </c>
      <c r="AA369" s="24"/>
    </row>
    <row r="370" spans="1:27" x14ac:dyDescent="0.15">
      <c r="A370" s="12" t="s">
        <v>3058</v>
      </c>
      <c r="B370" s="13" t="s">
        <v>3059</v>
      </c>
      <c r="C370" s="13" t="s">
        <v>27</v>
      </c>
      <c r="D370" s="13" t="s">
        <v>41</v>
      </c>
      <c r="E370" s="12" t="s">
        <v>29</v>
      </c>
      <c r="Q370" s="15">
        <v>34115.019999999997</v>
      </c>
      <c r="R370" s="16">
        <v>7969000</v>
      </c>
      <c r="S370" s="16" t="s">
        <v>2982</v>
      </c>
      <c r="T370" s="16" t="s">
        <v>2982</v>
      </c>
      <c r="U370" s="16" t="s">
        <v>2982</v>
      </c>
      <c r="V370" s="16" t="s">
        <v>2982</v>
      </c>
      <c r="W370" s="16" t="s">
        <v>2982</v>
      </c>
      <c r="X370" s="16" t="s">
        <v>2982</v>
      </c>
      <c r="AA370" s="24"/>
    </row>
    <row r="371" spans="1:27" x14ac:dyDescent="0.15">
      <c r="A371" s="12" t="s">
        <v>3060</v>
      </c>
      <c r="B371" s="13" t="s">
        <v>3061</v>
      </c>
      <c r="C371" s="13" t="s">
        <v>27</v>
      </c>
      <c r="D371" s="13" t="s">
        <v>55</v>
      </c>
      <c r="E371" s="12" t="s">
        <v>29</v>
      </c>
      <c r="Q371" s="15">
        <v>190856.07</v>
      </c>
      <c r="R371" s="16">
        <v>53572.22</v>
      </c>
      <c r="S371" s="16" t="s">
        <v>2973</v>
      </c>
      <c r="T371" s="16" t="s">
        <v>2973</v>
      </c>
      <c r="U371" s="16" t="s">
        <v>2973</v>
      </c>
      <c r="V371" s="16" t="s">
        <v>2973</v>
      </c>
      <c r="W371" s="16" t="s">
        <v>2973</v>
      </c>
      <c r="X371" s="16" t="s">
        <v>2973</v>
      </c>
      <c r="AA371" s="24"/>
    </row>
    <row r="372" spans="1:27" x14ac:dyDescent="0.15">
      <c r="A372" s="12" t="s">
        <v>3062</v>
      </c>
      <c r="B372" s="13" t="s">
        <v>3063</v>
      </c>
      <c r="C372" s="13" t="s">
        <v>27</v>
      </c>
      <c r="D372" s="13" t="s">
        <v>40</v>
      </c>
      <c r="E372" s="12" t="s">
        <v>29</v>
      </c>
      <c r="Q372" s="15">
        <v>3906700</v>
      </c>
      <c r="R372" s="16" t="s">
        <v>2982</v>
      </c>
      <c r="S372" s="16" t="s">
        <v>2973</v>
      </c>
      <c r="T372" s="16" t="s">
        <v>2973</v>
      </c>
      <c r="U372" s="16" t="s">
        <v>2973</v>
      </c>
      <c r="V372" s="16" t="s">
        <v>2973</v>
      </c>
      <c r="W372" s="16" t="s">
        <v>2973</v>
      </c>
      <c r="X372" s="16" t="s">
        <v>2973</v>
      </c>
      <c r="AA372" s="24"/>
    </row>
    <row r="409" spans="19:19" x14ac:dyDescent="0.15">
      <c r="S409" s="3"/>
    </row>
    <row r="410" spans="19:19" x14ac:dyDescent="0.15">
      <c r="S410" s="3"/>
    </row>
    <row r="411" spans="19:19" x14ac:dyDescent="0.15">
      <c r="S411" s="3"/>
    </row>
    <row r="412" spans="19:19" x14ac:dyDescent="0.15">
      <c r="S412" s="3"/>
    </row>
    <row r="413" spans="19:19" x14ac:dyDescent="0.15">
      <c r="S413" s="3"/>
    </row>
    <row r="442" spans="1:37" x14ac:dyDescent="0.15">
      <c r="A442" s="52"/>
      <c r="B442" s="52"/>
      <c r="C442" s="52"/>
      <c r="D442" s="52"/>
      <c r="E442" s="52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</row>
    <row r="445" spans="1:37" x14ac:dyDescent="0.15">
      <c r="T445" s="3"/>
      <c r="U445" s="3"/>
    </row>
    <row r="484" outlineLevel="1" x14ac:dyDescent="0.15"/>
    <row r="485" outlineLevel="1" x14ac:dyDescent="0.15"/>
    <row r="486" outlineLevel="1" x14ac:dyDescent="0.15"/>
    <row r="487" outlineLevel="1" x14ac:dyDescent="0.15"/>
    <row r="488" outlineLevel="1" x14ac:dyDescent="0.15"/>
    <row r="489" outlineLevel="1" x14ac:dyDescent="0.15"/>
    <row r="490" outlineLevel="1" x14ac:dyDescent="0.15"/>
    <row r="491" outlineLevel="1" x14ac:dyDescent="0.15"/>
    <row r="492" outlineLevel="1" x14ac:dyDescent="0.15"/>
    <row r="493" outlineLevel="1" x14ac:dyDescent="0.15"/>
    <row r="494" outlineLevel="1" x14ac:dyDescent="0.15"/>
    <row r="495" outlineLevel="1" x14ac:dyDescent="0.15"/>
    <row r="496" outlineLevel="1" x14ac:dyDescent="0.15"/>
    <row r="497" outlineLevel="1" x14ac:dyDescent="0.15"/>
    <row r="498" outlineLevel="1" x14ac:dyDescent="0.15"/>
    <row r="499" outlineLevel="1" x14ac:dyDescent="0.15"/>
    <row r="500" outlineLevel="1" x14ac:dyDescent="0.15"/>
    <row r="501" outlineLevel="1" x14ac:dyDescent="0.15"/>
    <row r="502" outlineLevel="1" x14ac:dyDescent="0.15"/>
    <row r="503" outlineLevel="1" x14ac:dyDescent="0.15"/>
    <row r="504" outlineLevel="1" x14ac:dyDescent="0.15"/>
    <row r="505" outlineLevel="1" x14ac:dyDescent="0.15"/>
    <row r="506" outlineLevel="1" x14ac:dyDescent="0.15"/>
    <row r="507" outlineLevel="1" x14ac:dyDescent="0.15"/>
    <row r="508" outlineLevel="1" x14ac:dyDescent="0.15"/>
    <row r="509" outlineLevel="1" x14ac:dyDescent="0.15"/>
    <row r="510" outlineLevel="1" x14ac:dyDescent="0.15"/>
    <row r="511" outlineLevel="1" x14ac:dyDescent="0.15"/>
    <row r="512" outlineLevel="1" x14ac:dyDescent="0.15"/>
    <row r="513" outlineLevel="1" x14ac:dyDescent="0.15"/>
    <row r="514" outlineLevel="1" x14ac:dyDescent="0.15"/>
    <row r="515" outlineLevel="1" x14ac:dyDescent="0.15"/>
    <row r="516" outlineLevel="1" x14ac:dyDescent="0.15"/>
    <row r="517" outlineLevel="1" x14ac:dyDescent="0.15"/>
    <row r="518" outlineLevel="1" x14ac:dyDescent="0.15"/>
    <row r="519" outlineLevel="1" x14ac:dyDescent="0.15"/>
    <row r="520" outlineLevel="1" x14ac:dyDescent="0.15"/>
    <row r="521" outlineLevel="1" x14ac:dyDescent="0.15"/>
    <row r="522" outlineLevel="1" x14ac:dyDescent="0.15"/>
    <row r="523" outlineLevel="1" x14ac:dyDescent="0.15"/>
    <row r="524" outlineLevel="1" x14ac:dyDescent="0.15"/>
    <row r="525" outlineLevel="1" x14ac:dyDescent="0.15"/>
    <row r="526" outlineLevel="1" x14ac:dyDescent="0.15"/>
    <row r="527" outlineLevel="1" x14ac:dyDescent="0.15"/>
    <row r="528" outlineLevel="1" x14ac:dyDescent="0.15"/>
    <row r="529" outlineLevel="1" x14ac:dyDescent="0.15"/>
    <row r="530" outlineLevel="1" x14ac:dyDescent="0.15"/>
    <row r="531" outlineLevel="1" x14ac:dyDescent="0.15"/>
    <row r="532" outlineLevel="1" x14ac:dyDescent="0.15"/>
    <row r="533" outlineLevel="1" x14ac:dyDescent="0.15"/>
    <row r="534" outlineLevel="1" x14ac:dyDescent="0.15"/>
    <row r="535" outlineLevel="1" x14ac:dyDescent="0.15"/>
    <row r="536" outlineLevel="1" x14ac:dyDescent="0.15"/>
    <row r="537" outlineLevel="1" x14ac:dyDescent="0.15"/>
    <row r="538" outlineLevel="1" x14ac:dyDescent="0.15"/>
    <row r="539" outlineLevel="1" x14ac:dyDescent="0.15"/>
    <row r="540" outlineLevel="1" x14ac:dyDescent="0.15"/>
    <row r="541" outlineLevel="1" x14ac:dyDescent="0.15"/>
    <row r="542" outlineLevel="1" x14ac:dyDescent="0.15"/>
    <row r="543" outlineLevel="1" x14ac:dyDescent="0.15"/>
    <row r="544" outlineLevel="1" x14ac:dyDescent="0.15"/>
    <row r="545" outlineLevel="1" x14ac:dyDescent="0.15"/>
    <row r="546" outlineLevel="1" x14ac:dyDescent="0.15"/>
    <row r="547" outlineLevel="1" x14ac:dyDescent="0.15"/>
    <row r="548" outlineLevel="1" x14ac:dyDescent="0.15"/>
    <row r="549" outlineLevel="1" x14ac:dyDescent="0.15"/>
    <row r="550" outlineLevel="1" x14ac:dyDescent="0.15"/>
    <row r="551" outlineLevel="1" x14ac:dyDescent="0.15"/>
    <row r="552" outlineLevel="1" x14ac:dyDescent="0.15"/>
    <row r="553" outlineLevel="1" x14ac:dyDescent="0.15"/>
    <row r="554" outlineLevel="1" x14ac:dyDescent="0.15"/>
    <row r="555" outlineLevel="1" x14ac:dyDescent="0.15"/>
    <row r="556" outlineLevel="1" x14ac:dyDescent="0.15"/>
    <row r="557" outlineLevel="1" x14ac:dyDescent="0.15"/>
    <row r="558" outlineLevel="1" x14ac:dyDescent="0.15"/>
    <row r="559" outlineLevel="1" x14ac:dyDescent="0.15"/>
    <row r="560" outlineLevel="1" x14ac:dyDescent="0.15"/>
    <row r="561" outlineLevel="1" x14ac:dyDescent="0.15"/>
    <row r="562" outlineLevel="1" x14ac:dyDescent="0.15"/>
    <row r="563" outlineLevel="1" x14ac:dyDescent="0.15"/>
    <row r="564" outlineLevel="1" x14ac:dyDescent="0.15"/>
    <row r="565" outlineLevel="1" x14ac:dyDescent="0.15"/>
    <row r="566" outlineLevel="1" x14ac:dyDescent="0.15"/>
    <row r="567" outlineLevel="1" x14ac:dyDescent="0.15"/>
    <row r="568" outlineLevel="1" x14ac:dyDescent="0.15"/>
    <row r="569" outlineLevel="1" x14ac:dyDescent="0.15"/>
    <row r="570" outlineLevel="1" x14ac:dyDescent="0.15"/>
    <row r="571" outlineLevel="1" x14ac:dyDescent="0.15"/>
    <row r="572" outlineLevel="1" x14ac:dyDescent="0.15"/>
    <row r="573" outlineLevel="1" x14ac:dyDescent="0.15"/>
    <row r="574" outlineLevel="1" x14ac:dyDescent="0.15"/>
    <row r="575" outlineLevel="1" x14ac:dyDescent="0.15"/>
    <row r="576" outlineLevel="1" x14ac:dyDescent="0.15"/>
    <row r="577" spans="1:37" outlineLevel="1" x14ac:dyDescent="0.15"/>
    <row r="578" spans="1:37" outlineLevel="1" x14ac:dyDescent="0.15"/>
    <row r="579" spans="1:37" outlineLevel="1" x14ac:dyDescent="0.15"/>
    <row r="580" spans="1:37" outlineLevel="1" x14ac:dyDescent="0.15"/>
    <row r="581" spans="1:37" outlineLevel="1" x14ac:dyDescent="0.15"/>
    <row r="582" spans="1:37" outlineLevel="1" x14ac:dyDescent="0.15"/>
    <row r="583" spans="1:37" outlineLevel="1" x14ac:dyDescent="0.15"/>
    <row r="584" spans="1:37" outlineLevel="1" x14ac:dyDescent="0.15"/>
    <row r="585" spans="1:37" outlineLevel="1" x14ac:dyDescent="0.15"/>
    <row r="586" spans="1:37" outlineLevel="1" x14ac:dyDescent="0.15"/>
    <row r="587" spans="1:37" outlineLevel="1" x14ac:dyDescent="0.15"/>
    <row r="588" spans="1:37" outlineLevel="1" x14ac:dyDescent="0.15"/>
    <row r="589" spans="1:37" outlineLevel="1" x14ac:dyDescent="0.15"/>
    <row r="590" spans="1:37" outlineLevel="1" x14ac:dyDescent="0.15"/>
    <row r="591" spans="1:37" s="52" customForma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</sheetData>
  <autoFilter ref="A25:Z372"/>
  <mergeCells count="4">
    <mergeCell ref="B8:B14"/>
    <mergeCell ref="B19:C21"/>
    <mergeCell ref="A15:A16"/>
    <mergeCell ref="B15:C16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0000"/>
    <pageSetUpPr fitToPage="1"/>
  </sheetPr>
  <dimension ref="A1:AN1338"/>
  <sheetViews>
    <sheetView showGridLines="0" zoomScale="80" zoomScaleNormal="80" workbookViewId="0">
      <pane xSplit="2" ySplit="18" topLeftCell="C19" activePane="bottomRight" state="frozen"/>
      <selection activeCell="L15" sqref="E15:L15"/>
      <selection pane="topRight" activeCell="L15" sqref="E15:L15"/>
      <selection pane="bottomLeft" activeCell="L15" sqref="E15:L15"/>
      <selection pane="bottomRight" activeCell="C19" sqref="C19"/>
    </sheetView>
  </sheetViews>
  <sheetFormatPr defaultColWidth="9.140625" defaultRowHeight="12.75" customHeight="1" outlineLevelRow="2" outlineLevelCol="1" x14ac:dyDescent="0.15"/>
  <cols>
    <col min="1" max="1" width="15.140625" style="1" customWidth="1"/>
    <col min="2" max="2" width="49.7109375" style="1" customWidth="1"/>
    <col min="3" max="10" width="13.140625" style="1" customWidth="1"/>
    <col min="11" max="11" width="12.140625" style="1" customWidth="1"/>
    <col min="12" max="12" width="14.85546875" style="1" customWidth="1"/>
    <col min="13" max="13" width="16.7109375" style="1" customWidth="1"/>
    <col min="14" max="18" width="11.5703125" style="1" customWidth="1" outlineLevel="1"/>
    <col min="19" max="19" width="13.42578125" style="1" customWidth="1" outlineLevel="1"/>
    <col min="20" max="26" width="13" style="1" customWidth="1" outlineLevel="1"/>
    <col min="27" max="27" width="13.42578125" style="1" customWidth="1" outlineLevel="1"/>
    <col min="28" max="28" width="15" style="1" bestFit="1" customWidth="1" outlineLevel="1"/>
    <col min="29" max="29" width="12.7109375" style="1" customWidth="1" outlineLevel="1"/>
    <col min="30" max="31" width="9.28515625" style="1" customWidth="1" outlineLevel="1"/>
    <col min="32" max="33" width="12" style="1" customWidth="1" outlineLevel="1"/>
    <col min="34" max="34" width="12.7109375" style="1" customWidth="1"/>
    <col min="35" max="35" width="14.140625" style="1" customWidth="1" outlineLevel="1"/>
    <col min="36" max="36" width="11.85546875" style="1" customWidth="1" outlineLevel="1"/>
    <col min="37" max="37" width="10.5703125" style="1" customWidth="1"/>
    <col min="38" max="38" width="10" style="1" customWidth="1"/>
    <col min="39" max="39" width="10.7109375" style="1" bestFit="1" customWidth="1"/>
    <col min="40" max="42" width="9.7109375" style="1" bestFit="1" customWidth="1"/>
    <col min="43" max="44" width="9.140625" style="1"/>
    <col min="45" max="45" width="24" style="1" bestFit="1" customWidth="1"/>
    <col min="46" max="16384" width="9.140625" style="1"/>
  </cols>
  <sheetData>
    <row r="1" spans="1:40" ht="12.75" customHeight="1" outlineLevel="1" x14ac:dyDescent="0.15">
      <c r="C1" s="3"/>
      <c r="D1" s="3"/>
      <c r="E1" s="3"/>
      <c r="F1" s="3"/>
      <c r="G1" s="3"/>
      <c r="H1" s="3"/>
      <c r="I1" s="3"/>
      <c r="J1" s="3"/>
      <c r="M1" s="404" t="s">
        <v>2993</v>
      </c>
      <c r="N1" s="408">
        <v>73</v>
      </c>
      <c r="O1" s="408">
        <f>N1+1</f>
        <v>74</v>
      </c>
      <c r="P1" s="408">
        <f t="shared" ref="P1:AG2" si="0">O1+1</f>
        <v>75</v>
      </c>
      <c r="Q1" s="408">
        <f t="shared" si="0"/>
        <v>76</v>
      </c>
      <c r="R1" s="408">
        <f t="shared" si="0"/>
        <v>77</v>
      </c>
      <c r="S1" s="408">
        <f t="shared" si="0"/>
        <v>78</v>
      </c>
      <c r="T1" s="408">
        <f t="shared" si="0"/>
        <v>79</v>
      </c>
      <c r="U1" s="408">
        <f t="shared" si="0"/>
        <v>80</v>
      </c>
      <c r="V1" s="408">
        <f t="shared" si="0"/>
        <v>81</v>
      </c>
      <c r="W1" s="408">
        <f t="shared" si="0"/>
        <v>82</v>
      </c>
      <c r="X1" s="408">
        <f t="shared" si="0"/>
        <v>83</v>
      </c>
      <c r="Y1" s="408">
        <f t="shared" si="0"/>
        <v>84</v>
      </c>
      <c r="Z1" s="408">
        <f t="shared" si="0"/>
        <v>85</v>
      </c>
      <c r="AA1" s="408">
        <f t="shared" si="0"/>
        <v>86</v>
      </c>
      <c r="AB1" s="408">
        <f t="shared" si="0"/>
        <v>87</v>
      </c>
      <c r="AC1" s="408">
        <f t="shared" si="0"/>
        <v>88</v>
      </c>
      <c r="AD1" s="408">
        <f t="shared" si="0"/>
        <v>89</v>
      </c>
      <c r="AE1" s="408">
        <f t="shared" si="0"/>
        <v>90</v>
      </c>
      <c r="AF1" s="409">
        <f t="shared" si="0"/>
        <v>91</v>
      </c>
      <c r="AG1" s="409">
        <f t="shared" si="0"/>
        <v>92</v>
      </c>
    </row>
    <row r="2" spans="1:40" ht="12.75" customHeight="1" outlineLevel="1" x14ac:dyDescent="0.15">
      <c r="C2" s="3">
        <f>'Commissioned Extra'!C17</f>
        <v>104245799.09245031</v>
      </c>
      <c r="D2" s="3">
        <v>208242988.62641209</v>
      </c>
      <c r="E2" s="3">
        <v>134946009.47033244</v>
      </c>
      <c r="F2" s="3">
        <v>73302810.293598846</v>
      </c>
      <c r="G2" s="3">
        <v>92714543.425860599</v>
      </c>
      <c r="H2" s="3">
        <v>109254729.4370591</v>
      </c>
      <c r="I2" s="3">
        <v>174726836.27298212</v>
      </c>
      <c r="J2" s="3">
        <v>1046202115.1791983</v>
      </c>
      <c r="M2" s="410" t="s">
        <v>2992</v>
      </c>
      <c r="N2" s="408">
        <v>3</v>
      </c>
      <c r="O2" s="408">
        <f>N2+1</f>
        <v>4</v>
      </c>
      <c r="P2" s="408">
        <f t="shared" si="0"/>
        <v>5</v>
      </c>
      <c r="Q2" s="408">
        <f t="shared" si="0"/>
        <v>6</v>
      </c>
      <c r="R2" s="408">
        <f t="shared" si="0"/>
        <v>7</v>
      </c>
      <c r="S2" s="408">
        <f t="shared" si="0"/>
        <v>8</v>
      </c>
      <c r="T2" s="408">
        <f t="shared" si="0"/>
        <v>9</v>
      </c>
      <c r="U2" s="408">
        <f t="shared" si="0"/>
        <v>10</v>
      </c>
      <c r="V2" s="408">
        <f t="shared" si="0"/>
        <v>11</v>
      </c>
      <c r="W2" s="408">
        <f t="shared" si="0"/>
        <v>12</v>
      </c>
      <c r="X2" s="408">
        <f t="shared" si="0"/>
        <v>13</v>
      </c>
      <c r="Y2" s="408">
        <f t="shared" si="0"/>
        <v>14</v>
      </c>
      <c r="Z2" s="408">
        <f t="shared" si="0"/>
        <v>15</v>
      </c>
      <c r="AA2" s="408">
        <f t="shared" si="0"/>
        <v>16</v>
      </c>
      <c r="AB2" s="408">
        <f t="shared" si="0"/>
        <v>17</v>
      </c>
      <c r="AC2" s="408">
        <f t="shared" si="0"/>
        <v>18</v>
      </c>
      <c r="AD2" s="408">
        <f t="shared" si="0"/>
        <v>19</v>
      </c>
      <c r="AE2" s="408">
        <f t="shared" si="0"/>
        <v>20</v>
      </c>
      <c r="AF2" s="409">
        <f t="shared" si="0"/>
        <v>21</v>
      </c>
      <c r="AG2" s="409">
        <f t="shared" si="0"/>
        <v>22</v>
      </c>
    </row>
    <row r="3" spans="1:40" ht="12.75" customHeight="1" outlineLevel="1" x14ac:dyDescent="0.15">
      <c r="C3" s="3">
        <f>C2+C15</f>
        <v>180190161.8025794</v>
      </c>
      <c r="D3" s="3">
        <f t="shared" ref="D3:J3" si="1">D2-D15</f>
        <v>-80792871.731696784</v>
      </c>
      <c r="E3" s="3">
        <f t="shared" si="1"/>
        <v>9889857.1055567861</v>
      </c>
      <c r="F3" s="3">
        <f t="shared" si="1"/>
        <v>564775.62841844559</v>
      </c>
      <c r="G3" s="3">
        <f t="shared" si="1"/>
        <v>-3654753.6297641098</v>
      </c>
      <c r="H3" s="3">
        <f t="shared" si="1"/>
        <v>-201681.39356924593</v>
      </c>
      <c r="I3" s="3">
        <f t="shared" si="1"/>
        <v>-3709946.2721075118</v>
      </c>
      <c r="J3" s="3">
        <f t="shared" si="1"/>
        <v>99165214.649661541</v>
      </c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</row>
    <row r="4" spans="1:40" ht="52.5" outlineLevel="1" x14ac:dyDescent="0.15">
      <c r="B4" s="648" t="s">
        <v>3039</v>
      </c>
      <c r="N4" s="31" t="s">
        <v>1031</v>
      </c>
      <c r="O4" s="31" t="s">
        <v>1032</v>
      </c>
      <c r="P4" s="31" t="s">
        <v>1033</v>
      </c>
      <c r="Q4" s="31" t="s">
        <v>1034</v>
      </c>
      <c r="R4" s="31" t="s">
        <v>1035</v>
      </c>
      <c r="S4" s="31" t="s">
        <v>854</v>
      </c>
      <c r="T4" s="31" t="s">
        <v>1036</v>
      </c>
      <c r="U4" s="31" t="s">
        <v>1037</v>
      </c>
      <c r="V4" s="31" t="s">
        <v>41</v>
      </c>
      <c r="W4" s="31" t="s">
        <v>1038</v>
      </c>
      <c r="X4" s="31" t="s">
        <v>1039</v>
      </c>
      <c r="Y4" s="31" t="s">
        <v>1040</v>
      </c>
      <c r="Z4" s="31" t="s">
        <v>1041</v>
      </c>
      <c r="AA4" s="31" t="s">
        <v>1042</v>
      </c>
      <c r="AB4" s="31" t="s">
        <v>1043</v>
      </c>
      <c r="AC4" s="31" t="s">
        <v>1044</v>
      </c>
      <c r="AD4" s="31" t="s">
        <v>1045</v>
      </c>
      <c r="AE4" s="31" t="s">
        <v>1046</v>
      </c>
      <c r="AF4" s="32" t="s">
        <v>1047</v>
      </c>
      <c r="AG4" s="818" t="s">
        <v>3064</v>
      </c>
    </row>
    <row r="5" spans="1:40" ht="12.75" hidden="1" customHeight="1" outlineLevel="2" x14ac:dyDescent="0.15">
      <c r="B5" s="1">
        <v>2014</v>
      </c>
      <c r="C5" s="55"/>
      <c r="D5" s="55"/>
      <c r="E5" s="55"/>
      <c r="F5" s="55"/>
      <c r="G5" s="55"/>
      <c r="H5" s="55"/>
      <c r="I5" s="55"/>
      <c r="J5" s="54">
        <f>SUM(C5:I5)</f>
        <v>0</v>
      </c>
      <c r="K5" s="3"/>
      <c r="L5" s="3"/>
      <c r="M5" s="24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40" ht="12.75" hidden="1" customHeight="1" outlineLevel="2" x14ac:dyDescent="0.15">
      <c r="B6" s="1">
        <v>2015</v>
      </c>
      <c r="C6" s="55"/>
      <c r="D6" s="55"/>
      <c r="E6" s="55"/>
      <c r="F6" s="55"/>
      <c r="G6" s="55"/>
      <c r="H6" s="55"/>
      <c r="I6" s="55"/>
      <c r="J6" s="54">
        <f>SUM(C6:I6)</f>
        <v>0</v>
      </c>
      <c r="K6" s="3"/>
      <c r="L6" s="3"/>
      <c r="M6" s="24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40" ht="12.75" hidden="1" customHeight="1" outlineLevel="2" x14ac:dyDescent="0.15">
      <c r="B7" s="1">
        <v>2016</v>
      </c>
      <c r="J7" s="3"/>
      <c r="K7" s="3"/>
      <c r="L7" s="3"/>
      <c r="M7" s="24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40" ht="12.75" customHeight="1" outlineLevel="1" collapsed="1" x14ac:dyDescent="0.15">
      <c r="B8" s="1">
        <v>2017</v>
      </c>
      <c r="C8" s="3">
        <f>SUM($N8:$AG8)</f>
        <v>75944362.710129097</v>
      </c>
      <c r="J8" s="3">
        <f t="shared" ref="J8:J14" si="2">SUM(C8:I8)</f>
        <v>75944362.710129097</v>
      </c>
      <c r="K8" s="3"/>
      <c r="L8" s="3"/>
      <c r="M8" s="24" t="s">
        <v>2277</v>
      </c>
      <c r="N8" s="3">
        <f>SUMPRODUCT(N$19:N$400,$C$19:$C$400)</f>
        <v>423452.89846143103</v>
      </c>
      <c r="O8" s="3">
        <f t="shared" ref="O8:AG8" si="3">SUMPRODUCT(O$19:O$400,$C$19:$C$400)</f>
        <v>0</v>
      </c>
      <c r="P8" s="3">
        <f t="shared" si="3"/>
        <v>5747195.5176388752</v>
      </c>
      <c r="Q8" s="3">
        <f t="shared" si="3"/>
        <v>3046849.7946200157</v>
      </c>
      <c r="R8" s="3">
        <f t="shared" si="3"/>
        <v>0</v>
      </c>
      <c r="S8" s="3">
        <f t="shared" si="3"/>
        <v>807480.37410477584</v>
      </c>
      <c r="T8" s="3">
        <f t="shared" si="3"/>
        <v>1657665.5722094907</v>
      </c>
      <c r="U8" s="3">
        <f t="shared" si="3"/>
        <v>733419.73848742829</v>
      </c>
      <c r="V8" s="3">
        <f t="shared" si="3"/>
        <v>0</v>
      </c>
      <c r="W8" s="3">
        <f t="shared" si="3"/>
        <v>20844197.541484613</v>
      </c>
      <c r="X8" s="3">
        <f t="shared" si="3"/>
        <v>0</v>
      </c>
      <c r="Y8" s="3">
        <f t="shared" si="3"/>
        <v>24832733.149935476</v>
      </c>
      <c r="Z8" s="3">
        <f t="shared" si="3"/>
        <v>0</v>
      </c>
      <c r="AA8" s="3">
        <f t="shared" si="3"/>
        <v>0</v>
      </c>
      <c r="AB8" s="3">
        <f t="shared" si="3"/>
        <v>8372997.0987835741</v>
      </c>
      <c r="AC8" s="3">
        <f t="shared" si="3"/>
        <v>5391634.3426381731</v>
      </c>
      <c r="AD8" s="3">
        <f t="shared" si="3"/>
        <v>0</v>
      </c>
      <c r="AE8" s="3">
        <f t="shared" si="3"/>
        <v>0</v>
      </c>
      <c r="AF8" s="3">
        <f t="shared" si="3"/>
        <v>4086736.6817652415</v>
      </c>
      <c r="AG8" s="3">
        <f t="shared" si="3"/>
        <v>0</v>
      </c>
      <c r="AH8" s="3">
        <f>SUM(N8:AG8)</f>
        <v>75944362.710129097</v>
      </c>
    </row>
    <row r="9" spans="1:40" ht="12.75" customHeight="1" outlineLevel="1" x14ac:dyDescent="0.15">
      <c r="B9" s="1">
        <v>2018</v>
      </c>
      <c r="C9" s="3"/>
      <c r="D9" s="3">
        <f>SUM($N9:$AG9)</f>
        <v>289035860.35810888</v>
      </c>
      <c r="J9" s="3">
        <f t="shared" si="2"/>
        <v>289035860.35810888</v>
      </c>
      <c r="K9" s="3"/>
      <c r="L9" s="3"/>
      <c r="M9" s="24" t="s">
        <v>2278</v>
      </c>
      <c r="N9" s="3">
        <f>SUMPRODUCT(N$19:N$400,$D$19:$D$400)</f>
        <v>6456369.8167724721</v>
      </c>
      <c r="O9" s="3">
        <f t="shared" ref="O9:AG9" si="4">SUMPRODUCT(O$19:O$400,$D$19:$D$400)</f>
        <v>1770229.0014510308</v>
      </c>
      <c r="P9" s="3">
        <f t="shared" si="4"/>
        <v>10467577.853712423</v>
      </c>
      <c r="Q9" s="3">
        <f t="shared" si="4"/>
        <v>29330895.236358508</v>
      </c>
      <c r="R9" s="3">
        <f t="shared" si="4"/>
        <v>80249.403118108195</v>
      </c>
      <c r="S9" s="3">
        <f t="shared" si="4"/>
        <v>12731921.987532727</v>
      </c>
      <c r="T9" s="3">
        <f t="shared" si="4"/>
        <v>0</v>
      </c>
      <c r="U9" s="3">
        <f t="shared" si="4"/>
        <v>11127269.124751881</v>
      </c>
      <c r="V9" s="3">
        <f t="shared" si="4"/>
        <v>0</v>
      </c>
      <c r="W9" s="3">
        <f t="shared" si="4"/>
        <v>87658192.654464722</v>
      </c>
      <c r="X9" s="3">
        <f t="shared" si="4"/>
        <v>2378742.6158115002</v>
      </c>
      <c r="Y9" s="3">
        <f t="shared" si="4"/>
        <v>13954078.016952343</v>
      </c>
      <c r="Z9" s="3">
        <f t="shared" si="4"/>
        <v>715616.50522294233</v>
      </c>
      <c r="AA9" s="3">
        <f t="shared" si="4"/>
        <v>0</v>
      </c>
      <c r="AB9" s="3">
        <f t="shared" si="4"/>
        <v>33304341.506624408</v>
      </c>
      <c r="AC9" s="3">
        <f t="shared" si="4"/>
        <v>14079995.216994345</v>
      </c>
      <c r="AD9" s="3">
        <f t="shared" si="4"/>
        <v>3398246.2135385145</v>
      </c>
      <c r="AE9" s="3">
        <f t="shared" si="4"/>
        <v>0</v>
      </c>
      <c r="AF9" s="3">
        <f t="shared" si="4"/>
        <v>61582135.204802945</v>
      </c>
      <c r="AG9" s="3">
        <f t="shared" si="4"/>
        <v>0</v>
      </c>
      <c r="AH9" s="3">
        <f t="shared" ref="AH9:AH14" si="5">SUM(N9:AG9)</f>
        <v>289035860.35810888</v>
      </c>
    </row>
    <row r="10" spans="1:40" ht="12.75" customHeight="1" outlineLevel="1" x14ac:dyDescent="0.15">
      <c r="B10" s="1">
        <v>2019</v>
      </c>
      <c r="D10" s="3"/>
      <c r="E10" s="3">
        <f>SUM($N10:$AG10)</f>
        <v>125056152.36477566</v>
      </c>
      <c r="J10" s="3">
        <f t="shared" si="2"/>
        <v>125056152.36477566</v>
      </c>
      <c r="K10" s="3"/>
      <c r="L10" s="3"/>
      <c r="M10" s="24" t="s">
        <v>2279</v>
      </c>
      <c r="N10" s="3">
        <f>SUMPRODUCT(N$19:N$400,$E$19:$E$400)</f>
        <v>3318183.3124868232</v>
      </c>
      <c r="O10" s="3">
        <f t="shared" ref="O10:AG10" si="6">SUMPRODUCT(O$19:O$400,$E$19:$E$400)</f>
        <v>9995148.7270071488</v>
      </c>
      <c r="P10" s="3">
        <f t="shared" si="6"/>
        <v>19788995.574828137</v>
      </c>
      <c r="Q10" s="3">
        <f t="shared" si="6"/>
        <v>23417408.187657088</v>
      </c>
      <c r="R10" s="3">
        <f t="shared" si="6"/>
        <v>10025.896194240897</v>
      </c>
      <c r="S10" s="3">
        <f t="shared" si="6"/>
        <v>13408.097136373772</v>
      </c>
      <c r="T10" s="3">
        <f t="shared" si="6"/>
        <v>2875489.0527144205</v>
      </c>
      <c r="U10" s="3">
        <f t="shared" si="6"/>
        <v>563183.96193716337</v>
      </c>
      <c r="V10" s="3">
        <f t="shared" si="6"/>
        <v>0</v>
      </c>
      <c r="W10" s="3">
        <f t="shared" si="6"/>
        <v>23761379.675186109</v>
      </c>
      <c r="X10" s="3">
        <f t="shared" si="6"/>
        <v>847226.69150611479</v>
      </c>
      <c r="Y10" s="3">
        <f t="shared" si="6"/>
        <v>16680348.683036031</v>
      </c>
      <c r="Z10" s="3">
        <f t="shared" si="6"/>
        <v>178309.05221218319</v>
      </c>
      <c r="AA10" s="3">
        <f t="shared" si="6"/>
        <v>0</v>
      </c>
      <c r="AB10" s="3">
        <f t="shared" si="6"/>
        <v>11138274.056678446</v>
      </c>
      <c r="AC10" s="3">
        <f t="shared" si="6"/>
        <v>720400.2165842806</v>
      </c>
      <c r="AD10" s="3">
        <f t="shared" si="6"/>
        <v>543108.48236662068</v>
      </c>
      <c r="AE10" s="3">
        <f t="shared" si="6"/>
        <v>0</v>
      </c>
      <c r="AF10" s="3">
        <f t="shared" si="6"/>
        <v>0</v>
      </c>
      <c r="AG10" s="3">
        <f t="shared" si="6"/>
        <v>11205262.697244486</v>
      </c>
      <c r="AH10" s="3">
        <f t="shared" si="5"/>
        <v>125056152.36477566</v>
      </c>
    </row>
    <row r="11" spans="1:40" ht="12.75" customHeight="1" outlineLevel="1" x14ac:dyDescent="0.15">
      <c r="B11" s="1">
        <v>2020</v>
      </c>
      <c r="E11" s="3"/>
      <c r="F11" s="3">
        <f>SUM($N11:$AG11)</f>
        <v>72738034.6651804</v>
      </c>
      <c r="J11" s="3">
        <f t="shared" si="2"/>
        <v>72738034.6651804</v>
      </c>
      <c r="K11" s="3"/>
      <c r="L11" s="3"/>
      <c r="M11" s="24" t="s">
        <v>2280</v>
      </c>
      <c r="N11" s="3">
        <f>SUMPRODUCT(N$19:N$400,$F$19:$F$400)</f>
        <v>643616.38995981298</v>
      </c>
      <c r="O11" s="3">
        <f t="shared" ref="O11:AG11" si="7">SUMPRODUCT(O$19:O$400,$F$19:$F$400)</f>
        <v>1919834.582378462</v>
      </c>
      <c r="P11" s="3">
        <f t="shared" si="7"/>
        <v>14490266.748072019</v>
      </c>
      <c r="Q11" s="3">
        <f t="shared" si="7"/>
        <v>10476193.10545177</v>
      </c>
      <c r="R11" s="3">
        <f t="shared" si="7"/>
        <v>0</v>
      </c>
      <c r="S11" s="3">
        <f t="shared" si="7"/>
        <v>111799.37033901895</v>
      </c>
      <c r="T11" s="3">
        <f t="shared" si="7"/>
        <v>0</v>
      </c>
      <c r="U11" s="3">
        <f t="shared" si="7"/>
        <v>487797.40031712601</v>
      </c>
      <c r="V11" s="3">
        <f t="shared" si="7"/>
        <v>0</v>
      </c>
      <c r="W11" s="3">
        <f t="shared" si="7"/>
        <v>7495662.296998566</v>
      </c>
      <c r="X11" s="3">
        <f t="shared" si="7"/>
        <v>159277.25201348393</v>
      </c>
      <c r="Y11" s="3">
        <f t="shared" si="7"/>
        <v>14818949.04888455</v>
      </c>
      <c r="Z11" s="3">
        <f t="shared" si="7"/>
        <v>232055.44108495483</v>
      </c>
      <c r="AA11" s="3">
        <f t="shared" si="7"/>
        <v>0</v>
      </c>
      <c r="AB11" s="3">
        <f t="shared" si="7"/>
        <v>11140204.080078118</v>
      </c>
      <c r="AC11" s="3">
        <f t="shared" si="7"/>
        <v>237359.08252406973</v>
      </c>
      <c r="AD11" s="3">
        <f t="shared" si="7"/>
        <v>0</v>
      </c>
      <c r="AE11" s="3">
        <f t="shared" si="7"/>
        <v>0</v>
      </c>
      <c r="AF11" s="3">
        <f t="shared" si="7"/>
        <v>0</v>
      </c>
      <c r="AG11" s="3">
        <f t="shared" si="7"/>
        <v>10525019.867078457</v>
      </c>
      <c r="AH11" s="3">
        <f t="shared" si="5"/>
        <v>72738034.6651804</v>
      </c>
    </row>
    <row r="12" spans="1:40" ht="12.75" customHeight="1" outlineLevel="1" x14ac:dyDescent="0.15">
      <c r="B12" s="1">
        <v>2021</v>
      </c>
      <c r="F12" s="3"/>
      <c r="G12" s="3">
        <f>SUM($N12:$AG12)</f>
        <v>96369297.055624709</v>
      </c>
      <c r="J12" s="3">
        <f t="shared" si="2"/>
        <v>96369297.055624709</v>
      </c>
      <c r="K12" s="3"/>
      <c r="L12" s="3"/>
      <c r="M12" s="24" t="s">
        <v>2281</v>
      </c>
      <c r="N12" s="3">
        <f>SUMPRODUCT(N$19:N$400,$G$19:$G$400)</f>
        <v>1131890.3218357253</v>
      </c>
      <c r="O12" s="3">
        <f t="shared" ref="O12:AG12" si="8">SUMPRODUCT(O$19:O$400,$G$19:$G$400)</f>
        <v>1242475.3412087187</v>
      </c>
      <c r="P12" s="3">
        <f t="shared" si="8"/>
        <v>4158401.5235918513</v>
      </c>
      <c r="Q12" s="3">
        <f t="shared" si="8"/>
        <v>14281909.056483772</v>
      </c>
      <c r="R12" s="3">
        <f t="shared" si="8"/>
        <v>0</v>
      </c>
      <c r="S12" s="3">
        <f t="shared" si="8"/>
        <v>43420.1007934394</v>
      </c>
      <c r="T12" s="3">
        <f t="shared" si="8"/>
        <v>0</v>
      </c>
      <c r="U12" s="3">
        <f t="shared" si="8"/>
        <v>546210.1835259638</v>
      </c>
      <c r="V12" s="3">
        <f t="shared" si="8"/>
        <v>0</v>
      </c>
      <c r="W12" s="3">
        <f t="shared" si="8"/>
        <v>23601106.69749957</v>
      </c>
      <c r="X12" s="3">
        <f t="shared" si="8"/>
        <v>221016.76500099225</v>
      </c>
      <c r="Y12" s="3">
        <f t="shared" si="8"/>
        <v>10380543.365815759</v>
      </c>
      <c r="Z12" s="3">
        <f t="shared" si="8"/>
        <v>3184393.5693453471</v>
      </c>
      <c r="AA12" s="3">
        <f t="shared" si="8"/>
        <v>0</v>
      </c>
      <c r="AB12" s="3">
        <f t="shared" si="8"/>
        <v>13142874.480023937</v>
      </c>
      <c r="AC12" s="3">
        <f t="shared" si="8"/>
        <v>710386.22696653195</v>
      </c>
      <c r="AD12" s="3">
        <f t="shared" si="8"/>
        <v>24674.740177649888</v>
      </c>
      <c r="AE12" s="3">
        <f t="shared" si="8"/>
        <v>0</v>
      </c>
      <c r="AF12" s="3">
        <f t="shared" si="8"/>
        <v>0</v>
      </c>
      <c r="AG12" s="3">
        <f t="shared" si="8"/>
        <v>23699994.683355451</v>
      </c>
      <c r="AH12" s="3">
        <f t="shared" si="5"/>
        <v>96369297.055624709</v>
      </c>
    </row>
    <row r="13" spans="1:40" ht="12.75" customHeight="1" outlineLevel="1" x14ac:dyDescent="0.15">
      <c r="B13" s="1">
        <v>2022</v>
      </c>
      <c r="G13" s="3"/>
      <c r="H13" s="3">
        <f>SUM($N13:$AG13)</f>
        <v>109456410.83062835</v>
      </c>
      <c r="J13" s="3">
        <f t="shared" si="2"/>
        <v>109456410.83062835</v>
      </c>
      <c r="K13" s="3"/>
      <c r="L13" s="3"/>
      <c r="M13" s="24" t="s">
        <v>2282</v>
      </c>
      <c r="N13" s="3">
        <f>SUMPRODUCT(N$19:N$400,$H$19:$H$400)</f>
        <v>1110451.2861734119</v>
      </c>
      <c r="O13" s="3">
        <f t="shared" ref="O13:AG13" si="9">SUMPRODUCT(O$19:O$400,$H$19:$H$400)</f>
        <v>820430.75460669561</v>
      </c>
      <c r="P13" s="3">
        <f t="shared" si="9"/>
        <v>303219.64387308073</v>
      </c>
      <c r="Q13" s="3">
        <f t="shared" si="9"/>
        <v>10229058.940565836</v>
      </c>
      <c r="R13" s="3">
        <f t="shared" si="9"/>
        <v>0</v>
      </c>
      <c r="S13" s="3">
        <f t="shared" si="9"/>
        <v>0</v>
      </c>
      <c r="T13" s="3">
        <f t="shared" si="9"/>
        <v>0</v>
      </c>
      <c r="U13" s="3">
        <f t="shared" si="9"/>
        <v>4032547.7865457195</v>
      </c>
      <c r="V13" s="3">
        <f t="shared" si="9"/>
        <v>0</v>
      </c>
      <c r="W13" s="3">
        <f t="shared" si="9"/>
        <v>5724656.0167829981</v>
      </c>
      <c r="X13" s="3">
        <f t="shared" si="9"/>
        <v>2267112.247868862</v>
      </c>
      <c r="Y13" s="3">
        <f t="shared" si="9"/>
        <v>387311.02592068468</v>
      </c>
      <c r="Z13" s="3">
        <f t="shared" si="9"/>
        <v>57764.415881311652</v>
      </c>
      <c r="AA13" s="3">
        <f t="shared" si="9"/>
        <v>0</v>
      </c>
      <c r="AB13" s="3">
        <f t="shared" si="9"/>
        <v>6394594.4414106207</v>
      </c>
      <c r="AC13" s="3">
        <f t="shared" si="9"/>
        <v>10982716.03534141</v>
      </c>
      <c r="AD13" s="3">
        <f t="shared" si="9"/>
        <v>14084.797302624153</v>
      </c>
      <c r="AE13" s="3">
        <f t="shared" si="9"/>
        <v>0</v>
      </c>
      <c r="AF13" s="3">
        <f t="shared" si="9"/>
        <v>0</v>
      </c>
      <c r="AG13" s="3">
        <f t="shared" si="9"/>
        <v>67132463.438355088</v>
      </c>
      <c r="AH13" s="3">
        <f t="shared" si="5"/>
        <v>109456410.83062835</v>
      </c>
    </row>
    <row r="14" spans="1:40" ht="12.75" customHeight="1" outlineLevel="1" x14ac:dyDescent="0.15">
      <c r="B14" s="1">
        <v>2023</v>
      </c>
      <c r="H14" s="3"/>
      <c r="I14" s="3">
        <f>SUM($N14:$AG14)</f>
        <v>178436782.54508963</v>
      </c>
      <c r="J14" s="3">
        <f t="shared" si="2"/>
        <v>178436782.54508963</v>
      </c>
      <c r="K14" s="3"/>
      <c r="L14" s="3"/>
      <c r="M14" s="24" t="s">
        <v>2283</v>
      </c>
      <c r="N14" s="3">
        <f>SUMPRODUCT(N$19:N$400,$I$19:$I$400)</f>
        <v>134574.99865764257</v>
      </c>
      <c r="O14" s="3">
        <f t="shared" ref="O14:AG14" si="10">SUMPRODUCT(O$19:O$400,$I$19:$I$400)</f>
        <v>56888.510231225569</v>
      </c>
      <c r="P14" s="3">
        <f t="shared" si="10"/>
        <v>10820959.118986245</v>
      </c>
      <c r="Q14" s="3">
        <f t="shared" si="10"/>
        <v>14413829.001032237</v>
      </c>
      <c r="R14" s="3">
        <f t="shared" si="10"/>
        <v>0</v>
      </c>
      <c r="S14" s="3">
        <f t="shared" si="10"/>
        <v>0</v>
      </c>
      <c r="T14" s="3">
        <f t="shared" si="10"/>
        <v>1855197.0630222005</v>
      </c>
      <c r="U14" s="3">
        <f t="shared" si="10"/>
        <v>2969967.9255932458</v>
      </c>
      <c r="V14" s="3">
        <f t="shared" si="10"/>
        <v>0</v>
      </c>
      <c r="W14" s="3">
        <f t="shared" si="10"/>
        <v>31985900.414149567</v>
      </c>
      <c r="X14" s="3">
        <f t="shared" si="10"/>
        <v>0</v>
      </c>
      <c r="Y14" s="3">
        <f t="shared" si="10"/>
        <v>2226289.2512486218</v>
      </c>
      <c r="Z14" s="3">
        <f t="shared" si="10"/>
        <v>49225.73119430965</v>
      </c>
      <c r="AA14" s="3">
        <f t="shared" si="10"/>
        <v>0</v>
      </c>
      <c r="AB14" s="3">
        <f t="shared" si="10"/>
        <v>38409216.464182824</v>
      </c>
      <c r="AC14" s="3">
        <f t="shared" si="10"/>
        <v>162487.56882168815</v>
      </c>
      <c r="AD14" s="3">
        <f t="shared" si="10"/>
        <v>129009.24539014655</v>
      </c>
      <c r="AE14" s="3">
        <f t="shared" si="10"/>
        <v>0</v>
      </c>
      <c r="AF14" s="3">
        <f t="shared" si="10"/>
        <v>0</v>
      </c>
      <c r="AG14" s="3">
        <f t="shared" si="10"/>
        <v>75223237.252579674</v>
      </c>
      <c r="AH14" s="3">
        <f t="shared" si="5"/>
        <v>178436782.54508963</v>
      </c>
    </row>
    <row r="15" spans="1:40" ht="10.5" outlineLevel="1" x14ac:dyDescent="0.15">
      <c r="A15" s="894" t="s">
        <v>22</v>
      </c>
      <c r="B15" s="895" t="s">
        <v>2631</v>
      </c>
      <c r="C15" s="3">
        <f t="shared" ref="C15:I15" si="11">SUM(C5:C14)</f>
        <v>75944362.710129097</v>
      </c>
      <c r="D15" s="3">
        <f t="shared" si="11"/>
        <v>289035860.35810888</v>
      </c>
      <c r="E15" s="3">
        <f t="shared" si="11"/>
        <v>125056152.36477566</v>
      </c>
      <c r="F15" s="3">
        <f t="shared" si="11"/>
        <v>72738034.6651804</v>
      </c>
      <c r="G15" s="3">
        <f t="shared" si="11"/>
        <v>96369297.055624709</v>
      </c>
      <c r="H15" s="3">
        <f t="shared" si="11"/>
        <v>109456410.83062835</v>
      </c>
      <c r="I15" s="3">
        <f t="shared" si="11"/>
        <v>178436782.54508963</v>
      </c>
      <c r="J15" s="3">
        <f>SUM(J7:J14)</f>
        <v>947036900.52953672</v>
      </c>
      <c r="K15" s="3"/>
      <c r="L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>
        <f>SUBTOTAL(9,AH5:AH14)</f>
        <v>947036900.52953672</v>
      </c>
    </row>
    <row r="16" spans="1:40" ht="12.75" customHeight="1" outlineLevel="1" x14ac:dyDescent="0.15">
      <c r="B16" s="34" t="s">
        <v>2263</v>
      </c>
      <c r="C16" s="3">
        <f>C15-MAX(C19:C400)</f>
        <v>0</v>
      </c>
      <c r="D16" s="3">
        <f t="shared" ref="D16:I16" si="12">D15-MAX(D19:D400)</f>
        <v>0</v>
      </c>
      <c r="E16" s="3">
        <f t="shared" si="12"/>
        <v>0</v>
      </c>
      <c r="F16" s="3">
        <f t="shared" si="12"/>
        <v>0</v>
      </c>
      <c r="G16" s="3">
        <f t="shared" si="12"/>
        <v>0</v>
      </c>
      <c r="H16" s="3">
        <f t="shared" si="12"/>
        <v>0</v>
      </c>
      <c r="I16" s="3">
        <f t="shared" si="12"/>
        <v>0</v>
      </c>
      <c r="J16" s="3"/>
      <c r="K16" s="3"/>
      <c r="L16" s="3"/>
      <c r="M16" s="34" t="s">
        <v>3141</v>
      </c>
      <c r="N16" s="62">
        <f>N8+'Commissioned Extra'!J8</f>
        <v>820244.91142441845</v>
      </c>
      <c r="O16" s="62">
        <f>O8+'Commissioned Extra'!K8</f>
        <v>2970158.8021577219</v>
      </c>
      <c r="P16" s="62">
        <f>P8+'Commissioned Extra'!L8</f>
        <v>11262792.331592262</v>
      </c>
      <c r="Q16" s="879">
        <f>Q8+'Commissioned Extra'!M8</f>
        <v>13438117.992607579</v>
      </c>
      <c r="R16" s="62">
        <f>R8+'Commissioned Extra'!N8</f>
        <v>6111094.1093301997</v>
      </c>
      <c r="S16" s="62">
        <f>S8+'Commissioned Extra'!O8</f>
        <v>893363.84266017482</v>
      </c>
      <c r="T16" s="62">
        <f>T8+'Commissioned Extra'!P8</f>
        <v>1657665.5722094907</v>
      </c>
      <c r="U16" s="62">
        <f>U8+'Commissioned Extra'!Q8</f>
        <v>3569014.7917892076</v>
      </c>
      <c r="V16" s="62">
        <f>V8+'Commissioned Extra'!R8</f>
        <v>0</v>
      </c>
      <c r="W16" s="62">
        <f>W8+'Commissioned Extra'!S8</f>
        <v>53338355.366790682</v>
      </c>
      <c r="X16" s="62">
        <f>X8+'Commissioned Extra'!T8</f>
        <v>0</v>
      </c>
      <c r="Y16" s="62">
        <f>Y8+'Commissioned Extra'!U8</f>
        <v>37908538.879893661</v>
      </c>
      <c r="Z16" s="62">
        <f>Z8+'Commissioned Extra'!V8</f>
        <v>444766.86448768672</v>
      </c>
      <c r="AA16" s="62">
        <f>AA8+'Commissioned Extra'!W8</f>
        <v>0</v>
      </c>
      <c r="AB16" s="62">
        <f>AB8+'Commissioned Extra'!X8</f>
        <v>27590174.458194681</v>
      </c>
      <c r="AC16" s="62">
        <f>AC8+'Commissioned Extra'!Y8</f>
        <v>8780817.3853335194</v>
      </c>
      <c r="AD16" s="62">
        <f>AD8+'Commissioned Extra'!Z8</f>
        <v>0</v>
      </c>
      <c r="AE16" s="62">
        <f>AE8+'Commissioned Extra'!AA8</f>
        <v>0</v>
      </c>
      <c r="AF16" s="62">
        <f>AF8+'Commissioned Extra'!AB8</f>
        <v>11405056.494108133</v>
      </c>
      <c r="AG16" s="62">
        <f>AG8+'Commissioned Extra'!AC8</f>
        <v>0</v>
      </c>
      <c r="AH16" s="62">
        <f>SUM(N16:AG16)</f>
        <v>180190161.8025794</v>
      </c>
      <c r="AM16" s="3"/>
      <c r="AN16" s="3"/>
    </row>
    <row r="17" spans="1:36" ht="15" x14ac:dyDescent="0.25">
      <c r="A17" s="894" t="s">
        <v>2262</v>
      </c>
      <c r="B17" s="895"/>
      <c r="C17" s="894" t="s">
        <v>1064</v>
      </c>
      <c r="D17" s="895"/>
      <c r="E17" s="895"/>
      <c r="F17" s="895"/>
      <c r="G17" s="895"/>
      <c r="H17" s="895"/>
      <c r="I17" s="895"/>
      <c r="J17" s="895"/>
      <c r="K17"/>
      <c r="N17" s="883"/>
      <c r="O17" s="883"/>
      <c r="P17" s="883"/>
      <c r="Q17" s="883"/>
      <c r="R17" s="883"/>
      <c r="S17" s="883"/>
      <c r="T17" s="883"/>
      <c r="U17" s="883"/>
      <c r="V17" s="883"/>
      <c r="W17" s="883"/>
      <c r="X17" s="883"/>
      <c r="Y17" s="883"/>
      <c r="Z17" s="883"/>
      <c r="AA17" s="883"/>
      <c r="AB17" s="883"/>
      <c r="AC17" s="883"/>
      <c r="AD17" s="883"/>
      <c r="AE17" s="883"/>
      <c r="AF17" s="883"/>
      <c r="AG17" s="34"/>
      <c r="AH17" s="883"/>
      <c r="AI17" s="34"/>
      <c r="AJ17" s="34"/>
    </row>
    <row r="18" spans="1:36" ht="52.5" x14ac:dyDescent="0.15">
      <c r="A18" s="897" t="s">
        <v>20</v>
      </c>
      <c r="B18" s="894" t="s">
        <v>21</v>
      </c>
      <c r="C18" s="898">
        <v>2017</v>
      </c>
      <c r="D18" s="898">
        <v>2018</v>
      </c>
      <c r="E18" s="898">
        <v>2019</v>
      </c>
      <c r="F18" s="898">
        <v>2020</v>
      </c>
      <c r="G18" s="898">
        <v>2021</v>
      </c>
      <c r="H18" s="898">
        <v>2022</v>
      </c>
      <c r="I18" s="898">
        <v>2023</v>
      </c>
      <c r="J18" s="898" t="s">
        <v>2261</v>
      </c>
      <c r="K18" s="36" t="s">
        <v>2995</v>
      </c>
      <c r="L18" s="35"/>
      <c r="M18" s="36" t="s">
        <v>2237</v>
      </c>
      <c r="N18" s="31" t="s">
        <v>1031</v>
      </c>
      <c r="O18" s="31" t="s">
        <v>1032</v>
      </c>
      <c r="P18" s="31" t="s">
        <v>1033</v>
      </c>
      <c r="Q18" s="31" t="s">
        <v>1034</v>
      </c>
      <c r="R18" s="31" t="s">
        <v>1035</v>
      </c>
      <c r="S18" s="31" t="s">
        <v>854</v>
      </c>
      <c r="T18" s="31" t="s">
        <v>1036</v>
      </c>
      <c r="U18" s="31" t="s">
        <v>1037</v>
      </c>
      <c r="V18" s="31" t="s">
        <v>41</v>
      </c>
      <c r="W18" s="31" t="s">
        <v>1038</v>
      </c>
      <c r="X18" s="31" t="s">
        <v>1039</v>
      </c>
      <c r="Y18" s="31" t="s">
        <v>1040</v>
      </c>
      <c r="Z18" s="31" t="s">
        <v>1041</v>
      </c>
      <c r="AA18" s="31" t="s">
        <v>1042</v>
      </c>
      <c r="AB18" s="31" t="s">
        <v>1043</v>
      </c>
      <c r="AC18" s="31" t="s">
        <v>1044</v>
      </c>
      <c r="AD18" s="31" t="s">
        <v>1045</v>
      </c>
      <c r="AE18" s="31" t="s">
        <v>1046</v>
      </c>
      <c r="AF18" s="32" t="s">
        <v>1047</v>
      </c>
      <c r="AG18" s="818" t="s">
        <v>3064</v>
      </c>
      <c r="AH18" s="407" t="s">
        <v>639</v>
      </c>
    </row>
    <row r="19" spans="1:36" ht="10.5" x14ac:dyDescent="0.15">
      <c r="A19" s="895" t="s">
        <v>80</v>
      </c>
      <c r="B19" s="895" t="s">
        <v>81</v>
      </c>
      <c r="C19" s="896"/>
      <c r="D19" s="896">
        <v>1230847.5698840071</v>
      </c>
      <c r="E19" s="896"/>
      <c r="F19" s="896"/>
      <c r="G19" s="896"/>
      <c r="H19" s="896"/>
      <c r="I19" s="896"/>
      <c r="J19" s="896">
        <v>1230847.5698840071</v>
      </c>
      <c r="K19" s="24">
        <f>INDEX($C$18:$I$18,1,MATCH(J19,$C19:$I19,0))</f>
        <v>2018</v>
      </c>
      <c r="L19" s="66"/>
      <c r="M19" s="33">
        <f>IF(ISNA(VLOOKUP(LEFT($A19,8),Estimates,72,FALSE)),0,VLOOKUP(LEFT($A19,8),Estimates,72,FALSE))</f>
        <v>0</v>
      </c>
      <c r="N19" s="28">
        <f t="shared" ref="N19:W28" si="13">IF($M19=0,VLOOKUP(MID($A19,4,5),ProjectSplits,N$2,FALSE),IF(ISNA(VLOOKUP(LEFT($A19,8),Estimates,N$1,FALSE)),VLOOKUP(MID($A19,4,5),ProjectSplits,N$2,FALSE),VLOOKUP(LEFT($A19,8),Estimates,N$1,FALSE)))</f>
        <v>0</v>
      </c>
      <c r="O19" s="28">
        <f t="shared" si="13"/>
        <v>0</v>
      </c>
      <c r="P19" s="28">
        <f t="shared" si="13"/>
        <v>0</v>
      </c>
      <c r="Q19" s="28">
        <f t="shared" si="13"/>
        <v>1</v>
      </c>
      <c r="R19" s="28">
        <f t="shared" si="13"/>
        <v>0</v>
      </c>
      <c r="S19" s="28">
        <f t="shared" si="13"/>
        <v>0</v>
      </c>
      <c r="T19" s="28">
        <f t="shared" si="13"/>
        <v>0</v>
      </c>
      <c r="U19" s="28">
        <f t="shared" si="13"/>
        <v>0</v>
      </c>
      <c r="V19" s="28">
        <f t="shared" si="13"/>
        <v>0</v>
      </c>
      <c r="W19" s="28">
        <f t="shared" si="13"/>
        <v>0</v>
      </c>
      <c r="X19" s="28">
        <f t="shared" ref="X19:AG28" si="14">IF($M19=0,VLOOKUP(MID($A19,4,5),ProjectSplits,X$2,FALSE),IF(ISNA(VLOOKUP(LEFT($A19,8),Estimates,X$1,FALSE)),VLOOKUP(MID($A19,4,5),ProjectSplits,X$2,FALSE),VLOOKUP(LEFT($A19,8),Estimates,X$1,FALSE)))</f>
        <v>0</v>
      </c>
      <c r="Y19" s="28">
        <f t="shared" si="14"/>
        <v>0</v>
      </c>
      <c r="Z19" s="28">
        <f t="shared" si="14"/>
        <v>0</v>
      </c>
      <c r="AA19" s="28">
        <f t="shared" si="14"/>
        <v>0</v>
      </c>
      <c r="AB19" s="28">
        <f t="shared" si="14"/>
        <v>0</v>
      </c>
      <c r="AC19" s="28">
        <f t="shared" si="14"/>
        <v>0</v>
      </c>
      <c r="AD19" s="28">
        <f t="shared" si="14"/>
        <v>0</v>
      </c>
      <c r="AE19" s="28">
        <f t="shared" si="14"/>
        <v>0</v>
      </c>
      <c r="AF19" s="28">
        <f t="shared" si="14"/>
        <v>0</v>
      </c>
      <c r="AG19" s="28">
        <f t="shared" si="14"/>
        <v>0</v>
      </c>
      <c r="AH19" s="28">
        <f>SUM(N19:AF19)</f>
        <v>1</v>
      </c>
    </row>
    <row r="20" spans="1:36" ht="10.5" x14ac:dyDescent="0.15">
      <c r="A20" s="895" t="s">
        <v>95</v>
      </c>
      <c r="B20" s="895" t="s">
        <v>96</v>
      </c>
      <c r="C20" s="900">
        <v>2243191.1073422018</v>
      </c>
      <c r="D20" s="900"/>
      <c r="E20" s="896"/>
      <c r="F20" s="896"/>
      <c r="G20" s="896"/>
      <c r="H20" s="896"/>
      <c r="I20" s="896"/>
      <c r="J20" s="896">
        <v>2243191.1073422018</v>
      </c>
      <c r="K20" s="24">
        <f t="shared" ref="K20:K83" si="15">INDEX($C$18:$I$18,1,MATCH(J20,$C20:$I20,0))</f>
        <v>2017</v>
      </c>
      <c r="L20" s="66"/>
      <c r="M20" s="33">
        <f>IF(K20=2017,0,IF(ISNA(VLOOKUP(LEFT($A20,8),Estimates,72,FALSE)),0,VLOOKUP(LEFT($A20,8),Estimates,72,FALSE)))</f>
        <v>0</v>
      </c>
      <c r="N20" s="28">
        <f t="shared" si="13"/>
        <v>0</v>
      </c>
      <c r="O20" s="28">
        <f t="shared" si="13"/>
        <v>0</v>
      </c>
      <c r="P20" s="28">
        <f t="shared" si="13"/>
        <v>0</v>
      </c>
      <c r="Q20" s="28">
        <f t="shared" si="13"/>
        <v>1</v>
      </c>
      <c r="R20" s="28">
        <f t="shared" si="13"/>
        <v>0</v>
      </c>
      <c r="S20" s="28">
        <f t="shared" si="13"/>
        <v>0</v>
      </c>
      <c r="T20" s="28">
        <f t="shared" si="13"/>
        <v>0</v>
      </c>
      <c r="U20" s="28">
        <f t="shared" si="13"/>
        <v>0</v>
      </c>
      <c r="V20" s="28">
        <f t="shared" si="13"/>
        <v>0</v>
      </c>
      <c r="W20" s="28">
        <f t="shared" si="13"/>
        <v>0</v>
      </c>
      <c r="X20" s="28">
        <f t="shared" si="14"/>
        <v>0</v>
      </c>
      <c r="Y20" s="28">
        <f t="shared" si="14"/>
        <v>0</v>
      </c>
      <c r="Z20" s="28">
        <f t="shared" si="14"/>
        <v>0</v>
      </c>
      <c r="AA20" s="28">
        <f t="shared" si="14"/>
        <v>0</v>
      </c>
      <c r="AB20" s="28">
        <f t="shared" si="14"/>
        <v>0</v>
      </c>
      <c r="AC20" s="28">
        <f t="shared" si="14"/>
        <v>0</v>
      </c>
      <c r="AD20" s="28">
        <f t="shared" si="14"/>
        <v>0</v>
      </c>
      <c r="AE20" s="28">
        <f t="shared" si="14"/>
        <v>0</v>
      </c>
      <c r="AF20" s="28">
        <f t="shared" si="14"/>
        <v>0</v>
      </c>
      <c r="AG20" s="28">
        <f t="shared" si="14"/>
        <v>0</v>
      </c>
      <c r="AH20" s="28">
        <f t="shared" ref="AH20:AH83" si="16">SUM(N20:AF20)</f>
        <v>1</v>
      </c>
    </row>
    <row r="21" spans="1:36" ht="10.5" x14ac:dyDescent="0.15">
      <c r="A21" s="895" t="s">
        <v>102</v>
      </c>
      <c r="B21" s="895" t="s">
        <v>103</v>
      </c>
      <c r="C21" s="896"/>
      <c r="D21" s="896">
        <v>446599.37936894299</v>
      </c>
      <c r="E21" s="896"/>
      <c r="F21" s="896"/>
      <c r="G21" s="896"/>
      <c r="H21" s="896"/>
      <c r="I21" s="896"/>
      <c r="J21" s="896">
        <v>446599.37936894299</v>
      </c>
      <c r="K21" s="24">
        <f t="shared" si="15"/>
        <v>2018</v>
      </c>
      <c r="L21" s="66"/>
      <c r="M21" s="33">
        <f>IF(ISNA(VLOOKUP(LEFT($A21,8),Estimates,72,FALSE)),0,VLOOKUP(LEFT($A21,8),Estimates,72,FALSE))</f>
        <v>0</v>
      </c>
      <c r="N21" s="28">
        <f t="shared" si="13"/>
        <v>2.2136929460580913E-2</v>
      </c>
      <c r="O21" s="28">
        <f t="shared" si="13"/>
        <v>5.3813816325222377E-2</v>
      </c>
      <c r="P21" s="28">
        <f t="shared" si="13"/>
        <v>0.11134319172125574</v>
      </c>
      <c r="Q21" s="28">
        <f t="shared" si="13"/>
        <v>9.0968890737851332E-2</v>
      </c>
      <c r="R21" s="28">
        <f t="shared" si="13"/>
        <v>7.4541536858258553E-2</v>
      </c>
      <c r="S21" s="28">
        <f t="shared" si="13"/>
        <v>1.1751232220950061E-2</v>
      </c>
      <c r="T21" s="28">
        <f t="shared" si="13"/>
        <v>0</v>
      </c>
      <c r="U21" s="28">
        <f t="shared" si="13"/>
        <v>6.8464730290456431E-4</v>
      </c>
      <c r="V21" s="28">
        <f t="shared" si="13"/>
        <v>0</v>
      </c>
      <c r="W21" s="28">
        <f t="shared" si="13"/>
        <v>0.17341498239445721</v>
      </c>
      <c r="X21" s="28">
        <f t="shared" si="14"/>
        <v>1.7950403456968127E-2</v>
      </c>
      <c r="Y21" s="28">
        <f t="shared" si="14"/>
        <v>6.5339859349486357E-2</v>
      </c>
      <c r="Z21" s="28">
        <f t="shared" si="14"/>
        <v>5.6745630269864544E-3</v>
      </c>
      <c r="AA21" s="28">
        <f t="shared" si="14"/>
        <v>0</v>
      </c>
      <c r="AB21" s="28">
        <f t="shared" si="14"/>
        <v>0.18794046685627466</v>
      </c>
      <c r="AC21" s="28">
        <f t="shared" si="14"/>
        <v>4.4902024194389448E-2</v>
      </c>
      <c r="AD21" s="28">
        <f t="shared" si="14"/>
        <v>1.1915879815256323E-2</v>
      </c>
      <c r="AE21" s="28">
        <f t="shared" si="14"/>
        <v>0</v>
      </c>
      <c r="AF21" s="28">
        <f t="shared" si="14"/>
        <v>0.12762157627915785</v>
      </c>
      <c r="AG21" s="28">
        <f t="shared" si="14"/>
        <v>0</v>
      </c>
      <c r="AH21" s="28">
        <f t="shared" si="16"/>
        <v>0.99999999999999989</v>
      </c>
    </row>
    <row r="22" spans="1:36" ht="10.5" x14ac:dyDescent="0.15">
      <c r="A22" s="895" t="s">
        <v>104</v>
      </c>
      <c r="B22" s="895" t="s">
        <v>105</v>
      </c>
      <c r="C22" s="896"/>
      <c r="D22" s="896">
        <v>1756168.7024438798</v>
      </c>
      <c r="E22" s="896"/>
      <c r="F22" s="896"/>
      <c r="G22" s="896"/>
      <c r="H22" s="896"/>
      <c r="I22" s="896"/>
      <c r="J22" s="896">
        <v>1756168.7024438798</v>
      </c>
      <c r="K22" s="24">
        <f t="shared" si="15"/>
        <v>2018</v>
      </c>
      <c r="L22" s="66"/>
      <c r="M22" s="33">
        <f>IF(ISNA(VLOOKUP(LEFT($A22,8),Estimates,72,FALSE)),0,VLOOKUP(LEFT($A22,8),Estimates,72,FALSE))</f>
        <v>0</v>
      </c>
      <c r="N22" s="28">
        <f t="shared" si="13"/>
        <v>0</v>
      </c>
      <c r="O22" s="28">
        <f t="shared" si="13"/>
        <v>0</v>
      </c>
      <c r="P22" s="28">
        <f t="shared" si="13"/>
        <v>0</v>
      </c>
      <c r="Q22" s="28">
        <f t="shared" si="13"/>
        <v>0</v>
      </c>
      <c r="R22" s="28">
        <f t="shared" si="13"/>
        <v>0</v>
      </c>
      <c r="S22" s="28">
        <f t="shared" si="13"/>
        <v>0</v>
      </c>
      <c r="T22" s="28">
        <f t="shared" si="13"/>
        <v>0</v>
      </c>
      <c r="U22" s="28">
        <f t="shared" si="13"/>
        <v>1</v>
      </c>
      <c r="V22" s="28">
        <f t="shared" si="13"/>
        <v>0</v>
      </c>
      <c r="W22" s="28">
        <f t="shared" si="13"/>
        <v>0</v>
      </c>
      <c r="X22" s="28">
        <f t="shared" si="14"/>
        <v>0</v>
      </c>
      <c r="Y22" s="28">
        <f t="shared" si="14"/>
        <v>0</v>
      </c>
      <c r="Z22" s="28">
        <f t="shared" si="14"/>
        <v>0</v>
      </c>
      <c r="AA22" s="28">
        <f t="shared" si="14"/>
        <v>0</v>
      </c>
      <c r="AB22" s="28">
        <f t="shared" si="14"/>
        <v>0</v>
      </c>
      <c r="AC22" s="28">
        <f t="shared" si="14"/>
        <v>0</v>
      </c>
      <c r="AD22" s="28">
        <f t="shared" si="14"/>
        <v>0</v>
      </c>
      <c r="AE22" s="28">
        <f t="shared" si="14"/>
        <v>0</v>
      </c>
      <c r="AF22" s="28">
        <f t="shared" si="14"/>
        <v>0</v>
      </c>
      <c r="AG22" s="28">
        <f t="shared" si="14"/>
        <v>0</v>
      </c>
      <c r="AH22" s="28">
        <f t="shared" si="16"/>
        <v>1</v>
      </c>
    </row>
    <row r="23" spans="1:36" ht="10.5" x14ac:dyDescent="0.15">
      <c r="A23" s="904" t="s">
        <v>114</v>
      </c>
      <c r="B23" s="904" t="s">
        <v>115</v>
      </c>
      <c r="C23" s="902">
        <v>54791206.216288134</v>
      </c>
      <c r="D23" s="902"/>
      <c r="E23" s="903"/>
      <c r="F23" s="902"/>
      <c r="G23" s="902"/>
      <c r="H23" s="902"/>
      <c r="I23" s="902"/>
      <c r="J23" s="902">
        <v>54791206.216288134</v>
      </c>
      <c r="K23" s="24">
        <f t="shared" si="15"/>
        <v>2017</v>
      </c>
      <c r="L23" s="66"/>
      <c r="M23" s="33">
        <f>IF(K23=2017,0,IF(ISNA(VLOOKUP(LEFT($A23,8),Estimates,72,FALSE)),0,VLOOKUP(LEFT($A23,8),Estimates,72,FALSE)))</f>
        <v>0</v>
      </c>
      <c r="N23" s="876">
        <f t="shared" si="13"/>
        <v>0</v>
      </c>
      <c r="O23" s="876">
        <f t="shared" si="13"/>
        <v>0</v>
      </c>
      <c r="P23" s="876">
        <f t="shared" si="13"/>
        <v>4.2610903643802676E-2</v>
      </c>
      <c r="Q23" s="876">
        <f t="shared" si="13"/>
        <v>0</v>
      </c>
      <c r="R23" s="876">
        <f t="shared" si="13"/>
        <v>0</v>
      </c>
      <c r="S23" s="876">
        <f t="shared" si="13"/>
        <v>0</v>
      </c>
      <c r="T23" s="876">
        <f t="shared" si="13"/>
        <v>0</v>
      </c>
      <c r="U23" s="876">
        <f t="shared" si="13"/>
        <v>0</v>
      </c>
      <c r="V23" s="876">
        <f t="shared" si="13"/>
        <v>0</v>
      </c>
      <c r="W23" s="876">
        <f t="shared" si="13"/>
        <v>0.35304650929528858</v>
      </c>
      <c r="X23" s="876">
        <f t="shared" si="14"/>
        <v>0</v>
      </c>
      <c r="Y23" s="876">
        <f t="shared" si="14"/>
        <v>0.36888532689853604</v>
      </c>
      <c r="Z23" s="876">
        <f t="shared" si="14"/>
        <v>0</v>
      </c>
      <c r="AA23" s="876">
        <f t="shared" si="14"/>
        <v>0</v>
      </c>
      <c r="AB23" s="876">
        <f t="shared" si="14"/>
        <v>0.13982504383279828</v>
      </c>
      <c r="AC23" s="876">
        <f t="shared" si="14"/>
        <v>9.563221632957461E-2</v>
      </c>
      <c r="AD23" s="876">
        <f t="shared" si="14"/>
        <v>0</v>
      </c>
      <c r="AE23" s="876">
        <f t="shared" si="14"/>
        <v>0</v>
      </c>
      <c r="AF23" s="876">
        <f t="shared" si="14"/>
        <v>0</v>
      </c>
      <c r="AG23" s="876">
        <f t="shared" si="14"/>
        <v>0</v>
      </c>
      <c r="AH23" s="876">
        <f t="shared" si="16"/>
        <v>1</v>
      </c>
    </row>
    <row r="24" spans="1:36" ht="10.5" x14ac:dyDescent="0.15">
      <c r="A24" s="904" t="s">
        <v>2745</v>
      </c>
      <c r="B24" s="904" t="s">
        <v>115</v>
      </c>
      <c r="C24" s="902"/>
      <c r="D24" s="902">
        <v>40033263.062130682</v>
      </c>
      <c r="E24" s="902"/>
      <c r="F24" s="902"/>
      <c r="G24" s="902"/>
      <c r="H24" s="902"/>
      <c r="I24" s="902"/>
      <c r="J24" s="902">
        <v>40033263.062130682</v>
      </c>
      <c r="K24" s="24">
        <f t="shared" si="15"/>
        <v>2018</v>
      </c>
      <c r="L24" s="66"/>
      <c r="M24" s="33">
        <f>IF(ISNA(VLOOKUP(LEFT($A24,8),Estimates,72,FALSE)),0,VLOOKUP(LEFT($A24,8),Estimates,72,FALSE))</f>
        <v>55413255.620694734</v>
      </c>
      <c r="N24" s="28">
        <f t="shared" si="13"/>
        <v>0</v>
      </c>
      <c r="O24" s="28">
        <f t="shared" si="13"/>
        <v>2.0736493800065814E-2</v>
      </c>
      <c r="P24" s="28">
        <f t="shared" si="13"/>
        <v>0.14009851116809655</v>
      </c>
      <c r="Q24" s="28">
        <f t="shared" si="13"/>
        <v>0</v>
      </c>
      <c r="R24" s="28">
        <f t="shared" si="13"/>
        <v>1.1730045324340205E-3</v>
      </c>
      <c r="S24" s="28">
        <f t="shared" si="13"/>
        <v>0</v>
      </c>
      <c r="T24" s="28">
        <f t="shared" si="13"/>
        <v>0</v>
      </c>
      <c r="U24" s="28">
        <f t="shared" si="13"/>
        <v>0</v>
      </c>
      <c r="V24" s="28">
        <f t="shared" si="13"/>
        <v>0</v>
      </c>
      <c r="W24" s="28">
        <f t="shared" si="13"/>
        <v>0.32336100731679684</v>
      </c>
      <c r="X24" s="28">
        <f t="shared" si="14"/>
        <v>3.9093173208885737E-2</v>
      </c>
      <c r="Y24" s="28">
        <f t="shared" si="14"/>
        <v>0.15870496759294167</v>
      </c>
      <c r="Z24" s="28">
        <f t="shared" si="14"/>
        <v>1.1525852303274063E-2</v>
      </c>
      <c r="AA24" s="28">
        <f t="shared" si="14"/>
        <v>0</v>
      </c>
      <c r="AB24" s="28">
        <f t="shared" si="14"/>
        <v>0.21744896686091472</v>
      </c>
      <c r="AC24" s="28">
        <f t="shared" si="14"/>
        <v>4.6810083070830268E-2</v>
      </c>
      <c r="AD24" s="28">
        <f t="shared" si="14"/>
        <v>4.104794014576036E-2</v>
      </c>
      <c r="AE24" s="28">
        <f t="shared" si="14"/>
        <v>0</v>
      </c>
      <c r="AF24" s="28">
        <f t="shared" si="14"/>
        <v>0</v>
      </c>
      <c r="AG24" s="28">
        <f t="shared" si="14"/>
        <v>0</v>
      </c>
      <c r="AH24" s="28">
        <f t="shared" si="16"/>
        <v>1</v>
      </c>
    </row>
    <row r="25" spans="1:36" ht="10.5" x14ac:dyDescent="0.15">
      <c r="A25" s="904" t="s">
        <v>2747</v>
      </c>
      <c r="B25" s="904" t="s">
        <v>115</v>
      </c>
      <c r="C25" s="902"/>
      <c r="D25" s="902"/>
      <c r="E25" s="902">
        <v>8547193.0559695736</v>
      </c>
      <c r="F25" s="902"/>
      <c r="G25" s="902"/>
      <c r="H25" s="902"/>
      <c r="I25" s="902"/>
      <c r="J25" s="902">
        <v>8547193.0559695736</v>
      </c>
      <c r="K25" s="24">
        <f t="shared" si="15"/>
        <v>2019</v>
      </c>
      <c r="L25" s="66"/>
      <c r="M25" s="33">
        <f>IF(ISNA(VLOOKUP(LEFT($A25,8),Estimates,72,FALSE)),0,VLOOKUP(LEFT($A25,8),Estimates,72,FALSE))</f>
        <v>55413255.620694734</v>
      </c>
      <c r="N25" s="28">
        <f t="shared" si="13"/>
        <v>0</v>
      </c>
      <c r="O25" s="28">
        <f t="shared" si="13"/>
        <v>2.0736493800065814E-2</v>
      </c>
      <c r="P25" s="28">
        <f t="shared" si="13"/>
        <v>0.14009851116809655</v>
      </c>
      <c r="Q25" s="28">
        <f t="shared" si="13"/>
        <v>0</v>
      </c>
      <c r="R25" s="28">
        <f t="shared" si="13"/>
        <v>1.1730045324340205E-3</v>
      </c>
      <c r="S25" s="28">
        <f t="shared" si="13"/>
        <v>0</v>
      </c>
      <c r="T25" s="28">
        <f t="shared" si="13"/>
        <v>0</v>
      </c>
      <c r="U25" s="28">
        <f t="shared" si="13"/>
        <v>0</v>
      </c>
      <c r="V25" s="28">
        <f t="shared" si="13"/>
        <v>0</v>
      </c>
      <c r="W25" s="28">
        <f t="shared" si="13"/>
        <v>0.32336100731679684</v>
      </c>
      <c r="X25" s="28">
        <f t="shared" si="14"/>
        <v>3.9093173208885737E-2</v>
      </c>
      <c r="Y25" s="28">
        <f t="shared" si="14"/>
        <v>0.15870496759294167</v>
      </c>
      <c r="Z25" s="28">
        <f t="shared" si="14"/>
        <v>1.1525852303274063E-2</v>
      </c>
      <c r="AA25" s="28">
        <f t="shared" si="14"/>
        <v>0</v>
      </c>
      <c r="AB25" s="28">
        <f t="shared" si="14"/>
        <v>0.21744896686091472</v>
      </c>
      <c r="AC25" s="28">
        <f t="shared" si="14"/>
        <v>4.6810083070830268E-2</v>
      </c>
      <c r="AD25" s="28">
        <f t="shared" si="14"/>
        <v>4.104794014576036E-2</v>
      </c>
      <c r="AE25" s="28">
        <f t="shared" si="14"/>
        <v>0</v>
      </c>
      <c r="AF25" s="28">
        <f t="shared" si="14"/>
        <v>0</v>
      </c>
      <c r="AG25" s="28">
        <f t="shared" si="14"/>
        <v>0</v>
      </c>
      <c r="AH25" s="28">
        <f t="shared" si="16"/>
        <v>1</v>
      </c>
    </row>
    <row r="26" spans="1:36" ht="10.5" x14ac:dyDescent="0.15">
      <c r="A26" s="895" t="s">
        <v>117</v>
      </c>
      <c r="B26" s="895" t="s">
        <v>118</v>
      </c>
      <c r="C26" s="896">
        <v>1694608.0318211534</v>
      </c>
      <c r="D26" s="896"/>
      <c r="E26" s="896"/>
      <c r="F26" s="896"/>
      <c r="G26" s="896"/>
      <c r="H26" s="896"/>
      <c r="I26" s="896"/>
      <c r="J26" s="896">
        <v>1694608.0318211534</v>
      </c>
      <c r="K26" s="24">
        <f t="shared" si="15"/>
        <v>2017</v>
      </c>
      <c r="L26" s="66"/>
      <c r="M26" s="33">
        <f>IF(K26=2017,0,IF(ISNA(VLOOKUP(LEFT($A26,8),Estimates,72,FALSE)),0,VLOOKUP(LEFT($A26,8),Estimates,72,FALSE)))</f>
        <v>0</v>
      </c>
      <c r="N26" s="28">
        <f t="shared" si="13"/>
        <v>0</v>
      </c>
      <c r="O26" s="28">
        <f t="shared" si="13"/>
        <v>0</v>
      </c>
      <c r="P26" s="28">
        <f t="shared" si="13"/>
        <v>0</v>
      </c>
      <c r="Q26" s="28">
        <f t="shared" si="13"/>
        <v>2.1800002666080419E-2</v>
      </c>
      <c r="R26" s="28">
        <f t="shared" si="13"/>
        <v>0</v>
      </c>
      <c r="S26" s="28">
        <f t="shared" si="13"/>
        <v>0</v>
      </c>
      <c r="T26" s="28">
        <f t="shared" si="13"/>
        <v>0.97819999733391949</v>
      </c>
      <c r="U26" s="28">
        <f t="shared" si="13"/>
        <v>0</v>
      </c>
      <c r="V26" s="28">
        <f t="shared" si="13"/>
        <v>0</v>
      </c>
      <c r="W26" s="28">
        <f t="shared" si="13"/>
        <v>0</v>
      </c>
      <c r="X26" s="28">
        <f t="shared" si="14"/>
        <v>0</v>
      </c>
      <c r="Y26" s="28">
        <f t="shared" si="14"/>
        <v>0</v>
      </c>
      <c r="Z26" s="28">
        <f t="shared" si="14"/>
        <v>0</v>
      </c>
      <c r="AA26" s="28">
        <f t="shared" si="14"/>
        <v>0</v>
      </c>
      <c r="AB26" s="28">
        <f t="shared" si="14"/>
        <v>0</v>
      </c>
      <c r="AC26" s="28">
        <f t="shared" si="14"/>
        <v>0</v>
      </c>
      <c r="AD26" s="28">
        <f t="shared" si="14"/>
        <v>0</v>
      </c>
      <c r="AE26" s="28">
        <f t="shared" si="14"/>
        <v>0</v>
      </c>
      <c r="AF26" s="28">
        <f t="shared" si="14"/>
        <v>0</v>
      </c>
      <c r="AG26" s="28">
        <f t="shared" si="14"/>
        <v>0</v>
      </c>
      <c r="AH26" s="28">
        <f t="shared" si="16"/>
        <v>0.99999999999999989</v>
      </c>
    </row>
    <row r="27" spans="1:36" ht="10.5" x14ac:dyDescent="0.15">
      <c r="A27" s="895" t="s">
        <v>124</v>
      </c>
      <c r="B27" s="895" t="s">
        <v>125</v>
      </c>
      <c r="C27" s="896"/>
      <c r="D27" s="896"/>
      <c r="E27" s="896">
        <v>8887341.1665815562</v>
      </c>
      <c r="F27" s="896"/>
      <c r="G27" s="896"/>
      <c r="H27" s="896"/>
      <c r="I27" s="896"/>
      <c r="J27" s="896">
        <v>8887341.1665815562</v>
      </c>
      <c r="K27" s="24">
        <f t="shared" si="15"/>
        <v>2019</v>
      </c>
      <c r="L27" s="66"/>
      <c r="M27" s="33">
        <f t="shared" ref="M27:M34" si="17">IF(ISNA(VLOOKUP(LEFT($A27,8),Estimates,72,FALSE)),0,VLOOKUP(LEFT($A27,8),Estimates,72,FALSE))</f>
        <v>0</v>
      </c>
      <c r="N27" s="28">
        <f t="shared" si="13"/>
        <v>0</v>
      </c>
      <c r="O27" s="28">
        <f t="shared" si="13"/>
        <v>0</v>
      </c>
      <c r="P27" s="28">
        <f t="shared" si="13"/>
        <v>0</v>
      </c>
      <c r="Q27" s="28">
        <f t="shared" si="13"/>
        <v>1</v>
      </c>
      <c r="R27" s="28">
        <f t="shared" si="13"/>
        <v>0</v>
      </c>
      <c r="S27" s="28">
        <f t="shared" si="13"/>
        <v>0</v>
      </c>
      <c r="T27" s="28">
        <f t="shared" si="13"/>
        <v>0</v>
      </c>
      <c r="U27" s="28">
        <f t="shared" si="13"/>
        <v>0</v>
      </c>
      <c r="V27" s="28">
        <f t="shared" si="13"/>
        <v>0</v>
      </c>
      <c r="W27" s="28">
        <f t="shared" si="13"/>
        <v>0</v>
      </c>
      <c r="X27" s="28">
        <f t="shared" si="14"/>
        <v>0</v>
      </c>
      <c r="Y27" s="28">
        <f t="shared" si="14"/>
        <v>0</v>
      </c>
      <c r="Z27" s="28">
        <f t="shared" si="14"/>
        <v>0</v>
      </c>
      <c r="AA27" s="28">
        <f t="shared" si="14"/>
        <v>0</v>
      </c>
      <c r="AB27" s="28">
        <f t="shared" si="14"/>
        <v>0</v>
      </c>
      <c r="AC27" s="28">
        <f t="shared" si="14"/>
        <v>0</v>
      </c>
      <c r="AD27" s="28">
        <f t="shared" si="14"/>
        <v>0</v>
      </c>
      <c r="AE27" s="28">
        <f t="shared" si="14"/>
        <v>0</v>
      </c>
      <c r="AF27" s="28">
        <f t="shared" si="14"/>
        <v>0</v>
      </c>
      <c r="AG27" s="28">
        <f t="shared" si="14"/>
        <v>0</v>
      </c>
      <c r="AH27" s="28">
        <f t="shared" si="16"/>
        <v>1</v>
      </c>
    </row>
    <row r="28" spans="1:36" ht="10.5" x14ac:dyDescent="0.15">
      <c r="A28" s="895" t="s">
        <v>130</v>
      </c>
      <c r="B28" s="895" t="s">
        <v>131</v>
      </c>
      <c r="C28" s="896"/>
      <c r="D28" s="896">
        <v>594326.09474249138</v>
      </c>
      <c r="E28" s="896"/>
      <c r="F28" s="896"/>
      <c r="G28" s="896"/>
      <c r="H28" s="896"/>
      <c r="I28" s="896"/>
      <c r="J28" s="896">
        <v>594326.09474249138</v>
      </c>
      <c r="K28" s="24">
        <f t="shared" si="15"/>
        <v>2018</v>
      </c>
      <c r="L28" s="66"/>
      <c r="M28" s="33">
        <f t="shared" si="17"/>
        <v>0</v>
      </c>
      <c r="N28" s="28">
        <f t="shared" si="13"/>
        <v>0</v>
      </c>
      <c r="O28" s="28">
        <f t="shared" si="13"/>
        <v>0</v>
      </c>
      <c r="P28" s="28">
        <f t="shared" si="13"/>
        <v>0</v>
      </c>
      <c r="Q28" s="28">
        <f t="shared" si="13"/>
        <v>1</v>
      </c>
      <c r="R28" s="28">
        <f t="shared" si="13"/>
        <v>0</v>
      </c>
      <c r="S28" s="28">
        <f t="shared" si="13"/>
        <v>0</v>
      </c>
      <c r="T28" s="28">
        <f t="shared" si="13"/>
        <v>0</v>
      </c>
      <c r="U28" s="28">
        <f t="shared" si="13"/>
        <v>0</v>
      </c>
      <c r="V28" s="28">
        <f t="shared" si="13"/>
        <v>0</v>
      </c>
      <c r="W28" s="28">
        <f t="shared" si="13"/>
        <v>0</v>
      </c>
      <c r="X28" s="28">
        <f t="shared" si="14"/>
        <v>0</v>
      </c>
      <c r="Y28" s="28">
        <f t="shared" si="14"/>
        <v>0</v>
      </c>
      <c r="Z28" s="28">
        <f t="shared" si="14"/>
        <v>0</v>
      </c>
      <c r="AA28" s="28">
        <f t="shared" si="14"/>
        <v>0</v>
      </c>
      <c r="AB28" s="28">
        <f t="shared" si="14"/>
        <v>0</v>
      </c>
      <c r="AC28" s="28">
        <f t="shared" si="14"/>
        <v>0</v>
      </c>
      <c r="AD28" s="28">
        <f t="shared" si="14"/>
        <v>0</v>
      </c>
      <c r="AE28" s="28">
        <f t="shared" si="14"/>
        <v>0</v>
      </c>
      <c r="AF28" s="28">
        <f t="shared" si="14"/>
        <v>0</v>
      </c>
      <c r="AG28" s="28">
        <f t="shared" si="14"/>
        <v>0</v>
      </c>
      <c r="AH28" s="28">
        <f t="shared" si="16"/>
        <v>1</v>
      </c>
    </row>
    <row r="29" spans="1:36" ht="10.5" x14ac:dyDescent="0.15">
      <c r="A29" s="895" t="s">
        <v>143</v>
      </c>
      <c r="B29" s="895" t="s">
        <v>3165</v>
      </c>
      <c r="C29" s="896"/>
      <c r="D29" s="896">
        <v>955767.61558722646</v>
      </c>
      <c r="E29" s="896"/>
      <c r="F29" s="896"/>
      <c r="G29" s="896"/>
      <c r="H29" s="896"/>
      <c r="I29" s="896"/>
      <c r="J29" s="896">
        <v>955767.61558722646</v>
      </c>
      <c r="K29" s="24">
        <f t="shared" si="15"/>
        <v>2018</v>
      </c>
      <c r="L29" s="66"/>
      <c r="M29" s="33">
        <f t="shared" si="17"/>
        <v>613634.6140590799</v>
      </c>
      <c r="N29" s="28">
        <f t="shared" ref="N29:W38" si="18">IF($M29=0,VLOOKUP(MID($A29,4,5),ProjectSplits,N$2,FALSE),IF(ISNA(VLOOKUP(LEFT($A29,8),Estimates,N$1,FALSE)),VLOOKUP(MID($A29,4,5),ProjectSplits,N$2,FALSE),VLOOKUP(LEFT($A29,8),Estimates,N$1,FALSE)))</f>
        <v>0</v>
      </c>
      <c r="O29" s="28">
        <f t="shared" si="18"/>
        <v>0</v>
      </c>
      <c r="P29" s="28">
        <f t="shared" si="18"/>
        <v>0</v>
      </c>
      <c r="Q29" s="28">
        <f t="shared" si="18"/>
        <v>0</v>
      </c>
      <c r="R29" s="28">
        <f t="shared" si="18"/>
        <v>0</v>
      </c>
      <c r="S29" s="28">
        <f t="shared" si="18"/>
        <v>0</v>
      </c>
      <c r="T29" s="28">
        <f t="shared" si="18"/>
        <v>0</v>
      </c>
      <c r="U29" s="28">
        <f t="shared" si="18"/>
        <v>0</v>
      </c>
      <c r="V29" s="28">
        <f t="shared" si="18"/>
        <v>0</v>
      </c>
      <c r="W29" s="28">
        <f t="shared" si="18"/>
        <v>5.3549782308786563E-2</v>
      </c>
      <c r="X29" s="28">
        <f t="shared" ref="X29:AG38" si="19">IF($M29=0,VLOOKUP(MID($A29,4,5),ProjectSplits,X$2,FALSE),IF(ISNA(VLOOKUP(LEFT($A29,8),Estimates,X$1,FALSE)),VLOOKUP(MID($A29,4,5),ProjectSplits,X$2,FALSE),VLOOKUP(LEFT($A29,8),Estimates,X$1,FALSE)))</f>
        <v>0</v>
      </c>
      <c r="Y29" s="28">
        <f t="shared" si="19"/>
        <v>0</v>
      </c>
      <c r="Z29" s="28">
        <f t="shared" si="19"/>
        <v>0</v>
      </c>
      <c r="AA29" s="28">
        <f t="shared" si="19"/>
        <v>0</v>
      </c>
      <c r="AB29" s="28">
        <f t="shared" si="19"/>
        <v>3.2592685519650985E-2</v>
      </c>
      <c r="AC29" s="28">
        <f t="shared" si="19"/>
        <v>0.73088869790500288</v>
      </c>
      <c r="AD29" s="28">
        <f t="shared" si="19"/>
        <v>0</v>
      </c>
      <c r="AE29" s="28">
        <f t="shared" si="19"/>
        <v>0</v>
      </c>
      <c r="AF29" s="28">
        <f t="shared" si="19"/>
        <v>0.18296883426655944</v>
      </c>
      <c r="AG29" s="28">
        <f t="shared" si="19"/>
        <v>0</v>
      </c>
      <c r="AH29" s="28">
        <f t="shared" si="16"/>
        <v>0.99999999999999978</v>
      </c>
    </row>
    <row r="30" spans="1:36" ht="10.5" x14ac:dyDescent="0.15">
      <c r="A30" s="895" t="s">
        <v>145</v>
      </c>
      <c r="B30" s="895" t="s">
        <v>146</v>
      </c>
      <c r="C30" s="896"/>
      <c r="D30" s="896">
        <v>2463659.7968873666</v>
      </c>
      <c r="E30" s="896"/>
      <c r="F30" s="896"/>
      <c r="G30" s="896"/>
      <c r="H30" s="896"/>
      <c r="I30" s="896"/>
      <c r="J30" s="896">
        <v>2463659.7968873666</v>
      </c>
      <c r="K30" s="24">
        <f t="shared" si="15"/>
        <v>2018</v>
      </c>
      <c r="L30" s="66"/>
      <c r="M30" s="33">
        <f t="shared" si="17"/>
        <v>0</v>
      </c>
      <c r="N30" s="28">
        <f t="shared" si="18"/>
        <v>0</v>
      </c>
      <c r="O30" s="28">
        <f t="shared" si="18"/>
        <v>0</v>
      </c>
      <c r="P30" s="28">
        <f t="shared" si="18"/>
        <v>0</v>
      </c>
      <c r="Q30" s="28">
        <f t="shared" si="18"/>
        <v>1</v>
      </c>
      <c r="R30" s="28">
        <f t="shared" si="18"/>
        <v>0</v>
      </c>
      <c r="S30" s="28">
        <f t="shared" si="18"/>
        <v>0</v>
      </c>
      <c r="T30" s="28">
        <f t="shared" si="18"/>
        <v>0</v>
      </c>
      <c r="U30" s="28">
        <f t="shared" si="18"/>
        <v>0</v>
      </c>
      <c r="V30" s="28">
        <f t="shared" si="18"/>
        <v>0</v>
      </c>
      <c r="W30" s="28">
        <f t="shared" si="18"/>
        <v>0</v>
      </c>
      <c r="X30" s="28">
        <f t="shared" si="19"/>
        <v>0</v>
      </c>
      <c r="Y30" s="28">
        <f t="shared" si="19"/>
        <v>0</v>
      </c>
      <c r="Z30" s="28">
        <f t="shared" si="19"/>
        <v>0</v>
      </c>
      <c r="AA30" s="28">
        <f t="shared" si="19"/>
        <v>0</v>
      </c>
      <c r="AB30" s="28">
        <f t="shared" si="19"/>
        <v>0</v>
      </c>
      <c r="AC30" s="28">
        <f t="shared" si="19"/>
        <v>0</v>
      </c>
      <c r="AD30" s="28">
        <f t="shared" si="19"/>
        <v>0</v>
      </c>
      <c r="AE30" s="28">
        <f t="shared" si="19"/>
        <v>0</v>
      </c>
      <c r="AF30" s="28">
        <f t="shared" si="19"/>
        <v>0</v>
      </c>
      <c r="AG30" s="28">
        <f t="shared" si="19"/>
        <v>0</v>
      </c>
      <c r="AH30" s="28">
        <f t="shared" si="16"/>
        <v>1</v>
      </c>
    </row>
    <row r="31" spans="1:36" ht="10.5" x14ac:dyDescent="0.15">
      <c r="A31" s="895" t="s">
        <v>147</v>
      </c>
      <c r="B31" s="895" t="s">
        <v>148</v>
      </c>
      <c r="C31" s="896"/>
      <c r="D31" s="896">
        <v>848832.92330650217</v>
      </c>
      <c r="E31" s="896"/>
      <c r="F31" s="896"/>
      <c r="G31" s="896"/>
      <c r="H31" s="896"/>
      <c r="I31" s="896"/>
      <c r="J31" s="896">
        <v>848832.92330650217</v>
      </c>
      <c r="K31" s="24">
        <f t="shared" si="15"/>
        <v>2018</v>
      </c>
      <c r="L31" s="66"/>
      <c r="M31" s="33">
        <f t="shared" si="17"/>
        <v>0</v>
      </c>
      <c r="N31" s="28">
        <f t="shared" si="18"/>
        <v>0</v>
      </c>
      <c r="O31" s="28">
        <f t="shared" si="18"/>
        <v>0</v>
      </c>
      <c r="P31" s="28">
        <f t="shared" si="18"/>
        <v>0</v>
      </c>
      <c r="Q31" s="28">
        <f t="shared" si="18"/>
        <v>1</v>
      </c>
      <c r="R31" s="28">
        <f t="shared" si="18"/>
        <v>0</v>
      </c>
      <c r="S31" s="28">
        <f t="shared" si="18"/>
        <v>0</v>
      </c>
      <c r="T31" s="28">
        <f t="shared" si="18"/>
        <v>0</v>
      </c>
      <c r="U31" s="28">
        <f t="shared" si="18"/>
        <v>0</v>
      </c>
      <c r="V31" s="28">
        <f t="shared" si="18"/>
        <v>0</v>
      </c>
      <c r="W31" s="28">
        <f t="shared" si="18"/>
        <v>0</v>
      </c>
      <c r="X31" s="28">
        <f t="shared" si="19"/>
        <v>0</v>
      </c>
      <c r="Y31" s="28">
        <f t="shared" si="19"/>
        <v>0</v>
      </c>
      <c r="Z31" s="28">
        <f t="shared" si="19"/>
        <v>0</v>
      </c>
      <c r="AA31" s="28">
        <f t="shared" si="19"/>
        <v>0</v>
      </c>
      <c r="AB31" s="28">
        <f t="shared" si="19"/>
        <v>0</v>
      </c>
      <c r="AC31" s="28">
        <f t="shared" si="19"/>
        <v>0</v>
      </c>
      <c r="AD31" s="28">
        <f t="shared" si="19"/>
        <v>0</v>
      </c>
      <c r="AE31" s="28">
        <f t="shared" si="19"/>
        <v>0</v>
      </c>
      <c r="AF31" s="28">
        <f t="shared" si="19"/>
        <v>0</v>
      </c>
      <c r="AG31" s="28">
        <f t="shared" si="19"/>
        <v>0</v>
      </c>
      <c r="AH31" s="28">
        <f t="shared" si="16"/>
        <v>1</v>
      </c>
    </row>
    <row r="32" spans="1:36" ht="10.5" x14ac:dyDescent="0.15">
      <c r="A32" s="895" t="s">
        <v>153</v>
      </c>
      <c r="B32" s="895" t="s">
        <v>154</v>
      </c>
      <c r="C32" s="896"/>
      <c r="D32" s="896">
        <v>50011317.936304741</v>
      </c>
      <c r="E32" s="896"/>
      <c r="F32" s="896"/>
      <c r="G32" s="896"/>
      <c r="H32" s="896"/>
      <c r="I32" s="896"/>
      <c r="J32" s="896">
        <v>50011317.936304741</v>
      </c>
      <c r="K32" s="24">
        <f t="shared" si="15"/>
        <v>2018</v>
      </c>
      <c r="L32" s="66"/>
      <c r="M32" s="33">
        <f t="shared" si="17"/>
        <v>0</v>
      </c>
      <c r="N32" s="28">
        <f t="shared" si="18"/>
        <v>0</v>
      </c>
      <c r="O32" s="28">
        <f t="shared" si="18"/>
        <v>0</v>
      </c>
      <c r="P32" s="28">
        <f t="shared" si="18"/>
        <v>0</v>
      </c>
      <c r="Q32" s="28">
        <f t="shared" si="18"/>
        <v>0</v>
      </c>
      <c r="R32" s="28">
        <f t="shared" si="18"/>
        <v>0</v>
      </c>
      <c r="S32" s="28">
        <f t="shared" si="18"/>
        <v>0</v>
      </c>
      <c r="T32" s="28">
        <f t="shared" si="18"/>
        <v>0</v>
      </c>
      <c r="U32" s="28">
        <f t="shared" si="18"/>
        <v>0</v>
      </c>
      <c r="V32" s="28">
        <f t="shared" si="18"/>
        <v>0</v>
      </c>
      <c r="W32" s="28">
        <f t="shared" si="18"/>
        <v>0</v>
      </c>
      <c r="X32" s="28">
        <f t="shared" si="19"/>
        <v>0</v>
      </c>
      <c r="Y32" s="28">
        <f t="shared" si="19"/>
        <v>0</v>
      </c>
      <c r="Z32" s="28">
        <f t="shared" si="19"/>
        <v>0</v>
      </c>
      <c r="AA32" s="28">
        <f t="shared" si="19"/>
        <v>0</v>
      </c>
      <c r="AB32" s="28">
        <f t="shared" si="19"/>
        <v>0</v>
      </c>
      <c r="AC32" s="28">
        <f t="shared" si="19"/>
        <v>0</v>
      </c>
      <c r="AD32" s="28">
        <f t="shared" si="19"/>
        <v>0</v>
      </c>
      <c r="AE32" s="28">
        <f t="shared" si="19"/>
        <v>0</v>
      </c>
      <c r="AF32" s="28">
        <f t="shared" si="19"/>
        <v>1</v>
      </c>
      <c r="AG32" s="28">
        <f t="shared" si="19"/>
        <v>0</v>
      </c>
      <c r="AH32" s="28">
        <f t="shared" si="16"/>
        <v>1</v>
      </c>
    </row>
    <row r="33" spans="1:34" ht="10.5" x14ac:dyDescent="0.15">
      <c r="A33" s="895" t="s">
        <v>160</v>
      </c>
      <c r="B33" s="895" t="s">
        <v>161</v>
      </c>
      <c r="C33" s="896"/>
      <c r="D33" s="896">
        <v>6942215.3407585518</v>
      </c>
      <c r="E33" s="896"/>
      <c r="F33" s="896"/>
      <c r="G33" s="896"/>
      <c r="H33" s="896"/>
      <c r="I33" s="896"/>
      <c r="J33" s="896">
        <v>6942215.3407585518</v>
      </c>
      <c r="K33" s="24">
        <f t="shared" si="15"/>
        <v>2018</v>
      </c>
      <c r="L33" s="66"/>
      <c r="M33" s="33">
        <f t="shared" si="17"/>
        <v>5895290.8999500005</v>
      </c>
      <c r="N33" s="28">
        <f t="shared" si="18"/>
        <v>0</v>
      </c>
      <c r="O33" s="28">
        <f t="shared" si="18"/>
        <v>0</v>
      </c>
      <c r="P33" s="28">
        <f t="shared" si="18"/>
        <v>0</v>
      </c>
      <c r="Q33" s="28">
        <f t="shared" si="18"/>
        <v>0</v>
      </c>
      <c r="R33" s="28">
        <f t="shared" si="18"/>
        <v>0</v>
      </c>
      <c r="S33" s="28">
        <f t="shared" si="18"/>
        <v>0</v>
      </c>
      <c r="T33" s="28">
        <f t="shared" si="18"/>
        <v>0</v>
      </c>
      <c r="U33" s="28">
        <f t="shared" si="18"/>
        <v>0</v>
      </c>
      <c r="V33" s="28">
        <f t="shared" si="18"/>
        <v>0</v>
      </c>
      <c r="W33" s="28">
        <f t="shared" si="18"/>
        <v>0</v>
      </c>
      <c r="X33" s="28">
        <f t="shared" si="19"/>
        <v>0</v>
      </c>
      <c r="Y33" s="28">
        <f t="shared" si="19"/>
        <v>0</v>
      </c>
      <c r="Z33" s="28">
        <f t="shared" si="19"/>
        <v>0</v>
      </c>
      <c r="AA33" s="28">
        <f t="shared" si="19"/>
        <v>0</v>
      </c>
      <c r="AB33" s="28">
        <f t="shared" si="19"/>
        <v>0</v>
      </c>
      <c r="AC33" s="28">
        <f t="shared" si="19"/>
        <v>0</v>
      </c>
      <c r="AD33" s="28">
        <f t="shared" si="19"/>
        <v>0</v>
      </c>
      <c r="AE33" s="28">
        <f t="shared" si="19"/>
        <v>0</v>
      </c>
      <c r="AF33" s="28">
        <f t="shared" si="19"/>
        <v>1</v>
      </c>
      <c r="AG33" s="28">
        <f t="shared" si="19"/>
        <v>0</v>
      </c>
      <c r="AH33" s="28">
        <f t="shared" si="16"/>
        <v>1</v>
      </c>
    </row>
    <row r="34" spans="1:34" ht="10.5" x14ac:dyDescent="0.15">
      <c r="A34" s="895" t="s">
        <v>171</v>
      </c>
      <c r="B34" s="895" t="s">
        <v>172</v>
      </c>
      <c r="C34" s="900"/>
      <c r="D34" s="896">
        <v>95841.620665322291</v>
      </c>
      <c r="E34" s="896"/>
      <c r="F34" s="896"/>
      <c r="G34" s="896"/>
      <c r="H34" s="896"/>
      <c r="I34" s="896"/>
      <c r="J34" s="896">
        <v>95841.620665322291</v>
      </c>
      <c r="K34" s="24">
        <f t="shared" si="15"/>
        <v>2018</v>
      </c>
      <c r="L34" s="66"/>
      <c r="M34" s="33">
        <f t="shared" si="17"/>
        <v>0</v>
      </c>
      <c r="N34" s="28">
        <f t="shared" si="18"/>
        <v>0</v>
      </c>
      <c r="O34" s="28">
        <f t="shared" si="18"/>
        <v>0</v>
      </c>
      <c r="P34" s="28">
        <f t="shared" si="18"/>
        <v>0</v>
      </c>
      <c r="Q34" s="28">
        <f t="shared" si="18"/>
        <v>0</v>
      </c>
      <c r="R34" s="28">
        <f t="shared" si="18"/>
        <v>0</v>
      </c>
      <c r="S34" s="28">
        <f t="shared" si="18"/>
        <v>0</v>
      </c>
      <c r="T34" s="28">
        <f t="shared" si="18"/>
        <v>0</v>
      </c>
      <c r="U34" s="28">
        <f t="shared" si="18"/>
        <v>1</v>
      </c>
      <c r="V34" s="28">
        <f t="shared" si="18"/>
        <v>0</v>
      </c>
      <c r="W34" s="28">
        <f t="shared" si="18"/>
        <v>0</v>
      </c>
      <c r="X34" s="28">
        <f t="shared" si="19"/>
        <v>0</v>
      </c>
      <c r="Y34" s="28">
        <f t="shared" si="19"/>
        <v>0</v>
      </c>
      <c r="Z34" s="28">
        <f t="shared" si="19"/>
        <v>0</v>
      </c>
      <c r="AA34" s="28">
        <f t="shared" si="19"/>
        <v>0</v>
      </c>
      <c r="AB34" s="28">
        <f t="shared" si="19"/>
        <v>0</v>
      </c>
      <c r="AC34" s="28">
        <f t="shared" si="19"/>
        <v>0</v>
      </c>
      <c r="AD34" s="28">
        <f t="shared" si="19"/>
        <v>0</v>
      </c>
      <c r="AE34" s="28">
        <f t="shared" si="19"/>
        <v>0</v>
      </c>
      <c r="AF34" s="28">
        <f t="shared" si="19"/>
        <v>0</v>
      </c>
      <c r="AG34" s="28">
        <f t="shared" si="19"/>
        <v>0</v>
      </c>
      <c r="AH34" s="28">
        <f t="shared" si="16"/>
        <v>1</v>
      </c>
    </row>
    <row r="35" spans="1:34" ht="10.5" x14ac:dyDescent="0.15">
      <c r="A35" s="895" t="s">
        <v>175</v>
      </c>
      <c r="B35" s="895" t="s">
        <v>176</v>
      </c>
      <c r="C35" s="896">
        <v>807480.37410477584</v>
      </c>
      <c r="D35" s="896"/>
      <c r="E35" s="896"/>
      <c r="F35" s="896"/>
      <c r="G35" s="896"/>
      <c r="H35" s="896"/>
      <c r="I35" s="896"/>
      <c r="J35" s="896">
        <v>807480.37410477584</v>
      </c>
      <c r="K35" s="24">
        <f t="shared" si="15"/>
        <v>2017</v>
      </c>
      <c r="L35" s="66"/>
      <c r="M35" s="33">
        <f>IF(K35=2017,0,IF(ISNA(VLOOKUP(LEFT($A35,8),Estimates,72,FALSE)),0,VLOOKUP(LEFT($A35,8),Estimates,72,FALSE)))</f>
        <v>0</v>
      </c>
      <c r="N35" s="28">
        <f t="shared" si="18"/>
        <v>0</v>
      </c>
      <c r="O35" s="28">
        <f t="shared" si="18"/>
        <v>0</v>
      </c>
      <c r="P35" s="28">
        <f t="shared" si="18"/>
        <v>0</v>
      </c>
      <c r="Q35" s="28">
        <f t="shared" si="18"/>
        <v>0</v>
      </c>
      <c r="R35" s="28">
        <f t="shared" si="18"/>
        <v>0</v>
      </c>
      <c r="S35" s="28">
        <f t="shared" si="18"/>
        <v>1</v>
      </c>
      <c r="T35" s="28">
        <f t="shared" si="18"/>
        <v>0</v>
      </c>
      <c r="U35" s="28">
        <f t="shared" si="18"/>
        <v>0</v>
      </c>
      <c r="V35" s="28">
        <f t="shared" si="18"/>
        <v>0</v>
      </c>
      <c r="W35" s="28">
        <f t="shared" si="18"/>
        <v>0</v>
      </c>
      <c r="X35" s="28">
        <f t="shared" si="19"/>
        <v>0</v>
      </c>
      <c r="Y35" s="28">
        <f t="shared" si="19"/>
        <v>0</v>
      </c>
      <c r="Z35" s="28">
        <f t="shared" si="19"/>
        <v>0</v>
      </c>
      <c r="AA35" s="28">
        <f t="shared" si="19"/>
        <v>0</v>
      </c>
      <c r="AB35" s="28">
        <f t="shared" si="19"/>
        <v>0</v>
      </c>
      <c r="AC35" s="28">
        <f t="shared" si="19"/>
        <v>0</v>
      </c>
      <c r="AD35" s="28">
        <f t="shared" si="19"/>
        <v>0</v>
      </c>
      <c r="AE35" s="28">
        <f t="shared" si="19"/>
        <v>0</v>
      </c>
      <c r="AF35" s="28">
        <f t="shared" si="19"/>
        <v>0</v>
      </c>
      <c r="AG35" s="28">
        <f t="shared" si="19"/>
        <v>0</v>
      </c>
      <c r="AH35" s="28">
        <f t="shared" si="16"/>
        <v>1</v>
      </c>
    </row>
    <row r="36" spans="1:34" ht="10.5" x14ac:dyDescent="0.15">
      <c r="A36" s="895" t="s">
        <v>177</v>
      </c>
      <c r="B36" s="895" t="s">
        <v>178</v>
      </c>
      <c r="C36" s="896"/>
      <c r="D36" s="896">
        <v>2940021.8526830049</v>
      </c>
      <c r="E36" s="896"/>
      <c r="F36" s="896"/>
      <c r="G36" s="896"/>
      <c r="H36" s="896"/>
      <c r="I36" s="896"/>
      <c r="J36" s="896">
        <v>2940021.8526830049</v>
      </c>
      <c r="K36" s="24">
        <f t="shared" si="15"/>
        <v>2018</v>
      </c>
      <c r="L36" s="66"/>
      <c r="M36" s="33">
        <f>IF(ISNA(VLOOKUP(LEFT($A36,8),Estimates,72,FALSE)),0,VLOOKUP(LEFT($A36,8),Estimates,72,FALSE))</f>
        <v>0</v>
      </c>
      <c r="N36" s="28">
        <f t="shared" si="18"/>
        <v>0</v>
      </c>
      <c r="O36" s="28">
        <f t="shared" si="18"/>
        <v>0</v>
      </c>
      <c r="P36" s="28">
        <f t="shared" si="18"/>
        <v>0</v>
      </c>
      <c r="Q36" s="28">
        <f t="shared" si="18"/>
        <v>0</v>
      </c>
      <c r="R36" s="28">
        <f t="shared" si="18"/>
        <v>0</v>
      </c>
      <c r="S36" s="28">
        <f t="shared" si="18"/>
        <v>0</v>
      </c>
      <c r="T36" s="28">
        <f t="shared" si="18"/>
        <v>0</v>
      </c>
      <c r="U36" s="28">
        <f t="shared" si="18"/>
        <v>0</v>
      </c>
      <c r="V36" s="28">
        <f t="shared" si="18"/>
        <v>0</v>
      </c>
      <c r="W36" s="28">
        <f t="shared" si="18"/>
        <v>0.93416923832074183</v>
      </c>
      <c r="X36" s="28">
        <f t="shared" si="19"/>
        <v>0</v>
      </c>
      <c r="Y36" s="28">
        <f t="shared" si="19"/>
        <v>3.9926470866991783E-2</v>
      </c>
      <c r="Z36" s="28">
        <f t="shared" si="19"/>
        <v>0</v>
      </c>
      <c r="AA36" s="28">
        <f t="shared" si="19"/>
        <v>0</v>
      </c>
      <c r="AB36" s="28">
        <f t="shared" si="19"/>
        <v>0</v>
      </c>
      <c r="AC36" s="28">
        <f t="shared" si="19"/>
        <v>2.5904290812266445E-2</v>
      </c>
      <c r="AD36" s="28">
        <f t="shared" si="19"/>
        <v>0</v>
      </c>
      <c r="AE36" s="28">
        <f t="shared" si="19"/>
        <v>0</v>
      </c>
      <c r="AF36" s="28">
        <f t="shared" si="19"/>
        <v>0</v>
      </c>
      <c r="AG36" s="28">
        <f t="shared" si="19"/>
        <v>0</v>
      </c>
      <c r="AH36" s="28">
        <f t="shared" si="16"/>
        <v>1</v>
      </c>
    </row>
    <row r="37" spans="1:34" ht="10.5" x14ac:dyDescent="0.15">
      <c r="A37" s="895" t="s">
        <v>192</v>
      </c>
      <c r="B37" s="895" t="s">
        <v>2372</v>
      </c>
      <c r="C37" s="900"/>
      <c r="D37" s="900"/>
      <c r="E37" s="900">
        <v>5671737.6642279709</v>
      </c>
      <c r="F37" s="900"/>
      <c r="G37" s="896"/>
      <c r="H37" s="896"/>
      <c r="I37" s="896"/>
      <c r="J37" s="896">
        <v>5671737.6642279709</v>
      </c>
      <c r="K37" s="24">
        <f t="shared" si="15"/>
        <v>2019</v>
      </c>
      <c r="L37" s="66"/>
      <c r="M37" s="33">
        <f>IF(ISNA(VLOOKUP(LEFT($A37,8),Estimates,72,FALSE)),0,VLOOKUP(LEFT($A37,8),Estimates,72,FALSE))</f>
        <v>599999.99999999988</v>
      </c>
      <c r="N37" s="28">
        <f t="shared" si="18"/>
        <v>0</v>
      </c>
      <c r="O37" s="28">
        <f t="shared" si="18"/>
        <v>0</v>
      </c>
      <c r="P37" s="28">
        <f t="shared" si="18"/>
        <v>0</v>
      </c>
      <c r="Q37" s="28">
        <f t="shared" si="18"/>
        <v>1</v>
      </c>
      <c r="R37" s="28">
        <f t="shared" si="18"/>
        <v>0</v>
      </c>
      <c r="S37" s="28">
        <f t="shared" si="18"/>
        <v>0</v>
      </c>
      <c r="T37" s="28">
        <f t="shared" si="18"/>
        <v>0</v>
      </c>
      <c r="U37" s="28">
        <f t="shared" si="18"/>
        <v>0</v>
      </c>
      <c r="V37" s="28">
        <f t="shared" si="18"/>
        <v>0</v>
      </c>
      <c r="W37" s="28">
        <f t="shared" si="18"/>
        <v>0</v>
      </c>
      <c r="X37" s="28">
        <f t="shared" si="19"/>
        <v>0</v>
      </c>
      <c r="Y37" s="28">
        <f t="shared" si="19"/>
        <v>0</v>
      </c>
      <c r="Z37" s="28">
        <f t="shared" si="19"/>
        <v>0</v>
      </c>
      <c r="AA37" s="28">
        <f t="shared" si="19"/>
        <v>0</v>
      </c>
      <c r="AB37" s="28">
        <f t="shared" si="19"/>
        <v>0</v>
      </c>
      <c r="AC37" s="28">
        <f t="shared" si="19"/>
        <v>0</v>
      </c>
      <c r="AD37" s="28">
        <f t="shared" si="19"/>
        <v>0</v>
      </c>
      <c r="AE37" s="28">
        <f t="shared" si="19"/>
        <v>0</v>
      </c>
      <c r="AF37" s="28">
        <f t="shared" si="19"/>
        <v>0</v>
      </c>
      <c r="AG37" s="28">
        <f t="shared" si="19"/>
        <v>0</v>
      </c>
      <c r="AH37" s="28">
        <f t="shared" si="16"/>
        <v>1</v>
      </c>
    </row>
    <row r="38" spans="1:34" ht="10.5" x14ac:dyDescent="0.15">
      <c r="A38" s="895" t="s">
        <v>193</v>
      </c>
      <c r="B38" s="895" t="s">
        <v>194</v>
      </c>
      <c r="C38" s="900">
        <v>448111.95724902448</v>
      </c>
      <c r="D38" s="900"/>
      <c r="E38" s="900"/>
      <c r="F38" s="900"/>
      <c r="G38" s="896"/>
      <c r="H38" s="896"/>
      <c r="I38" s="896"/>
      <c r="J38" s="896">
        <v>448111.95724902448</v>
      </c>
      <c r="K38" s="24">
        <f t="shared" si="15"/>
        <v>2017</v>
      </c>
      <c r="L38" s="66"/>
      <c r="M38" s="33">
        <f>IF(K38=2017,0,IF(ISNA(VLOOKUP(LEFT($A38,8),Estimates,72,FALSE)),0,VLOOKUP(LEFT($A38,8),Estimates,72,FALSE)))</f>
        <v>0</v>
      </c>
      <c r="N38" s="28">
        <f t="shared" si="18"/>
        <v>0</v>
      </c>
      <c r="O38" s="28">
        <f t="shared" si="18"/>
        <v>0</v>
      </c>
      <c r="P38" s="28">
        <f t="shared" si="18"/>
        <v>0</v>
      </c>
      <c r="Q38" s="28">
        <f t="shared" si="18"/>
        <v>1</v>
      </c>
      <c r="R38" s="28">
        <f t="shared" si="18"/>
        <v>0</v>
      </c>
      <c r="S38" s="28">
        <f t="shared" si="18"/>
        <v>0</v>
      </c>
      <c r="T38" s="28">
        <f t="shared" si="18"/>
        <v>0</v>
      </c>
      <c r="U38" s="28">
        <f t="shared" si="18"/>
        <v>0</v>
      </c>
      <c r="V38" s="28">
        <f t="shared" si="18"/>
        <v>0</v>
      </c>
      <c r="W38" s="28">
        <f t="shared" si="18"/>
        <v>0</v>
      </c>
      <c r="X38" s="28">
        <f t="shared" si="19"/>
        <v>0</v>
      </c>
      <c r="Y38" s="28">
        <f t="shared" si="19"/>
        <v>0</v>
      </c>
      <c r="Z38" s="28">
        <f t="shared" si="19"/>
        <v>0</v>
      </c>
      <c r="AA38" s="28">
        <f t="shared" si="19"/>
        <v>0</v>
      </c>
      <c r="AB38" s="28">
        <f t="shared" si="19"/>
        <v>0</v>
      </c>
      <c r="AC38" s="28">
        <f t="shared" si="19"/>
        <v>0</v>
      </c>
      <c r="AD38" s="28">
        <f t="shared" si="19"/>
        <v>0</v>
      </c>
      <c r="AE38" s="28">
        <f t="shared" si="19"/>
        <v>0</v>
      </c>
      <c r="AF38" s="28">
        <f t="shared" si="19"/>
        <v>0</v>
      </c>
      <c r="AG38" s="28">
        <f t="shared" si="19"/>
        <v>0</v>
      </c>
      <c r="AH38" s="28">
        <f t="shared" si="16"/>
        <v>1</v>
      </c>
    </row>
    <row r="39" spans="1:34" ht="10.5" x14ac:dyDescent="0.15">
      <c r="A39" s="895" t="s">
        <v>196</v>
      </c>
      <c r="B39" s="895" t="s">
        <v>197</v>
      </c>
      <c r="C39" s="900"/>
      <c r="D39" s="900">
        <v>1351718.2087481041</v>
      </c>
      <c r="E39" s="900"/>
      <c r="F39" s="900"/>
      <c r="G39" s="896"/>
      <c r="H39" s="896"/>
      <c r="I39" s="896"/>
      <c r="J39" s="896">
        <v>1351718.2087481041</v>
      </c>
      <c r="K39" s="24">
        <f t="shared" si="15"/>
        <v>2018</v>
      </c>
      <c r="L39" s="66"/>
      <c r="M39" s="33">
        <f t="shared" ref="M39:M49" si="20">IF(ISNA(VLOOKUP(LEFT($A39,8),Estimates,72,FALSE)),0,VLOOKUP(LEFT($A39,8),Estimates,72,FALSE))</f>
        <v>0</v>
      </c>
      <c r="N39" s="28">
        <f t="shared" ref="N39:W48" si="21">IF($M39=0,VLOOKUP(MID($A39,4,5),ProjectSplits,N$2,FALSE),IF(ISNA(VLOOKUP(LEFT($A39,8),Estimates,N$1,FALSE)),VLOOKUP(MID($A39,4,5),ProjectSplits,N$2,FALSE),VLOOKUP(LEFT($A39,8),Estimates,N$1,FALSE)))</f>
        <v>0</v>
      </c>
      <c r="O39" s="28">
        <f t="shared" si="21"/>
        <v>0</v>
      </c>
      <c r="P39" s="28">
        <f t="shared" si="21"/>
        <v>0</v>
      </c>
      <c r="Q39" s="28">
        <f t="shared" si="21"/>
        <v>1</v>
      </c>
      <c r="R39" s="28">
        <f t="shared" si="21"/>
        <v>0</v>
      </c>
      <c r="S39" s="28">
        <f t="shared" si="21"/>
        <v>0</v>
      </c>
      <c r="T39" s="28">
        <f t="shared" si="21"/>
        <v>0</v>
      </c>
      <c r="U39" s="28">
        <f t="shared" si="21"/>
        <v>0</v>
      </c>
      <c r="V39" s="28">
        <f t="shared" si="21"/>
        <v>0</v>
      </c>
      <c r="W39" s="28">
        <f t="shared" si="21"/>
        <v>0</v>
      </c>
      <c r="X39" s="28">
        <f t="shared" ref="X39:AG48" si="22">IF($M39=0,VLOOKUP(MID($A39,4,5),ProjectSplits,X$2,FALSE),IF(ISNA(VLOOKUP(LEFT($A39,8),Estimates,X$1,FALSE)),VLOOKUP(MID($A39,4,5),ProjectSplits,X$2,FALSE),VLOOKUP(LEFT($A39,8),Estimates,X$1,FALSE)))</f>
        <v>0</v>
      </c>
      <c r="Y39" s="28">
        <f t="shared" si="22"/>
        <v>0</v>
      </c>
      <c r="Z39" s="28">
        <f t="shared" si="22"/>
        <v>0</v>
      </c>
      <c r="AA39" s="28">
        <f t="shared" si="22"/>
        <v>0</v>
      </c>
      <c r="AB39" s="28">
        <f t="shared" si="22"/>
        <v>0</v>
      </c>
      <c r="AC39" s="28">
        <f t="shared" si="22"/>
        <v>0</v>
      </c>
      <c r="AD39" s="28">
        <f t="shared" si="22"/>
        <v>0</v>
      </c>
      <c r="AE39" s="28">
        <f t="shared" si="22"/>
        <v>0</v>
      </c>
      <c r="AF39" s="28">
        <f t="shared" si="22"/>
        <v>0</v>
      </c>
      <c r="AG39" s="28">
        <f t="shared" si="22"/>
        <v>0</v>
      </c>
      <c r="AH39" s="28">
        <f t="shared" si="16"/>
        <v>1</v>
      </c>
    </row>
    <row r="40" spans="1:34" ht="10.5" x14ac:dyDescent="0.15">
      <c r="A40" s="895" t="s">
        <v>200</v>
      </c>
      <c r="B40" s="895" t="s">
        <v>201</v>
      </c>
      <c r="C40" s="900"/>
      <c r="D40" s="900">
        <v>609296.77895270102</v>
      </c>
      <c r="E40" s="900"/>
      <c r="F40" s="900"/>
      <c r="G40" s="896"/>
      <c r="H40" s="896"/>
      <c r="I40" s="896"/>
      <c r="J40" s="896">
        <v>609296.77895270102</v>
      </c>
      <c r="K40" s="24">
        <f t="shared" si="15"/>
        <v>2018</v>
      </c>
      <c r="L40" s="66"/>
      <c r="M40" s="33">
        <f t="shared" si="20"/>
        <v>1949999.9999999974</v>
      </c>
      <c r="N40" s="28">
        <f t="shared" si="21"/>
        <v>0</v>
      </c>
      <c r="O40" s="28">
        <f t="shared" si="21"/>
        <v>0</v>
      </c>
      <c r="P40" s="28">
        <f t="shared" si="21"/>
        <v>0</v>
      </c>
      <c r="Q40" s="28">
        <f t="shared" si="21"/>
        <v>1</v>
      </c>
      <c r="R40" s="28">
        <f t="shared" si="21"/>
        <v>0</v>
      </c>
      <c r="S40" s="28">
        <f t="shared" si="21"/>
        <v>0</v>
      </c>
      <c r="T40" s="28">
        <f t="shared" si="21"/>
        <v>0</v>
      </c>
      <c r="U40" s="28">
        <f t="shared" si="21"/>
        <v>0</v>
      </c>
      <c r="V40" s="28">
        <f t="shared" si="21"/>
        <v>0</v>
      </c>
      <c r="W40" s="28">
        <f t="shared" si="21"/>
        <v>0</v>
      </c>
      <c r="X40" s="28">
        <f t="shared" si="22"/>
        <v>0</v>
      </c>
      <c r="Y40" s="28">
        <f t="shared" si="22"/>
        <v>0</v>
      </c>
      <c r="Z40" s="28">
        <f t="shared" si="22"/>
        <v>0</v>
      </c>
      <c r="AA40" s="28">
        <f t="shared" si="22"/>
        <v>0</v>
      </c>
      <c r="AB40" s="28">
        <f t="shared" si="22"/>
        <v>0</v>
      </c>
      <c r="AC40" s="28">
        <f t="shared" si="22"/>
        <v>0</v>
      </c>
      <c r="AD40" s="28">
        <f t="shared" si="22"/>
        <v>0</v>
      </c>
      <c r="AE40" s="28">
        <f t="shared" si="22"/>
        <v>0</v>
      </c>
      <c r="AF40" s="28">
        <f t="shared" si="22"/>
        <v>0</v>
      </c>
      <c r="AG40" s="28">
        <f t="shared" si="22"/>
        <v>0</v>
      </c>
      <c r="AH40" s="28">
        <f t="shared" si="16"/>
        <v>1</v>
      </c>
    </row>
    <row r="41" spans="1:34" ht="10.5" x14ac:dyDescent="0.15">
      <c r="A41" s="895" t="s">
        <v>205</v>
      </c>
      <c r="B41" s="895" t="s">
        <v>206</v>
      </c>
      <c r="C41" s="900"/>
      <c r="D41" s="900"/>
      <c r="E41" s="900">
        <v>165640.05769258933</v>
      </c>
      <c r="F41" s="900"/>
      <c r="G41" s="896"/>
      <c r="H41" s="896"/>
      <c r="I41" s="896"/>
      <c r="J41" s="896">
        <v>165640.05769258933</v>
      </c>
      <c r="K41" s="24">
        <f t="shared" si="15"/>
        <v>2019</v>
      </c>
      <c r="L41" s="66"/>
      <c r="M41" s="33">
        <f t="shared" si="20"/>
        <v>0</v>
      </c>
      <c r="N41" s="28">
        <f t="shared" si="21"/>
        <v>0</v>
      </c>
      <c r="O41" s="28">
        <f t="shared" si="21"/>
        <v>0</v>
      </c>
      <c r="P41" s="28">
        <f t="shared" si="21"/>
        <v>0</v>
      </c>
      <c r="Q41" s="28">
        <f t="shared" si="21"/>
        <v>1</v>
      </c>
      <c r="R41" s="28">
        <f t="shared" si="21"/>
        <v>0</v>
      </c>
      <c r="S41" s="28">
        <f t="shared" si="21"/>
        <v>0</v>
      </c>
      <c r="T41" s="28">
        <f t="shared" si="21"/>
        <v>0</v>
      </c>
      <c r="U41" s="28">
        <f t="shared" si="21"/>
        <v>0</v>
      </c>
      <c r="V41" s="28">
        <f t="shared" si="21"/>
        <v>0</v>
      </c>
      <c r="W41" s="28">
        <f t="shared" si="21"/>
        <v>0</v>
      </c>
      <c r="X41" s="28">
        <f t="shared" si="22"/>
        <v>0</v>
      </c>
      <c r="Y41" s="28">
        <f t="shared" si="22"/>
        <v>0</v>
      </c>
      <c r="Z41" s="28">
        <f t="shared" si="22"/>
        <v>0</v>
      </c>
      <c r="AA41" s="28">
        <f t="shared" si="22"/>
        <v>0</v>
      </c>
      <c r="AB41" s="28">
        <f t="shared" si="22"/>
        <v>0</v>
      </c>
      <c r="AC41" s="28">
        <f t="shared" si="22"/>
        <v>0</v>
      </c>
      <c r="AD41" s="28">
        <f t="shared" si="22"/>
        <v>0</v>
      </c>
      <c r="AE41" s="28">
        <f t="shared" si="22"/>
        <v>0</v>
      </c>
      <c r="AF41" s="28">
        <f t="shared" si="22"/>
        <v>0</v>
      </c>
      <c r="AG41" s="28">
        <f t="shared" si="22"/>
        <v>0</v>
      </c>
      <c r="AH41" s="28">
        <f t="shared" si="16"/>
        <v>1</v>
      </c>
    </row>
    <row r="42" spans="1:34" ht="10.5" x14ac:dyDescent="0.15">
      <c r="A42" s="895" t="s">
        <v>207</v>
      </c>
      <c r="B42" s="895" t="s">
        <v>208</v>
      </c>
      <c r="C42" s="900"/>
      <c r="D42" s="900"/>
      <c r="E42" s="900"/>
      <c r="F42" s="900">
        <v>407392.37653988402</v>
      </c>
      <c r="G42" s="896"/>
      <c r="H42" s="896"/>
      <c r="I42" s="896"/>
      <c r="J42" s="896">
        <v>407392.37653988402</v>
      </c>
      <c r="K42" s="24">
        <f t="shared" si="15"/>
        <v>2020</v>
      </c>
      <c r="L42" s="66"/>
      <c r="M42" s="33">
        <f t="shared" si="20"/>
        <v>68400</v>
      </c>
      <c r="N42" s="28">
        <f t="shared" si="21"/>
        <v>0</v>
      </c>
      <c r="O42" s="28">
        <f t="shared" si="21"/>
        <v>0</v>
      </c>
      <c r="P42" s="28">
        <f t="shared" si="21"/>
        <v>0</v>
      </c>
      <c r="Q42" s="28">
        <f t="shared" si="21"/>
        <v>1</v>
      </c>
      <c r="R42" s="28">
        <f t="shared" si="21"/>
        <v>0</v>
      </c>
      <c r="S42" s="28">
        <f t="shared" si="21"/>
        <v>0</v>
      </c>
      <c r="T42" s="28">
        <f t="shared" si="21"/>
        <v>0</v>
      </c>
      <c r="U42" s="28">
        <f t="shared" si="21"/>
        <v>0</v>
      </c>
      <c r="V42" s="28">
        <f t="shared" si="21"/>
        <v>0</v>
      </c>
      <c r="W42" s="28">
        <f t="shared" si="21"/>
        <v>0</v>
      </c>
      <c r="X42" s="28">
        <f t="shared" si="22"/>
        <v>0</v>
      </c>
      <c r="Y42" s="28">
        <f t="shared" si="22"/>
        <v>0</v>
      </c>
      <c r="Z42" s="28">
        <f t="shared" si="22"/>
        <v>0</v>
      </c>
      <c r="AA42" s="28">
        <f t="shared" si="22"/>
        <v>0</v>
      </c>
      <c r="AB42" s="28">
        <f t="shared" si="22"/>
        <v>0</v>
      </c>
      <c r="AC42" s="28">
        <f t="shared" si="22"/>
        <v>0</v>
      </c>
      <c r="AD42" s="28">
        <f t="shared" si="22"/>
        <v>0</v>
      </c>
      <c r="AE42" s="28">
        <f t="shared" si="22"/>
        <v>0</v>
      </c>
      <c r="AF42" s="28">
        <f t="shared" si="22"/>
        <v>0</v>
      </c>
      <c r="AG42" s="28">
        <f t="shared" si="22"/>
        <v>0</v>
      </c>
      <c r="AH42" s="28">
        <f t="shared" si="16"/>
        <v>1</v>
      </c>
    </row>
    <row r="43" spans="1:34" ht="10.5" x14ac:dyDescent="0.15">
      <c r="A43" s="895" t="s">
        <v>216</v>
      </c>
      <c r="B43" s="895" t="s">
        <v>217</v>
      </c>
      <c r="C43" s="900"/>
      <c r="D43" s="900">
        <v>1721579.4117689391</v>
      </c>
      <c r="E43" s="900"/>
      <c r="F43" s="900"/>
      <c r="G43" s="896"/>
      <c r="H43" s="896"/>
      <c r="I43" s="896"/>
      <c r="J43" s="896">
        <v>1721579.4117689391</v>
      </c>
      <c r="K43" s="24">
        <f t="shared" si="15"/>
        <v>2018</v>
      </c>
      <c r="L43" s="66"/>
      <c r="M43" s="33">
        <f t="shared" si="20"/>
        <v>743217.99999871629</v>
      </c>
      <c r="N43" s="28">
        <f t="shared" si="21"/>
        <v>0</v>
      </c>
      <c r="O43" s="28">
        <f t="shared" si="21"/>
        <v>0</v>
      </c>
      <c r="P43" s="28">
        <f t="shared" si="21"/>
        <v>0</v>
      </c>
      <c r="Q43" s="28">
        <f t="shared" si="21"/>
        <v>0</v>
      </c>
      <c r="R43" s="28">
        <f t="shared" si="21"/>
        <v>0</v>
      </c>
      <c r="S43" s="28">
        <f t="shared" si="21"/>
        <v>0</v>
      </c>
      <c r="T43" s="28">
        <f t="shared" si="21"/>
        <v>0</v>
      </c>
      <c r="U43" s="28">
        <f t="shared" si="21"/>
        <v>0</v>
      </c>
      <c r="V43" s="28">
        <f t="shared" si="21"/>
        <v>0</v>
      </c>
      <c r="W43" s="28">
        <f t="shared" si="21"/>
        <v>0</v>
      </c>
      <c r="X43" s="28">
        <f t="shared" si="22"/>
        <v>0</v>
      </c>
      <c r="Y43" s="28">
        <f t="shared" si="22"/>
        <v>0</v>
      </c>
      <c r="Z43" s="28">
        <f t="shared" si="22"/>
        <v>0</v>
      </c>
      <c r="AA43" s="28">
        <f t="shared" si="22"/>
        <v>0</v>
      </c>
      <c r="AB43" s="28">
        <f t="shared" si="22"/>
        <v>0</v>
      </c>
      <c r="AC43" s="28">
        <f t="shared" si="22"/>
        <v>0</v>
      </c>
      <c r="AD43" s="28">
        <f t="shared" si="22"/>
        <v>1</v>
      </c>
      <c r="AE43" s="28">
        <f t="shared" si="22"/>
        <v>0</v>
      </c>
      <c r="AF43" s="28">
        <f t="shared" si="22"/>
        <v>0</v>
      </c>
      <c r="AG43" s="28">
        <f t="shared" si="22"/>
        <v>0</v>
      </c>
      <c r="AH43" s="28">
        <f t="shared" si="16"/>
        <v>1</v>
      </c>
    </row>
    <row r="44" spans="1:34" ht="10.5" x14ac:dyDescent="0.15">
      <c r="A44" s="895" t="s">
        <v>218</v>
      </c>
      <c r="B44" s="895" t="s">
        <v>219</v>
      </c>
      <c r="C44" s="900"/>
      <c r="D44" s="900"/>
      <c r="E44" s="900"/>
      <c r="F44" s="900">
        <v>1392490.5560508911</v>
      </c>
      <c r="G44" s="896"/>
      <c r="H44" s="896"/>
      <c r="I44" s="896"/>
      <c r="J44" s="896">
        <v>1392490.5560508911</v>
      </c>
      <c r="K44" s="24">
        <f t="shared" si="15"/>
        <v>2020</v>
      </c>
      <c r="L44" s="66"/>
      <c r="M44" s="33">
        <f t="shared" si="20"/>
        <v>343869.99999999948</v>
      </c>
      <c r="N44" s="28">
        <f t="shared" si="21"/>
        <v>0</v>
      </c>
      <c r="O44" s="28">
        <f t="shared" si="21"/>
        <v>0</v>
      </c>
      <c r="P44" s="28">
        <f t="shared" si="21"/>
        <v>0</v>
      </c>
      <c r="Q44" s="28">
        <f t="shared" si="21"/>
        <v>1</v>
      </c>
      <c r="R44" s="28">
        <f t="shared" si="21"/>
        <v>0</v>
      </c>
      <c r="S44" s="28">
        <f t="shared" si="21"/>
        <v>0</v>
      </c>
      <c r="T44" s="28">
        <f t="shared" si="21"/>
        <v>0</v>
      </c>
      <c r="U44" s="28">
        <f t="shared" si="21"/>
        <v>0</v>
      </c>
      <c r="V44" s="28">
        <f t="shared" si="21"/>
        <v>0</v>
      </c>
      <c r="W44" s="28">
        <f t="shared" si="21"/>
        <v>0</v>
      </c>
      <c r="X44" s="28">
        <f t="shared" si="22"/>
        <v>0</v>
      </c>
      <c r="Y44" s="28">
        <f t="shared" si="22"/>
        <v>0</v>
      </c>
      <c r="Z44" s="28">
        <f t="shared" si="22"/>
        <v>0</v>
      </c>
      <c r="AA44" s="28">
        <f t="shared" si="22"/>
        <v>0</v>
      </c>
      <c r="AB44" s="28">
        <f t="shared" si="22"/>
        <v>0</v>
      </c>
      <c r="AC44" s="28">
        <f t="shared" si="22"/>
        <v>0</v>
      </c>
      <c r="AD44" s="28">
        <f t="shared" si="22"/>
        <v>0</v>
      </c>
      <c r="AE44" s="28">
        <f t="shared" si="22"/>
        <v>0</v>
      </c>
      <c r="AF44" s="28">
        <f t="shared" si="22"/>
        <v>0</v>
      </c>
      <c r="AG44" s="28">
        <f t="shared" si="22"/>
        <v>0</v>
      </c>
      <c r="AH44" s="28">
        <f t="shared" si="16"/>
        <v>1</v>
      </c>
    </row>
    <row r="45" spans="1:34" ht="10.5" x14ac:dyDescent="0.15">
      <c r="A45" s="895" t="s">
        <v>223</v>
      </c>
      <c r="B45" s="895" t="s">
        <v>224</v>
      </c>
      <c r="C45" s="900"/>
      <c r="D45" s="900"/>
      <c r="E45" s="900">
        <v>3893373.972822011</v>
      </c>
      <c r="F45" s="900"/>
      <c r="G45" s="896"/>
      <c r="H45" s="896"/>
      <c r="I45" s="896"/>
      <c r="J45" s="896">
        <v>3893373.972822011</v>
      </c>
      <c r="K45" s="24">
        <f t="shared" si="15"/>
        <v>2019</v>
      </c>
      <c r="L45" s="66"/>
      <c r="M45" s="33">
        <f t="shared" si="20"/>
        <v>0</v>
      </c>
      <c r="N45" s="28">
        <f t="shared" si="21"/>
        <v>0</v>
      </c>
      <c r="O45" s="28">
        <f t="shared" si="21"/>
        <v>0</v>
      </c>
      <c r="P45" s="28">
        <f t="shared" si="21"/>
        <v>1</v>
      </c>
      <c r="Q45" s="28">
        <f t="shared" si="21"/>
        <v>0</v>
      </c>
      <c r="R45" s="28">
        <f t="shared" si="21"/>
        <v>0</v>
      </c>
      <c r="S45" s="28">
        <f t="shared" si="21"/>
        <v>0</v>
      </c>
      <c r="T45" s="28">
        <f t="shared" si="21"/>
        <v>0</v>
      </c>
      <c r="U45" s="28">
        <f t="shared" si="21"/>
        <v>0</v>
      </c>
      <c r="V45" s="28">
        <f t="shared" si="21"/>
        <v>0</v>
      </c>
      <c r="W45" s="28">
        <f t="shared" si="21"/>
        <v>0</v>
      </c>
      <c r="X45" s="28">
        <f t="shared" si="22"/>
        <v>0</v>
      </c>
      <c r="Y45" s="28">
        <f t="shared" si="22"/>
        <v>0</v>
      </c>
      <c r="Z45" s="28">
        <f t="shared" si="22"/>
        <v>0</v>
      </c>
      <c r="AA45" s="28">
        <f t="shared" si="22"/>
        <v>0</v>
      </c>
      <c r="AB45" s="28">
        <f t="shared" si="22"/>
        <v>0</v>
      </c>
      <c r="AC45" s="28">
        <f t="shared" si="22"/>
        <v>0</v>
      </c>
      <c r="AD45" s="28">
        <f t="shared" si="22"/>
        <v>0</v>
      </c>
      <c r="AE45" s="28">
        <f t="shared" si="22"/>
        <v>0</v>
      </c>
      <c r="AF45" s="28">
        <f t="shared" si="22"/>
        <v>0</v>
      </c>
      <c r="AG45" s="28">
        <f t="shared" si="22"/>
        <v>0</v>
      </c>
      <c r="AH45" s="28">
        <f t="shared" si="16"/>
        <v>1</v>
      </c>
    </row>
    <row r="46" spans="1:34" ht="10.5" x14ac:dyDescent="0.15">
      <c r="A46" s="895" t="s">
        <v>231</v>
      </c>
      <c r="B46" s="895" t="s">
        <v>232</v>
      </c>
      <c r="C46" s="900"/>
      <c r="D46" s="900">
        <v>9387263.8319834806</v>
      </c>
      <c r="E46" s="900"/>
      <c r="F46" s="900"/>
      <c r="G46" s="896"/>
      <c r="H46" s="896"/>
      <c r="I46" s="896"/>
      <c r="J46" s="896">
        <v>9387263.8319834806</v>
      </c>
      <c r="K46" s="24">
        <f t="shared" si="15"/>
        <v>2018</v>
      </c>
      <c r="L46" s="66"/>
      <c r="M46" s="33">
        <f t="shared" si="20"/>
        <v>0</v>
      </c>
      <c r="N46" s="28">
        <f t="shared" si="21"/>
        <v>0</v>
      </c>
      <c r="O46" s="28">
        <f t="shared" si="21"/>
        <v>0</v>
      </c>
      <c r="P46" s="28">
        <f t="shared" si="21"/>
        <v>0</v>
      </c>
      <c r="Q46" s="28">
        <f t="shared" si="21"/>
        <v>0</v>
      </c>
      <c r="R46" s="28">
        <f t="shared" si="21"/>
        <v>0</v>
      </c>
      <c r="S46" s="28">
        <f t="shared" si="21"/>
        <v>0</v>
      </c>
      <c r="T46" s="28">
        <f t="shared" si="21"/>
        <v>0</v>
      </c>
      <c r="U46" s="28">
        <f t="shared" si="21"/>
        <v>0</v>
      </c>
      <c r="V46" s="28">
        <f t="shared" si="21"/>
        <v>0</v>
      </c>
      <c r="W46" s="28">
        <f t="shared" si="21"/>
        <v>1</v>
      </c>
      <c r="X46" s="28">
        <f t="shared" si="22"/>
        <v>0</v>
      </c>
      <c r="Y46" s="28">
        <f t="shared" si="22"/>
        <v>0</v>
      </c>
      <c r="Z46" s="28">
        <f t="shared" si="22"/>
        <v>0</v>
      </c>
      <c r="AA46" s="28">
        <f t="shared" si="22"/>
        <v>0</v>
      </c>
      <c r="AB46" s="28">
        <f t="shared" si="22"/>
        <v>0</v>
      </c>
      <c r="AC46" s="28">
        <f t="shared" si="22"/>
        <v>0</v>
      </c>
      <c r="AD46" s="28">
        <f t="shared" si="22"/>
        <v>0</v>
      </c>
      <c r="AE46" s="28">
        <f t="shared" si="22"/>
        <v>0</v>
      </c>
      <c r="AF46" s="28">
        <f t="shared" si="22"/>
        <v>0</v>
      </c>
      <c r="AG46" s="28">
        <f t="shared" si="22"/>
        <v>0</v>
      </c>
      <c r="AH46" s="28">
        <f t="shared" si="16"/>
        <v>1</v>
      </c>
    </row>
    <row r="47" spans="1:34" ht="10.5" x14ac:dyDescent="0.15">
      <c r="A47" s="895" t="s">
        <v>233</v>
      </c>
      <c r="B47" s="895" t="s">
        <v>2299</v>
      </c>
      <c r="C47" s="896"/>
      <c r="D47" s="896"/>
      <c r="E47" s="896"/>
      <c r="F47" s="896">
        <v>1738842.5460576073</v>
      </c>
      <c r="G47" s="896"/>
      <c r="H47" s="896"/>
      <c r="I47" s="896"/>
      <c r="J47" s="896">
        <v>1738842.5460576073</v>
      </c>
      <c r="K47" s="24">
        <f t="shared" si="15"/>
        <v>2020</v>
      </c>
      <c r="L47" s="66"/>
      <c r="M47" s="33">
        <f t="shared" si="20"/>
        <v>310308.99999999988</v>
      </c>
      <c r="N47" s="28">
        <f t="shared" si="21"/>
        <v>0</v>
      </c>
      <c r="O47" s="28">
        <f t="shared" si="21"/>
        <v>0</v>
      </c>
      <c r="P47" s="28">
        <f t="shared" si="21"/>
        <v>0</v>
      </c>
      <c r="Q47" s="28">
        <f t="shared" si="21"/>
        <v>1</v>
      </c>
      <c r="R47" s="28">
        <f t="shared" si="21"/>
        <v>0</v>
      </c>
      <c r="S47" s="28">
        <f t="shared" si="21"/>
        <v>0</v>
      </c>
      <c r="T47" s="28">
        <f t="shared" si="21"/>
        <v>0</v>
      </c>
      <c r="U47" s="28">
        <f t="shared" si="21"/>
        <v>0</v>
      </c>
      <c r="V47" s="28">
        <f t="shared" si="21"/>
        <v>0</v>
      </c>
      <c r="W47" s="28">
        <f t="shared" si="21"/>
        <v>0</v>
      </c>
      <c r="X47" s="28">
        <f t="shared" si="22"/>
        <v>0</v>
      </c>
      <c r="Y47" s="28">
        <f t="shared" si="22"/>
        <v>0</v>
      </c>
      <c r="Z47" s="28">
        <f t="shared" si="22"/>
        <v>0</v>
      </c>
      <c r="AA47" s="28">
        <f t="shared" si="22"/>
        <v>0</v>
      </c>
      <c r="AB47" s="28">
        <f t="shared" si="22"/>
        <v>0</v>
      </c>
      <c r="AC47" s="28">
        <f t="shared" si="22"/>
        <v>0</v>
      </c>
      <c r="AD47" s="28">
        <f t="shared" si="22"/>
        <v>0</v>
      </c>
      <c r="AE47" s="28">
        <f t="shared" si="22"/>
        <v>0</v>
      </c>
      <c r="AF47" s="28">
        <f t="shared" si="22"/>
        <v>0</v>
      </c>
      <c r="AG47" s="28">
        <f t="shared" si="22"/>
        <v>0</v>
      </c>
      <c r="AH47" s="28">
        <f t="shared" si="16"/>
        <v>1</v>
      </c>
    </row>
    <row r="48" spans="1:34" ht="10.5" x14ac:dyDescent="0.15">
      <c r="A48" s="895" t="s">
        <v>234</v>
      </c>
      <c r="B48" s="895" t="s">
        <v>2374</v>
      </c>
      <c r="C48" s="896"/>
      <c r="D48" s="896">
        <v>1231363.9071773207</v>
      </c>
      <c r="E48" s="896"/>
      <c r="F48" s="896"/>
      <c r="G48" s="896"/>
      <c r="H48" s="896"/>
      <c r="I48" s="896"/>
      <c r="J48" s="896">
        <v>1231363.9071773207</v>
      </c>
      <c r="K48" s="24">
        <f t="shared" si="15"/>
        <v>2018</v>
      </c>
      <c r="L48" s="66"/>
      <c r="M48" s="33">
        <f t="shared" si="20"/>
        <v>1100000.0000000005</v>
      </c>
      <c r="N48" s="28">
        <f t="shared" si="21"/>
        <v>0</v>
      </c>
      <c r="O48" s="28">
        <f t="shared" si="21"/>
        <v>0</v>
      </c>
      <c r="P48" s="28">
        <f t="shared" si="21"/>
        <v>0</v>
      </c>
      <c r="Q48" s="28">
        <f t="shared" si="21"/>
        <v>1</v>
      </c>
      <c r="R48" s="28">
        <f t="shared" si="21"/>
        <v>0</v>
      </c>
      <c r="S48" s="28">
        <f t="shared" si="21"/>
        <v>0</v>
      </c>
      <c r="T48" s="28">
        <f t="shared" si="21"/>
        <v>0</v>
      </c>
      <c r="U48" s="28">
        <f t="shared" si="21"/>
        <v>0</v>
      </c>
      <c r="V48" s="28">
        <f t="shared" si="21"/>
        <v>0</v>
      </c>
      <c r="W48" s="28">
        <f t="shared" si="21"/>
        <v>0</v>
      </c>
      <c r="X48" s="28">
        <f t="shared" si="22"/>
        <v>0</v>
      </c>
      <c r="Y48" s="28">
        <f t="shared" si="22"/>
        <v>0</v>
      </c>
      <c r="Z48" s="28">
        <f t="shared" si="22"/>
        <v>0</v>
      </c>
      <c r="AA48" s="28">
        <f t="shared" si="22"/>
        <v>0</v>
      </c>
      <c r="AB48" s="28">
        <f t="shared" si="22"/>
        <v>0</v>
      </c>
      <c r="AC48" s="28">
        <f t="shared" si="22"/>
        <v>0</v>
      </c>
      <c r="AD48" s="28">
        <f t="shared" si="22"/>
        <v>0</v>
      </c>
      <c r="AE48" s="28">
        <f t="shared" si="22"/>
        <v>0</v>
      </c>
      <c r="AF48" s="28">
        <f t="shared" si="22"/>
        <v>0</v>
      </c>
      <c r="AG48" s="28">
        <f t="shared" si="22"/>
        <v>0</v>
      </c>
      <c r="AH48" s="28">
        <f t="shared" si="16"/>
        <v>1</v>
      </c>
    </row>
    <row r="49" spans="1:34" ht="10.5" x14ac:dyDescent="0.15">
      <c r="A49" s="895" t="s">
        <v>235</v>
      </c>
      <c r="B49" s="895" t="s">
        <v>236</v>
      </c>
      <c r="C49" s="896"/>
      <c r="D49" s="896">
        <v>3714443.5844790796</v>
      </c>
      <c r="E49" s="896"/>
      <c r="F49" s="896"/>
      <c r="G49" s="896"/>
      <c r="H49" s="896"/>
      <c r="I49" s="896"/>
      <c r="J49" s="896">
        <v>3714443.5844790796</v>
      </c>
      <c r="K49" s="24">
        <f t="shared" si="15"/>
        <v>2018</v>
      </c>
      <c r="L49" s="66"/>
      <c r="M49" s="33">
        <f t="shared" si="20"/>
        <v>0</v>
      </c>
      <c r="N49" s="28">
        <f t="shared" ref="N49:W58" si="23">IF($M49=0,VLOOKUP(MID($A49,4,5),ProjectSplits,N$2,FALSE),IF(ISNA(VLOOKUP(LEFT($A49,8),Estimates,N$1,FALSE)),VLOOKUP(MID($A49,4,5),ProjectSplits,N$2,FALSE),VLOOKUP(LEFT($A49,8),Estimates,N$1,FALSE)))</f>
        <v>0</v>
      </c>
      <c r="O49" s="28">
        <f t="shared" si="23"/>
        <v>0</v>
      </c>
      <c r="P49" s="28">
        <f t="shared" si="23"/>
        <v>0</v>
      </c>
      <c r="Q49" s="28">
        <f t="shared" si="23"/>
        <v>0</v>
      </c>
      <c r="R49" s="28">
        <f t="shared" si="23"/>
        <v>0</v>
      </c>
      <c r="S49" s="28">
        <f t="shared" si="23"/>
        <v>0</v>
      </c>
      <c r="T49" s="28">
        <f t="shared" si="23"/>
        <v>0</v>
      </c>
      <c r="U49" s="28">
        <f t="shared" si="23"/>
        <v>1</v>
      </c>
      <c r="V49" s="28">
        <f t="shared" si="23"/>
        <v>0</v>
      </c>
      <c r="W49" s="28">
        <f t="shared" si="23"/>
        <v>0</v>
      </c>
      <c r="X49" s="28">
        <f t="shared" ref="X49:AG58" si="24">IF($M49=0,VLOOKUP(MID($A49,4,5),ProjectSplits,X$2,FALSE),IF(ISNA(VLOOKUP(LEFT($A49,8),Estimates,X$1,FALSE)),VLOOKUP(MID($A49,4,5),ProjectSplits,X$2,FALSE),VLOOKUP(LEFT($A49,8),Estimates,X$1,FALSE)))</f>
        <v>0</v>
      </c>
      <c r="Y49" s="28">
        <f t="shared" si="24"/>
        <v>0</v>
      </c>
      <c r="Z49" s="28">
        <f t="shared" si="24"/>
        <v>0</v>
      </c>
      <c r="AA49" s="28">
        <f t="shared" si="24"/>
        <v>0</v>
      </c>
      <c r="AB49" s="28">
        <f t="shared" si="24"/>
        <v>0</v>
      </c>
      <c r="AC49" s="28">
        <f t="shared" si="24"/>
        <v>0</v>
      </c>
      <c r="AD49" s="28">
        <f t="shared" si="24"/>
        <v>0</v>
      </c>
      <c r="AE49" s="28">
        <f t="shared" si="24"/>
        <v>0</v>
      </c>
      <c r="AF49" s="28">
        <f t="shared" si="24"/>
        <v>0</v>
      </c>
      <c r="AG49" s="28">
        <f t="shared" si="24"/>
        <v>0</v>
      </c>
      <c r="AH49" s="28">
        <f t="shared" si="16"/>
        <v>1</v>
      </c>
    </row>
    <row r="50" spans="1:34" ht="10.5" x14ac:dyDescent="0.15">
      <c r="A50" s="895" t="s">
        <v>239</v>
      </c>
      <c r="B50" s="895" t="s">
        <v>240</v>
      </c>
      <c r="C50" s="896">
        <v>24938.217939001832</v>
      </c>
      <c r="D50" s="896"/>
      <c r="E50" s="896"/>
      <c r="F50" s="896"/>
      <c r="G50" s="896"/>
      <c r="H50" s="896"/>
      <c r="I50" s="896"/>
      <c r="J50" s="896">
        <v>24938.217939001832</v>
      </c>
      <c r="K50" s="24">
        <f t="shared" si="15"/>
        <v>2017</v>
      </c>
      <c r="L50" s="66"/>
      <c r="M50" s="33">
        <f>IF(K50=2017,0,IF(ISNA(VLOOKUP(LEFT($A50,8),Estimates,72,FALSE)),0,VLOOKUP(LEFT($A50,8),Estimates,72,FALSE)))</f>
        <v>0</v>
      </c>
      <c r="N50" s="28">
        <f t="shared" si="23"/>
        <v>1</v>
      </c>
      <c r="O50" s="28">
        <f t="shared" si="23"/>
        <v>0</v>
      </c>
      <c r="P50" s="28">
        <f t="shared" si="23"/>
        <v>0</v>
      </c>
      <c r="Q50" s="28">
        <f t="shared" si="23"/>
        <v>0</v>
      </c>
      <c r="R50" s="28">
        <f t="shared" si="23"/>
        <v>0</v>
      </c>
      <c r="S50" s="28">
        <f t="shared" si="23"/>
        <v>0</v>
      </c>
      <c r="T50" s="28">
        <f t="shared" si="23"/>
        <v>0</v>
      </c>
      <c r="U50" s="28">
        <f t="shared" si="23"/>
        <v>0</v>
      </c>
      <c r="V50" s="28">
        <f t="shared" si="23"/>
        <v>0</v>
      </c>
      <c r="W50" s="28">
        <f t="shared" si="23"/>
        <v>0</v>
      </c>
      <c r="X50" s="28">
        <f t="shared" si="24"/>
        <v>0</v>
      </c>
      <c r="Y50" s="28">
        <f t="shared" si="24"/>
        <v>0</v>
      </c>
      <c r="Z50" s="28">
        <f t="shared" si="24"/>
        <v>0</v>
      </c>
      <c r="AA50" s="28">
        <f t="shared" si="24"/>
        <v>0</v>
      </c>
      <c r="AB50" s="28">
        <f t="shared" si="24"/>
        <v>0</v>
      </c>
      <c r="AC50" s="28">
        <f t="shared" si="24"/>
        <v>0</v>
      </c>
      <c r="AD50" s="28">
        <f t="shared" si="24"/>
        <v>0</v>
      </c>
      <c r="AE50" s="28">
        <f t="shared" si="24"/>
        <v>0</v>
      </c>
      <c r="AF50" s="28">
        <f t="shared" si="24"/>
        <v>0</v>
      </c>
      <c r="AG50" s="28">
        <f t="shared" si="24"/>
        <v>0</v>
      </c>
      <c r="AH50" s="28">
        <f t="shared" si="16"/>
        <v>1</v>
      </c>
    </row>
    <row r="51" spans="1:34" ht="10.5" x14ac:dyDescent="0.15">
      <c r="A51" s="895" t="s">
        <v>241</v>
      </c>
      <c r="B51" s="895" t="s">
        <v>242</v>
      </c>
      <c r="C51" s="896"/>
      <c r="D51" s="896"/>
      <c r="E51" s="896">
        <v>8366640.8804626651</v>
      </c>
      <c r="F51" s="896"/>
      <c r="G51" s="896"/>
      <c r="H51" s="896"/>
      <c r="I51" s="896"/>
      <c r="J51" s="896">
        <v>8366640.8804626651</v>
      </c>
      <c r="K51" s="24">
        <f t="shared" si="15"/>
        <v>2019</v>
      </c>
      <c r="L51" s="66"/>
      <c r="M51" s="33">
        <f>IF(ISNA(VLOOKUP(LEFT($A51,8),Estimates,72,FALSE)),0,VLOOKUP(LEFT($A51,8),Estimates,72,FALSE))</f>
        <v>0</v>
      </c>
      <c r="N51" s="28">
        <f t="shared" si="23"/>
        <v>0</v>
      </c>
      <c r="O51" s="28">
        <f t="shared" si="23"/>
        <v>8.9915906972427545E-2</v>
      </c>
      <c r="P51" s="28">
        <f t="shared" si="23"/>
        <v>0.91008409302757254</v>
      </c>
      <c r="Q51" s="28">
        <f t="shared" si="23"/>
        <v>0</v>
      </c>
      <c r="R51" s="28">
        <f t="shared" si="23"/>
        <v>0</v>
      </c>
      <c r="S51" s="28">
        <f t="shared" si="23"/>
        <v>0</v>
      </c>
      <c r="T51" s="28">
        <f t="shared" si="23"/>
        <v>0</v>
      </c>
      <c r="U51" s="28">
        <f t="shared" si="23"/>
        <v>0</v>
      </c>
      <c r="V51" s="28">
        <f t="shared" si="23"/>
        <v>0</v>
      </c>
      <c r="W51" s="28">
        <f t="shared" si="23"/>
        <v>0</v>
      </c>
      <c r="X51" s="28">
        <f t="shared" si="24"/>
        <v>0</v>
      </c>
      <c r="Y51" s="28">
        <f t="shared" si="24"/>
        <v>0</v>
      </c>
      <c r="Z51" s="28">
        <f t="shared" si="24"/>
        <v>0</v>
      </c>
      <c r="AA51" s="28">
        <f t="shared" si="24"/>
        <v>0</v>
      </c>
      <c r="AB51" s="28">
        <f t="shared" si="24"/>
        <v>0</v>
      </c>
      <c r="AC51" s="28">
        <f t="shared" si="24"/>
        <v>0</v>
      </c>
      <c r="AD51" s="28">
        <f t="shared" si="24"/>
        <v>0</v>
      </c>
      <c r="AE51" s="28">
        <f t="shared" si="24"/>
        <v>0</v>
      </c>
      <c r="AF51" s="28">
        <f t="shared" si="24"/>
        <v>0</v>
      </c>
      <c r="AG51" s="28">
        <f t="shared" si="24"/>
        <v>0</v>
      </c>
      <c r="AH51" s="28">
        <f t="shared" si="16"/>
        <v>1</v>
      </c>
    </row>
    <row r="52" spans="1:34" ht="10.5" x14ac:dyDescent="0.15">
      <c r="A52" s="895" t="s">
        <v>243</v>
      </c>
      <c r="B52" s="895" t="s">
        <v>244</v>
      </c>
      <c r="C52" s="896"/>
      <c r="D52" s="896"/>
      <c r="E52" s="896"/>
      <c r="F52" s="896">
        <v>14703700.200424494</v>
      </c>
      <c r="G52" s="896"/>
      <c r="H52" s="896"/>
      <c r="I52" s="896"/>
      <c r="J52" s="896">
        <v>14703700.200424494</v>
      </c>
      <c r="K52" s="24">
        <f t="shared" si="15"/>
        <v>2020</v>
      </c>
      <c r="L52" s="66"/>
      <c r="M52" s="33">
        <f>IF(ISNA(VLOOKUP(LEFT($A52,8),Estimates,72,FALSE)),0,VLOOKUP(LEFT($A52,8),Estimates,72,FALSE))</f>
        <v>0</v>
      </c>
      <c r="N52" s="28">
        <f t="shared" si="23"/>
        <v>0</v>
      </c>
      <c r="O52" s="28">
        <f t="shared" si="23"/>
        <v>8.9915906972427545E-2</v>
      </c>
      <c r="P52" s="28">
        <f t="shared" si="23"/>
        <v>0.91008409302757254</v>
      </c>
      <c r="Q52" s="28">
        <f t="shared" si="23"/>
        <v>0</v>
      </c>
      <c r="R52" s="28">
        <f t="shared" si="23"/>
        <v>0</v>
      </c>
      <c r="S52" s="28">
        <f t="shared" si="23"/>
        <v>0</v>
      </c>
      <c r="T52" s="28">
        <f t="shared" si="23"/>
        <v>0</v>
      </c>
      <c r="U52" s="28">
        <f t="shared" si="23"/>
        <v>0</v>
      </c>
      <c r="V52" s="28">
        <f t="shared" si="23"/>
        <v>0</v>
      </c>
      <c r="W52" s="28">
        <f t="shared" si="23"/>
        <v>0</v>
      </c>
      <c r="X52" s="28">
        <f t="shared" si="24"/>
        <v>0</v>
      </c>
      <c r="Y52" s="28">
        <f t="shared" si="24"/>
        <v>0</v>
      </c>
      <c r="Z52" s="28">
        <f t="shared" si="24"/>
        <v>0</v>
      </c>
      <c r="AA52" s="28">
        <f t="shared" si="24"/>
        <v>0</v>
      </c>
      <c r="AB52" s="28">
        <f t="shared" si="24"/>
        <v>0</v>
      </c>
      <c r="AC52" s="28">
        <f t="shared" si="24"/>
        <v>0</v>
      </c>
      <c r="AD52" s="28">
        <f t="shared" si="24"/>
        <v>0</v>
      </c>
      <c r="AE52" s="28">
        <f t="shared" si="24"/>
        <v>0</v>
      </c>
      <c r="AF52" s="28">
        <f t="shared" si="24"/>
        <v>0</v>
      </c>
      <c r="AG52" s="28">
        <f t="shared" si="24"/>
        <v>0</v>
      </c>
      <c r="AH52" s="28">
        <f t="shared" si="16"/>
        <v>1</v>
      </c>
    </row>
    <row r="53" spans="1:34" ht="10.5" x14ac:dyDescent="0.15">
      <c r="A53" s="895" t="s">
        <v>245</v>
      </c>
      <c r="B53" s="895" t="s">
        <v>246</v>
      </c>
      <c r="C53" s="896"/>
      <c r="D53" s="896">
        <v>12586711.718114354</v>
      </c>
      <c r="E53" s="896"/>
      <c r="F53" s="896"/>
      <c r="G53" s="896"/>
      <c r="H53" s="896"/>
      <c r="I53" s="896"/>
      <c r="J53" s="896">
        <v>12586711.718114354</v>
      </c>
      <c r="K53" s="24">
        <f t="shared" si="15"/>
        <v>2018</v>
      </c>
      <c r="L53" s="66"/>
      <c r="M53" s="33">
        <f>IF(ISNA(VLOOKUP(LEFT($A53,8),Estimates,72,FALSE)),0,VLOOKUP(LEFT($A53,8),Estimates,72,FALSE))</f>
        <v>0</v>
      </c>
      <c r="N53" s="28">
        <f t="shared" si="23"/>
        <v>0</v>
      </c>
      <c r="O53" s="28">
        <f t="shared" si="23"/>
        <v>0</v>
      </c>
      <c r="P53" s="28">
        <f t="shared" si="23"/>
        <v>0</v>
      </c>
      <c r="Q53" s="28">
        <f t="shared" si="23"/>
        <v>0</v>
      </c>
      <c r="R53" s="28">
        <f t="shared" si="23"/>
        <v>0</v>
      </c>
      <c r="S53" s="28">
        <f t="shared" si="23"/>
        <v>1</v>
      </c>
      <c r="T53" s="28">
        <f t="shared" si="23"/>
        <v>0</v>
      </c>
      <c r="U53" s="28">
        <f t="shared" si="23"/>
        <v>0</v>
      </c>
      <c r="V53" s="28">
        <f t="shared" si="23"/>
        <v>0</v>
      </c>
      <c r="W53" s="28">
        <f t="shared" si="23"/>
        <v>0</v>
      </c>
      <c r="X53" s="28">
        <f t="shared" si="24"/>
        <v>0</v>
      </c>
      <c r="Y53" s="28">
        <f t="shared" si="24"/>
        <v>0</v>
      </c>
      <c r="Z53" s="28">
        <f t="shared" si="24"/>
        <v>0</v>
      </c>
      <c r="AA53" s="28">
        <f t="shared" si="24"/>
        <v>0</v>
      </c>
      <c r="AB53" s="28">
        <f t="shared" si="24"/>
        <v>0</v>
      </c>
      <c r="AC53" s="28">
        <f t="shared" si="24"/>
        <v>0</v>
      </c>
      <c r="AD53" s="28">
        <f t="shared" si="24"/>
        <v>0</v>
      </c>
      <c r="AE53" s="28">
        <f t="shared" si="24"/>
        <v>0</v>
      </c>
      <c r="AF53" s="28">
        <f t="shared" si="24"/>
        <v>0</v>
      </c>
      <c r="AG53" s="28">
        <f t="shared" si="24"/>
        <v>0</v>
      </c>
      <c r="AH53" s="28">
        <f t="shared" si="16"/>
        <v>1</v>
      </c>
    </row>
    <row r="54" spans="1:34" ht="10.5" x14ac:dyDescent="0.15">
      <c r="A54" s="895" t="s">
        <v>248</v>
      </c>
      <c r="B54" s="895" t="s">
        <v>249</v>
      </c>
      <c r="C54" s="896"/>
      <c r="D54" s="900"/>
      <c r="E54" s="900"/>
      <c r="F54" s="900">
        <v>1554670.3923351693</v>
      </c>
      <c r="G54" s="896"/>
      <c r="H54" s="896"/>
      <c r="I54" s="896"/>
      <c r="J54" s="896">
        <v>1554670.3923351693</v>
      </c>
      <c r="K54" s="24">
        <f t="shared" si="15"/>
        <v>2020</v>
      </c>
      <c r="L54" s="66"/>
      <c r="M54" s="33">
        <f>IF(ISNA(VLOOKUP(LEFT($A54,8),Estimates,72,FALSE)),0,VLOOKUP(LEFT($A54,8),Estimates,72,FALSE))</f>
        <v>2310800.0300158872</v>
      </c>
      <c r="N54" s="28">
        <f t="shared" si="23"/>
        <v>0</v>
      </c>
      <c r="O54" s="28">
        <f t="shared" si="23"/>
        <v>0</v>
      </c>
      <c r="P54" s="28">
        <f t="shared" si="23"/>
        <v>0</v>
      </c>
      <c r="Q54" s="28">
        <f t="shared" si="23"/>
        <v>0.36783797341138008</v>
      </c>
      <c r="R54" s="28">
        <f t="shared" si="23"/>
        <v>0</v>
      </c>
      <c r="S54" s="28">
        <f t="shared" si="23"/>
        <v>0</v>
      </c>
      <c r="T54" s="28">
        <f t="shared" si="23"/>
        <v>0</v>
      </c>
      <c r="U54" s="28">
        <f t="shared" si="23"/>
        <v>0</v>
      </c>
      <c r="V54" s="28">
        <f t="shared" si="23"/>
        <v>0</v>
      </c>
      <c r="W54" s="28">
        <f t="shared" si="23"/>
        <v>0</v>
      </c>
      <c r="X54" s="28">
        <f t="shared" si="24"/>
        <v>0</v>
      </c>
      <c r="Y54" s="28">
        <f t="shared" si="24"/>
        <v>0</v>
      </c>
      <c r="Z54" s="28">
        <f t="shared" si="24"/>
        <v>0</v>
      </c>
      <c r="AA54" s="28">
        <f t="shared" si="24"/>
        <v>0</v>
      </c>
      <c r="AB54" s="28">
        <f t="shared" si="24"/>
        <v>0.63216202658861986</v>
      </c>
      <c r="AC54" s="28">
        <f t="shared" si="24"/>
        <v>0</v>
      </c>
      <c r="AD54" s="28">
        <f t="shared" si="24"/>
        <v>0</v>
      </c>
      <c r="AE54" s="28">
        <f t="shared" si="24"/>
        <v>0</v>
      </c>
      <c r="AF54" s="28">
        <f t="shared" si="24"/>
        <v>0</v>
      </c>
      <c r="AG54" s="28">
        <f t="shared" si="24"/>
        <v>0</v>
      </c>
      <c r="AH54" s="28">
        <f t="shared" si="16"/>
        <v>1</v>
      </c>
    </row>
    <row r="55" spans="1:34" ht="10.5" x14ac:dyDescent="0.15">
      <c r="A55" s="895" t="s">
        <v>250</v>
      </c>
      <c r="B55" s="895" t="s">
        <v>251</v>
      </c>
      <c r="C55" s="896"/>
      <c r="D55" s="900"/>
      <c r="E55" s="900">
        <v>1224178.3388495583</v>
      </c>
      <c r="F55" s="900"/>
      <c r="G55" s="896"/>
      <c r="H55" s="896"/>
      <c r="I55" s="896"/>
      <c r="J55" s="896">
        <v>1224178.3388495583</v>
      </c>
      <c r="K55" s="24">
        <f t="shared" si="15"/>
        <v>2019</v>
      </c>
      <c r="L55" s="66"/>
      <c r="M55" s="33">
        <f>IF(ISNA(VLOOKUP(LEFT($A55,8),Estimates,72,FALSE)),0,VLOOKUP(LEFT($A55,8),Estimates,72,FALSE))</f>
        <v>2282535.557429288</v>
      </c>
      <c r="N55" s="28">
        <f t="shared" si="23"/>
        <v>0</v>
      </c>
      <c r="O55" s="28">
        <f t="shared" si="23"/>
        <v>0</v>
      </c>
      <c r="P55" s="28">
        <f t="shared" si="23"/>
        <v>0.26286556542595613</v>
      </c>
      <c r="Q55" s="28">
        <f t="shared" si="23"/>
        <v>0.21905463788836929</v>
      </c>
      <c r="R55" s="28">
        <f t="shared" si="23"/>
        <v>0</v>
      </c>
      <c r="S55" s="28">
        <f t="shared" si="23"/>
        <v>1.0952731894418465E-2</v>
      </c>
      <c r="T55" s="28">
        <f t="shared" si="23"/>
        <v>0</v>
      </c>
      <c r="U55" s="28">
        <f t="shared" si="23"/>
        <v>0</v>
      </c>
      <c r="V55" s="28">
        <f t="shared" si="23"/>
        <v>0</v>
      </c>
      <c r="W55" s="28">
        <f t="shared" si="23"/>
        <v>0.1655332537889285</v>
      </c>
      <c r="X55" s="28">
        <f t="shared" si="24"/>
        <v>0</v>
      </c>
      <c r="Y55" s="28">
        <f t="shared" si="24"/>
        <v>3.2858195683255391E-3</v>
      </c>
      <c r="Z55" s="28">
        <f t="shared" si="24"/>
        <v>0</v>
      </c>
      <c r="AA55" s="28">
        <f t="shared" si="24"/>
        <v>0</v>
      </c>
      <c r="AB55" s="28">
        <f t="shared" si="24"/>
        <v>0.33830799143400192</v>
      </c>
      <c r="AC55" s="28">
        <f t="shared" si="24"/>
        <v>0</v>
      </c>
      <c r="AD55" s="28">
        <f t="shared" si="24"/>
        <v>0</v>
      </c>
      <c r="AE55" s="28">
        <f t="shared" si="24"/>
        <v>0</v>
      </c>
      <c r="AF55" s="28">
        <f t="shared" si="24"/>
        <v>0</v>
      </c>
      <c r="AG55" s="28">
        <f t="shared" si="24"/>
        <v>0</v>
      </c>
      <c r="AH55" s="28">
        <f t="shared" si="16"/>
        <v>0.99999999999999978</v>
      </c>
    </row>
    <row r="56" spans="1:34" ht="10.5" x14ac:dyDescent="0.15">
      <c r="A56" s="895" t="s">
        <v>255</v>
      </c>
      <c r="B56" s="895" t="s">
        <v>256</v>
      </c>
      <c r="C56" s="896">
        <v>172996.06875231038</v>
      </c>
      <c r="D56" s="896"/>
      <c r="E56" s="896"/>
      <c r="F56" s="896"/>
      <c r="G56" s="896"/>
      <c r="H56" s="896"/>
      <c r="I56" s="896"/>
      <c r="J56" s="896">
        <v>172996.06875231038</v>
      </c>
      <c r="K56" s="24">
        <f t="shared" si="15"/>
        <v>2017</v>
      </c>
      <c r="L56" s="66"/>
      <c r="M56" s="33">
        <f>IF(K56=2017,0,IF(ISNA(VLOOKUP(LEFT($A56,8),Estimates,72,FALSE)),0,VLOOKUP(LEFT($A56,8),Estimates,72,FALSE)))</f>
        <v>0</v>
      </c>
      <c r="N56" s="28">
        <f t="shared" si="23"/>
        <v>1</v>
      </c>
      <c r="O56" s="28">
        <f t="shared" si="23"/>
        <v>0</v>
      </c>
      <c r="P56" s="28">
        <f t="shared" si="23"/>
        <v>0</v>
      </c>
      <c r="Q56" s="28">
        <f t="shared" si="23"/>
        <v>0</v>
      </c>
      <c r="R56" s="28">
        <f t="shared" si="23"/>
        <v>0</v>
      </c>
      <c r="S56" s="28">
        <f t="shared" si="23"/>
        <v>0</v>
      </c>
      <c r="T56" s="28">
        <f t="shared" si="23"/>
        <v>0</v>
      </c>
      <c r="U56" s="28">
        <f t="shared" si="23"/>
        <v>0</v>
      </c>
      <c r="V56" s="28">
        <f t="shared" si="23"/>
        <v>0</v>
      </c>
      <c r="W56" s="28">
        <f t="shared" si="23"/>
        <v>0</v>
      </c>
      <c r="X56" s="28">
        <f t="shared" si="24"/>
        <v>0</v>
      </c>
      <c r="Y56" s="28">
        <f t="shared" si="24"/>
        <v>0</v>
      </c>
      <c r="Z56" s="28">
        <f t="shared" si="24"/>
        <v>0</v>
      </c>
      <c r="AA56" s="28">
        <f t="shared" si="24"/>
        <v>0</v>
      </c>
      <c r="AB56" s="28">
        <f t="shared" si="24"/>
        <v>0</v>
      </c>
      <c r="AC56" s="28">
        <f t="shared" si="24"/>
        <v>0</v>
      </c>
      <c r="AD56" s="28">
        <f t="shared" si="24"/>
        <v>0</v>
      </c>
      <c r="AE56" s="28">
        <f t="shared" si="24"/>
        <v>0</v>
      </c>
      <c r="AF56" s="28">
        <f t="shared" si="24"/>
        <v>0</v>
      </c>
      <c r="AG56" s="28">
        <f t="shared" si="24"/>
        <v>0</v>
      </c>
      <c r="AH56" s="28">
        <f t="shared" si="16"/>
        <v>1</v>
      </c>
    </row>
    <row r="57" spans="1:34" ht="10.5" x14ac:dyDescent="0.15">
      <c r="A57" s="895" t="s">
        <v>258</v>
      </c>
      <c r="B57" s="895" t="s">
        <v>259</v>
      </c>
      <c r="C57" s="896"/>
      <c r="D57" s="896">
        <v>516050.00517711887</v>
      </c>
      <c r="E57" s="896"/>
      <c r="F57" s="896"/>
      <c r="G57" s="896"/>
      <c r="H57" s="896"/>
      <c r="I57" s="896"/>
      <c r="J57" s="896">
        <v>516050.00517711887</v>
      </c>
      <c r="K57" s="24">
        <f t="shared" si="15"/>
        <v>2018</v>
      </c>
      <c r="L57" s="66"/>
      <c r="M57" s="33">
        <f>IF(ISNA(VLOOKUP(LEFT($A57,8),Estimates,72,FALSE)),0,VLOOKUP(LEFT($A57,8),Estimates,72,FALSE))</f>
        <v>178838.00000000006</v>
      </c>
      <c r="N57" s="28">
        <f t="shared" si="23"/>
        <v>0</v>
      </c>
      <c r="O57" s="28">
        <f t="shared" si="23"/>
        <v>0</v>
      </c>
      <c r="P57" s="28">
        <f t="shared" si="23"/>
        <v>0</v>
      </c>
      <c r="Q57" s="28">
        <f t="shared" si="23"/>
        <v>1</v>
      </c>
      <c r="R57" s="28">
        <f t="shared" si="23"/>
        <v>0</v>
      </c>
      <c r="S57" s="28">
        <f t="shared" si="23"/>
        <v>0</v>
      </c>
      <c r="T57" s="28">
        <f t="shared" si="23"/>
        <v>0</v>
      </c>
      <c r="U57" s="28">
        <f t="shared" si="23"/>
        <v>0</v>
      </c>
      <c r="V57" s="28">
        <f t="shared" si="23"/>
        <v>0</v>
      </c>
      <c r="W57" s="28">
        <f t="shared" si="23"/>
        <v>0</v>
      </c>
      <c r="X57" s="28">
        <f t="shared" si="24"/>
        <v>0</v>
      </c>
      <c r="Y57" s="28">
        <f t="shared" si="24"/>
        <v>0</v>
      </c>
      <c r="Z57" s="28">
        <f t="shared" si="24"/>
        <v>0</v>
      </c>
      <c r="AA57" s="28">
        <f t="shared" si="24"/>
        <v>0</v>
      </c>
      <c r="AB57" s="28">
        <f t="shared" si="24"/>
        <v>0</v>
      </c>
      <c r="AC57" s="28">
        <f t="shared" si="24"/>
        <v>0</v>
      </c>
      <c r="AD57" s="28">
        <f t="shared" si="24"/>
        <v>0</v>
      </c>
      <c r="AE57" s="28">
        <f t="shared" si="24"/>
        <v>0</v>
      </c>
      <c r="AF57" s="28">
        <f t="shared" si="24"/>
        <v>0</v>
      </c>
      <c r="AG57" s="28">
        <f t="shared" si="24"/>
        <v>0</v>
      </c>
      <c r="AH57" s="28">
        <f t="shared" si="16"/>
        <v>1</v>
      </c>
    </row>
    <row r="58" spans="1:34" ht="10.5" x14ac:dyDescent="0.15">
      <c r="A58" s="895" t="s">
        <v>260</v>
      </c>
      <c r="B58" s="895" t="s">
        <v>261</v>
      </c>
      <c r="C58" s="896"/>
      <c r="D58" s="896">
        <v>2500012.0265142107</v>
      </c>
      <c r="E58" s="896"/>
      <c r="F58" s="896"/>
      <c r="G58" s="896"/>
      <c r="H58" s="896"/>
      <c r="I58" s="896"/>
      <c r="J58" s="896">
        <v>2500012.0265142107</v>
      </c>
      <c r="K58" s="24">
        <f t="shared" si="15"/>
        <v>2018</v>
      </c>
      <c r="L58" s="66"/>
      <c r="M58" s="33">
        <f>IF(ISNA(VLOOKUP(LEFT($A58,8),Estimates,72,FALSE)),0,VLOOKUP(LEFT($A58,8),Estimates,72,FALSE))</f>
        <v>0</v>
      </c>
      <c r="N58" s="28">
        <f t="shared" si="23"/>
        <v>0</v>
      </c>
      <c r="O58" s="28">
        <f t="shared" si="23"/>
        <v>0</v>
      </c>
      <c r="P58" s="28">
        <f t="shared" si="23"/>
        <v>0</v>
      </c>
      <c r="Q58" s="28">
        <f t="shared" si="23"/>
        <v>0</v>
      </c>
      <c r="R58" s="28">
        <f t="shared" si="23"/>
        <v>0</v>
      </c>
      <c r="S58" s="28">
        <f t="shared" si="23"/>
        <v>0</v>
      </c>
      <c r="T58" s="28">
        <f t="shared" si="23"/>
        <v>0</v>
      </c>
      <c r="U58" s="28">
        <f t="shared" si="23"/>
        <v>0</v>
      </c>
      <c r="V58" s="28">
        <f t="shared" si="23"/>
        <v>0</v>
      </c>
      <c r="W58" s="28">
        <f t="shared" si="23"/>
        <v>0</v>
      </c>
      <c r="X58" s="28">
        <f t="shared" si="24"/>
        <v>0</v>
      </c>
      <c r="Y58" s="28">
        <f t="shared" si="24"/>
        <v>1</v>
      </c>
      <c r="Z58" s="28">
        <f t="shared" si="24"/>
        <v>0</v>
      </c>
      <c r="AA58" s="28">
        <f t="shared" si="24"/>
        <v>0</v>
      </c>
      <c r="AB58" s="28">
        <f t="shared" si="24"/>
        <v>0</v>
      </c>
      <c r="AC58" s="28">
        <f t="shared" si="24"/>
        <v>0</v>
      </c>
      <c r="AD58" s="28">
        <f t="shared" si="24"/>
        <v>0</v>
      </c>
      <c r="AE58" s="28">
        <f t="shared" si="24"/>
        <v>0</v>
      </c>
      <c r="AF58" s="28">
        <f t="shared" si="24"/>
        <v>0</v>
      </c>
      <c r="AG58" s="28">
        <f t="shared" si="24"/>
        <v>0</v>
      </c>
      <c r="AH58" s="28">
        <f t="shared" si="16"/>
        <v>1</v>
      </c>
    </row>
    <row r="59" spans="1:34" ht="10.5" x14ac:dyDescent="0.15">
      <c r="A59" s="895" t="s">
        <v>262</v>
      </c>
      <c r="B59" s="895" t="s">
        <v>263</v>
      </c>
      <c r="C59" s="896"/>
      <c r="D59" s="896">
        <v>784775.42328309559</v>
      </c>
      <c r="E59" s="896"/>
      <c r="F59" s="896"/>
      <c r="G59" s="896"/>
      <c r="H59" s="896"/>
      <c r="I59" s="896"/>
      <c r="J59" s="896">
        <v>784775.42328309559</v>
      </c>
      <c r="K59" s="24">
        <f t="shared" si="15"/>
        <v>2018</v>
      </c>
      <c r="L59" s="66"/>
      <c r="M59" s="33">
        <f>IF(ISNA(VLOOKUP(LEFT($A59,8),Estimates,72,FALSE)),0,VLOOKUP(LEFT($A59,8),Estimates,72,FALSE))</f>
        <v>840105.00000000047</v>
      </c>
      <c r="N59" s="28">
        <f t="shared" ref="N59:W68" si="25">IF($M59=0,VLOOKUP(MID($A59,4,5),ProjectSplits,N$2,FALSE),IF(ISNA(VLOOKUP(LEFT($A59,8),Estimates,N$1,FALSE)),VLOOKUP(MID($A59,4,5),ProjectSplits,N$2,FALSE),VLOOKUP(LEFT($A59,8),Estimates,N$1,FALSE)))</f>
        <v>0</v>
      </c>
      <c r="O59" s="28">
        <f t="shared" si="25"/>
        <v>0</v>
      </c>
      <c r="P59" s="28">
        <f t="shared" si="25"/>
        <v>0</v>
      </c>
      <c r="Q59" s="28">
        <f t="shared" si="25"/>
        <v>0</v>
      </c>
      <c r="R59" s="28">
        <f t="shared" si="25"/>
        <v>0</v>
      </c>
      <c r="S59" s="28">
        <f t="shared" si="25"/>
        <v>0</v>
      </c>
      <c r="T59" s="28">
        <f t="shared" si="25"/>
        <v>0</v>
      </c>
      <c r="U59" s="28">
        <f t="shared" si="25"/>
        <v>0</v>
      </c>
      <c r="V59" s="28">
        <f t="shared" si="25"/>
        <v>0</v>
      </c>
      <c r="W59" s="28">
        <f t="shared" si="25"/>
        <v>0</v>
      </c>
      <c r="X59" s="28">
        <f t="shared" ref="X59:AG68" si="26">IF($M59=0,VLOOKUP(MID($A59,4,5),ProjectSplits,X$2,FALSE),IF(ISNA(VLOOKUP(LEFT($A59,8),Estimates,X$1,FALSE)),VLOOKUP(MID($A59,4,5),ProjectSplits,X$2,FALSE),VLOOKUP(LEFT($A59,8),Estimates,X$1,FALSE)))</f>
        <v>0</v>
      </c>
      <c r="Y59" s="28">
        <f t="shared" si="26"/>
        <v>1</v>
      </c>
      <c r="Z59" s="28">
        <f t="shared" si="26"/>
        <v>0</v>
      </c>
      <c r="AA59" s="28">
        <f t="shared" si="26"/>
        <v>0</v>
      </c>
      <c r="AB59" s="28">
        <f t="shared" si="26"/>
        <v>0</v>
      </c>
      <c r="AC59" s="28">
        <f t="shared" si="26"/>
        <v>0</v>
      </c>
      <c r="AD59" s="28">
        <f t="shared" si="26"/>
        <v>0</v>
      </c>
      <c r="AE59" s="28">
        <f t="shared" si="26"/>
        <v>0</v>
      </c>
      <c r="AF59" s="28">
        <f t="shared" si="26"/>
        <v>0</v>
      </c>
      <c r="AG59" s="28">
        <f t="shared" si="26"/>
        <v>0</v>
      </c>
      <c r="AH59" s="28">
        <f t="shared" si="16"/>
        <v>1</v>
      </c>
    </row>
    <row r="60" spans="1:34" ht="10.5" x14ac:dyDescent="0.15">
      <c r="A60" s="895" t="s">
        <v>264</v>
      </c>
      <c r="B60" s="895" t="s">
        <v>265</v>
      </c>
      <c r="C60" s="896"/>
      <c r="D60" s="896"/>
      <c r="E60" s="896"/>
      <c r="F60" s="896">
        <v>3184637.2012096997</v>
      </c>
      <c r="G60" s="896"/>
      <c r="H60" s="896"/>
      <c r="I60" s="896"/>
      <c r="J60" s="896">
        <v>3184637.2012096997</v>
      </c>
      <c r="K60" s="24">
        <f t="shared" si="15"/>
        <v>2020</v>
      </c>
      <c r="L60" s="66"/>
      <c r="M60" s="33">
        <f>IF(ISNA(VLOOKUP(LEFT($A60,8),Estimates,72,FALSE)),0,VLOOKUP(LEFT($A60,8),Estimates,72,FALSE))</f>
        <v>1602200.020020003</v>
      </c>
      <c r="N60" s="28">
        <f t="shared" si="25"/>
        <v>0</v>
      </c>
      <c r="O60" s="28">
        <f t="shared" si="25"/>
        <v>0</v>
      </c>
      <c r="P60" s="28">
        <f t="shared" si="25"/>
        <v>0</v>
      </c>
      <c r="Q60" s="28">
        <f t="shared" si="25"/>
        <v>0</v>
      </c>
      <c r="R60" s="28">
        <f t="shared" si="25"/>
        <v>0</v>
      </c>
      <c r="S60" s="28">
        <f t="shared" si="25"/>
        <v>0</v>
      </c>
      <c r="T60" s="28">
        <f t="shared" si="25"/>
        <v>0</v>
      </c>
      <c r="U60" s="28">
        <f t="shared" si="25"/>
        <v>0</v>
      </c>
      <c r="V60" s="28">
        <f t="shared" si="25"/>
        <v>0</v>
      </c>
      <c r="W60" s="28">
        <f t="shared" si="25"/>
        <v>0</v>
      </c>
      <c r="X60" s="28">
        <f t="shared" si="26"/>
        <v>0</v>
      </c>
      <c r="Y60" s="28">
        <f t="shared" si="26"/>
        <v>0</v>
      </c>
      <c r="Z60" s="28">
        <f t="shared" si="26"/>
        <v>0</v>
      </c>
      <c r="AA60" s="28">
        <f t="shared" si="26"/>
        <v>0</v>
      </c>
      <c r="AB60" s="28">
        <f t="shared" si="26"/>
        <v>1</v>
      </c>
      <c r="AC60" s="28">
        <f t="shared" si="26"/>
        <v>0</v>
      </c>
      <c r="AD60" s="28">
        <f t="shared" si="26"/>
        <v>0</v>
      </c>
      <c r="AE60" s="28">
        <f t="shared" si="26"/>
        <v>0</v>
      </c>
      <c r="AF60" s="28">
        <f t="shared" si="26"/>
        <v>0</v>
      </c>
      <c r="AG60" s="28">
        <f t="shared" si="26"/>
        <v>0</v>
      </c>
      <c r="AH60" s="28">
        <f t="shared" si="16"/>
        <v>1</v>
      </c>
    </row>
    <row r="61" spans="1:34" ht="10.5" x14ac:dyDescent="0.15">
      <c r="A61" s="895" t="s">
        <v>266</v>
      </c>
      <c r="B61" s="895" t="s">
        <v>267</v>
      </c>
      <c r="C61" s="896"/>
      <c r="D61" s="896"/>
      <c r="E61" s="896">
        <v>305388.89773474605</v>
      </c>
      <c r="F61" s="896"/>
      <c r="G61" s="896"/>
      <c r="H61" s="896"/>
      <c r="I61" s="896"/>
      <c r="J61" s="896">
        <v>305388.89773474605</v>
      </c>
      <c r="K61" s="24">
        <f t="shared" si="15"/>
        <v>2019</v>
      </c>
      <c r="L61" s="66"/>
      <c r="M61" s="33">
        <f>IF(ISNA(VLOOKUP(LEFT($A61,8),Estimates,72,FALSE)),0,VLOOKUP(LEFT($A61,8),Estimates,72,FALSE))</f>
        <v>0</v>
      </c>
      <c r="N61" s="28">
        <f t="shared" si="25"/>
        <v>0</v>
      </c>
      <c r="O61" s="28">
        <f t="shared" si="25"/>
        <v>0</v>
      </c>
      <c r="P61" s="28">
        <f t="shared" si="25"/>
        <v>0</v>
      </c>
      <c r="Q61" s="28">
        <f t="shared" si="25"/>
        <v>0</v>
      </c>
      <c r="R61" s="28">
        <f t="shared" si="25"/>
        <v>0</v>
      </c>
      <c r="S61" s="28">
        <f t="shared" si="25"/>
        <v>0</v>
      </c>
      <c r="T61" s="28">
        <f t="shared" si="25"/>
        <v>0</v>
      </c>
      <c r="U61" s="28">
        <f t="shared" si="25"/>
        <v>1</v>
      </c>
      <c r="V61" s="28">
        <f t="shared" si="25"/>
        <v>0</v>
      </c>
      <c r="W61" s="28">
        <f t="shared" si="25"/>
        <v>0</v>
      </c>
      <c r="X61" s="28">
        <f t="shared" si="26"/>
        <v>0</v>
      </c>
      <c r="Y61" s="28">
        <f t="shared" si="26"/>
        <v>0</v>
      </c>
      <c r="Z61" s="28">
        <f t="shared" si="26"/>
        <v>0</v>
      </c>
      <c r="AA61" s="28">
        <f t="shared" si="26"/>
        <v>0</v>
      </c>
      <c r="AB61" s="28">
        <f t="shared" si="26"/>
        <v>0</v>
      </c>
      <c r="AC61" s="28">
        <f t="shared" si="26"/>
        <v>0</v>
      </c>
      <c r="AD61" s="28">
        <f t="shared" si="26"/>
        <v>0</v>
      </c>
      <c r="AE61" s="28">
        <f t="shared" si="26"/>
        <v>0</v>
      </c>
      <c r="AF61" s="28">
        <f t="shared" si="26"/>
        <v>0</v>
      </c>
      <c r="AG61" s="28">
        <f t="shared" si="26"/>
        <v>0</v>
      </c>
      <c r="AH61" s="28">
        <f t="shared" si="16"/>
        <v>1</v>
      </c>
    </row>
    <row r="62" spans="1:34" ht="10.5" x14ac:dyDescent="0.15">
      <c r="A62" s="895" t="s">
        <v>277</v>
      </c>
      <c r="B62" s="895" t="s">
        <v>278</v>
      </c>
      <c r="C62" s="896">
        <v>1759326.2731238401</v>
      </c>
      <c r="D62" s="896"/>
      <c r="E62" s="896"/>
      <c r="F62" s="896"/>
      <c r="G62" s="896"/>
      <c r="H62" s="896"/>
      <c r="I62" s="896"/>
      <c r="J62" s="896">
        <v>1759326.2731238401</v>
      </c>
      <c r="K62" s="24">
        <f t="shared" si="15"/>
        <v>2017</v>
      </c>
      <c r="L62" s="66"/>
      <c r="M62" s="33">
        <f>IF(K62=2017,0,IF(ISNA(VLOOKUP(LEFT($A62,8),Estimates,72,FALSE)),0,VLOOKUP(LEFT($A62,8),Estimates,72,FALSE)))</f>
        <v>0</v>
      </c>
      <c r="N62" s="28">
        <f t="shared" si="25"/>
        <v>0</v>
      </c>
      <c r="O62" s="28">
        <f t="shared" si="25"/>
        <v>0</v>
      </c>
      <c r="P62" s="28">
        <f t="shared" si="25"/>
        <v>0</v>
      </c>
      <c r="Q62" s="28">
        <f t="shared" si="25"/>
        <v>0</v>
      </c>
      <c r="R62" s="28">
        <f t="shared" si="25"/>
        <v>0</v>
      </c>
      <c r="S62" s="28">
        <f t="shared" si="25"/>
        <v>0</v>
      </c>
      <c r="T62" s="28">
        <f t="shared" si="25"/>
        <v>0</v>
      </c>
      <c r="U62" s="28">
        <f t="shared" si="25"/>
        <v>0</v>
      </c>
      <c r="V62" s="28">
        <f t="shared" si="25"/>
        <v>0</v>
      </c>
      <c r="W62" s="28">
        <f t="shared" si="25"/>
        <v>0.85280000058304173</v>
      </c>
      <c r="X62" s="28">
        <f t="shared" si="26"/>
        <v>0</v>
      </c>
      <c r="Y62" s="28">
        <f t="shared" si="26"/>
        <v>0</v>
      </c>
      <c r="Z62" s="28">
        <f t="shared" si="26"/>
        <v>0</v>
      </c>
      <c r="AA62" s="28">
        <f t="shared" si="26"/>
        <v>0</v>
      </c>
      <c r="AB62" s="28">
        <f t="shared" si="26"/>
        <v>6.089999973913509E-2</v>
      </c>
      <c r="AC62" s="28">
        <f t="shared" si="26"/>
        <v>8.6299999677823175E-2</v>
      </c>
      <c r="AD62" s="28">
        <f t="shared" si="26"/>
        <v>0</v>
      </c>
      <c r="AE62" s="28">
        <f t="shared" si="26"/>
        <v>0</v>
      </c>
      <c r="AF62" s="28">
        <f t="shared" si="26"/>
        <v>0</v>
      </c>
      <c r="AG62" s="28">
        <f t="shared" si="26"/>
        <v>0</v>
      </c>
      <c r="AH62" s="28">
        <f t="shared" si="16"/>
        <v>1</v>
      </c>
    </row>
    <row r="63" spans="1:34" ht="10.5" x14ac:dyDescent="0.15">
      <c r="A63" s="895" t="s">
        <v>282</v>
      </c>
      <c r="B63" s="895" t="s">
        <v>283</v>
      </c>
      <c r="C63" s="896"/>
      <c r="D63" s="896"/>
      <c r="E63" s="896">
        <v>1060916.0899807364</v>
      </c>
      <c r="F63" s="896"/>
      <c r="G63" s="896"/>
      <c r="H63" s="896"/>
      <c r="I63" s="896"/>
      <c r="J63" s="896">
        <v>1060916.0899807364</v>
      </c>
      <c r="K63" s="24">
        <f t="shared" si="15"/>
        <v>2019</v>
      </c>
      <c r="L63" s="66"/>
      <c r="M63" s="33">
        <f t="shared" ref="M63:M74" si="27">IF(ISNA(VLOOKUP(LEFT($A63,8),Estimates,72,FALSE)),0,VLOOKUP(LEFT($A63,8),Estimates,72,FALSE))</f>
        <v>1999999.9999999991</v>
      </c>
      <c r="N63" s="28">
        <f t="shared" si="25"/>
        <v>0</v>
      </c>
      <c r="O63" s="28">
        <f t="shared" si="25"/>
        <v>0</v>
      </c>
      <c r="P63" s="28">
        <f t="shared" si="25"/>
        <v>0</v>
      </c>
      <c r="Q63" s="28">
        <f t="shared" si="25"/>
        <v>1</v>
      </c>
      <c r="R63" s="28">
        <f t="shared" si="25"/>
        <v>0</v>
      </c>
      <c r="S63" s="28">
        <f t="shared" si="25"/>
        <v>0</v>
      </c>
      <c r="T63" s="28">
        <f t="shared" si="25"/>
        <v>0</v>
      </c>
      <c r="U63" s="28">
        <f t="shared" si="25"/>
        <v>0</v>
      </c>
      <c r="V63" s="28">
        <f t="shared" si="25"/>
        <v>0</v>
      </c>
      <c r="W63" s="28">
        <f t="shared" si="25"/>
        <v>0</v>
      </c>
      <c r="X63" s="28">
        <f t="shared" si="26"/>
        <v>0</v>
      </c>
      <c r="Y63" s="28">
        <f t="shared" si="26"/>
        <v>0</v>
      </c>
      <c r="Z63" s="28">
        <f t="shared" si="26"/>
        <v>0</v>
      </c>
      <c r="AA63" s="28">
        <f t="shared" si="26"/>
        <v>0</v>
      </c>
      <c r="AB63" s="28">
        <f t="shared" si="26"/>
        <v>0</v>
      </c>
      <c r="AC63" s="28">
        <f t="shared" si="26"/>
        <v>0</v>
      </c>
      <c r="AD63" s="28">
        <f t="shared" si="26"/>
        <v>0</v>
      </c>
      <c r="AE63" s="28">
        <f t="shared" si="26"/>
        <v>0</v>
      </c>
      <c r="AF63" s="28">
        <f t="shared" si="26"/>
        <v>0</v>
      </c>
      <c r="AG63" s="28">
        <f t="shared" si="26"/>
        <v>0</v>
      </c>
      <c r="AH63" s="28">
        <f t="shared" si="16"/>
        <v>1</v>
      </c>
    </row>
    <row r="64" spans="1:34" ht="10.5" x14ac:dyDescent="0.15">
      <c r="A64" s="895" t="s">
        <v>289</v>
      </c>
      <c r="B64" s="895" t="s">
        <v>290</v>
      </c>
      <c r="C64" s="896"/>
      <c r="D64" s="896">
        <v>7620327.735354566</v>
      </c>
      <c r="E64" s="896"/>
      <c r="F64" s="896"/>
      <c r="G64" s="896"/>
      <c r="H64" s="896"/>
      <c r="I64" s="896"/>
      <c r="J64" s="896">
        <v>7620327.735354566</v>
      </c>
      <c r="K64" s="24">
        <f t="shared" si="15"/>
        <v>2018</v>
      </c>
      <c r="L64" s="66"/>
      <c r="M64" s="33">
        <f t="shared" si="27"/>
        <v>5706333.3999884129</v>
      </c>
      <c r="N64" s="28">
        <f t="shared" si="25"/>
        <v>0</v>
      </c>
      <c r="O64" s="28">
        <f t="shared" si="25"/>
        <v>0</v>
      </c>
      <c r="P64" s="28">
        <f t="shared" si="25"/>
        <v>0</v>
      </c>
      <c r="Q64" s="28">
        <f t="shared" si="25"/>
        <v>0</v>
      </c>
      <c r="R64" s="28">
        <f t="shared" si="25"/>
        <v>0</v>
      </c>
      <c r="S64" s="28">
        <f t="shared" si="25"/>
        <v>0</v>
      </c>
      <c r="T64" s="28">
        <f t="shared" si="25"/>
        <v>0</v>
      </c>
      <c r="U64" s="28">
        <f t="shared" si="25"/>
        <v>0</v>
      </c>
      <c r="V64" s="28">
        <f t="shared" si="25"/>
        <v>0</v>
      </c>
      <c r="W64" s="28">
        <f t="shared" si="25"/>
        <v>4.2203107165187555E-2</v>
      </c>
      <c r="X64" s="28">
        <f t="shared" si="26"/>
        <v>0</v>
      </c>
      <c r="Y64" s="28">
        <f t="shared" si="26"/>
        <v>2.5238272968515992E-2</v>
      </c>
      <c r="Z64" s="28">
        <f t="shared" si="26"/>
        <v>0</v>
      </c>
      <c r="AA64" s="28">
        <f t="shared" si="26"/>
        <v>0</v>
      </c>
      <c r="AB64" s="28">
        <f t="shared" si="26"/>
        <v>0.9325586198662964</v>
      </c>
      <c r="AC64" s="28">
        <f t="shared" si="26"/>
        <v>0</v>
      </c>
      <c r="AD64" s="28">
        <f t="shared" si="26"/>
        <v>0</v>
      </c>
      <c r="AE64" s="28">
        <f t="shared" si="26"/>
        <v>0</v>
      </c>
      <c r="AF64" s="28">
        <f t="shared" si="26"/>
        <v>0</v>
      </c>
      <c r="AG64" s="28">
        <f t="shared" si="26"/>
        <v>0</v>
      </c>
      <c r="AH64" s="28">
        <f t="shared" si="16"/>
        <v>1</v>
      </c>
    </row>
    <row r="65" spans="1:34" ht="10.5" x14ac:dyDescent="0.15">
      <c r="A65" s="895" t="s">
        <v>291</v>
      </c>
      <c r="B65" s="895" t="s">
        <v>292</v>
      </c>
      <c r="C65" s="896"/>
      <c r="D65" s="896">
        <v>2389030.9439100563</v>
      </c>
      <c r="E65" s="896"/>
      <c r="F65" s="896"/>
      <c r="G65" s="896"/>
      <c r="H65" s="896"/>
      <c r="I65" s="896"/>
      <c r="J65" s="896">
        <v>2389030.9439100563</v>
      </c>
      <c r="K65" s="24">
        <f t="shared" si="15"/>
        <v>2018</v>
      </c>
      <c r="L65" s="66"/>
      <c r="M65" s="33">
        <f t="shared" si="27"/>
        <v>4747884.8124000002</v>
      </c>
      <c r="N65" s="28">
        <f t="shared" si="25"/>
        <v>0</v>
      </c>
      <c r="O65" s="28">
        <f t="shared" si="25"/>
        <v>0</v>
      </c>
      <c r="P65" s="28">
        <f t="shared" si="25"/>
        <v>0</v>
      </c>
      <c r="Q65" s="28">
        <f t="shared" si="25"/>
        <v>1</v>
      </c>
      <c r="R65" s="28">
        <f t="shared" si="25"/>
        <v>0</v>
      </c>
      <c r="S65" s="28">
        <f t="shared" si="25"/>
        <v>0</v>
      </c>
      <c r="T65" s="28">
        <f t="shared" si="25"/>
        <v>0</v>
      </c>
      <c r="U65" s="28">
        <f t="shared" si="25"/>
        <v>0</v>
      </c>
      <c r="V65" s="28">
        <f t="shared" si="25"/>
        <v>0</v>
      </c>
      <c r="W65" s="28">
        <f t="shared" si="25"/>
        <v>0</v>
      </c>
      <c r="X65" s="28">
        <f t="shared" si="26"/>
        <v>0</v>
      </c>
      <c r="Y65" s="28">
        <f t="shared" si="26"/>
        <v>0</v>
      </c>
      <c r="Z65" s="28">
        <f t="shared" si="26"/>
        <v>0</v>
      </c>
      <c r="AA65" s="28">
        <f t="shared" si="26"/>
        <v>0</v>
      </c>
      <c r="AB65" s="28">
        <f t="shared" si="26"/>
        <v>0</v>
      </c>
      <c r="AC65" s="28">
        <f t="shared" si="26"/>
        <v>0</v>
      </c>
      <c r="AD65" s="28">
        <f t="shared" si="26"/>
        <v>0</v>
      </c>
      <c r="AE65" s="28">
        <f t="shared" si="26"/>
        <v>0</v>
      </c>
      <c r="AF65" s="28">
        <f t="shared" si="26"/>
        <v>0</v>
      </c>
      <c r="AG65" s="28">
        <f t="shared" si="26"/>
        <v>0</v>
      </c>
      <c r="AH65" s="28">
        <f t="shared" si="16"/>
        <v>1</v>
      </c>
    </row>
    <row r="66" spans="1:34" ht="10.5" x14ac:dyDescent="0.15">
      <c r="A66" s="895" t="s">
        <v>293</v>
      </c>
      <c r="B66" s="895" t="s">
        <v>294</v>
      </c>
      <c r="C66" s="896"/>
      <c r="D66" s="896"/>
      <c r="E66" s="896"/>
      <c r="F66" s="896"/>
      <c r="G66" s="896"/>
      <c r="H66" s="896"/>
      <c r="I66" s="896">
        <v>333290.90076138754</v>
      </c>
      <c r="J66" s="896">
        <v>333290.90076138754</v>
      </c>
      <c r="K66" s="24">
        <f t="shared" si="15"/>
        <v>2023</v>
      </c>
      <c r="L66" s="66"/>
      <c r="M66" s="33">
        <f t="shared" si="27"/>
        <v>0</v>
      </c>
      <c r="N66" s="28">
        <f t="shared" si="25"/>
        <v>0</v>
      </c>
      <c r="O66" s="28">
        <f t="shared" si="25"/>
        <v>0</v>
      </c>
      <c r="P66" s="28">
        <f t="shared" si="25"/>
        <v>0</v>
      </c>
      <c r="Q66" s="28">
        <f t="shared" si="25"/>
        <v>0</v>
      </c>
      <c r="R66" s="28">
        <f t="shared" si="25"/>
        <v>0</v>
      </c>
      <c r="S66" s="28">
        <f t="shared" si="25"/>
        <v>0</v>
      </c>
      <c r="T66" s="28">
        <f t="shared" si="25"/>
        <v>0</v>
      </c>
      <c r="U66" s="28">
        <f t="shared" si="25"/>
        <v>1</v>
      </c>
      <c r="V66" s="28">
        <f t="shared" si="25"/>
        <v>0</v>
      </c>
      <c r="W66" s="28">
        <f t="shared" si="25"/>
        <v>0</v>
      </c>
      <c r="X66" s="28">
        <f t="shared" si="26"/>
        <v>0</v>
      </c>
      <c r="Y66" s="28">
        <f t="shared" si="26"/>
        <v>0</v>
      </c>
      <c r="Z66" s="28">
        <f t="shared" si="26"/>
        <v>0</v>
      </c>
      <c r="AA66" s="28">
        <f t="shared" si="26"/>
        <v>0</v>
      </c>
      <c r="AB66" s="28">
        <f t="shared" si="26"/>
        <v>0</v>
      </c>
      <c r="AC66" s="28">
        <f t="shared" si="26"/>
        <v>0</v>
      </c>
      <c r="AD66" s="28">
        <f t="shared" si="26"/>
        <v>0</v>
      </c>
      <c r="AE66" s="28">
        <f t="shared" si="26"/>
        <v>0</v>
      </c>
      <c r="AF66" s="28">
        <f t="shared" si="26"/>
        <v>0</v>
      </c>
      <c r="AG66" s="28">
        <f t="shared" si="26"/>
        <v>0</v>
      </c>
      <c r="AH66" s="28">
        <f t="shared" si="16"/>
        <v>1</v>
      </c>
    </row>
    <row r="67" spans="1:34" ht="10.5" x14ac:dyDescent="0.15">
      <c r="A67" s="895" t="s">
        <v>299</v>
      </c>
      <c r="B67" s="895" t="s">
        <v>2300</v>
      </c>
      <c r="C67" s="900"/>
      <c r="D67" s="900">
        <v>1958371.9754276529</v>
      </c>
      <c r="E67" s="896"/>
      <c r="F67" s="896"/>
      <c r="G67" s="896"/>
      <c r="H67" s="896"/>
      <c r="I67" s="896"/>
      <c r="J67" s="896">
        <v>1958371.9754276529</v>
      </c>
      <c r="K67" s="24">
        <f t="shared" si="15"/>
        <v>2018</v>
      </c>
      <c r="L67" s="66"/>
      <c r="M67" s="33">
        <f t="shared" si="27"/>
        <v>239970.00000000015</v>
      </c>
      <c r="N67" s="28">
        <f t="shared" si="25"/>
        <v>0</v>
      </c>
      <c r="O67" s="28">
        <f t="shared" si="25"/>
        <v>0</v>
      </c>
      <c r="P67" s="28">
        <f t="shared" si="25"/>
        <v>0</v>
      </c>
      <c r="Q67" s="28">
        <f t="shared" si="25"/>
        <v>1</v>
      </c>
      <c r="R67" s="28">
        <f t="shared" si="25"/>
        <v>0</v>
      </c>
      <c r="S67" s="28">
        <f t="shared" si="25"/>
        <v>0</v>
      </c>
      <c r="T67" s="28">
        <f t="shared" si="25"/>
        <v>0</v>
      </c>
      <c r="U67" s="28">
        <f t="shared" si="25"/>
        <v>0</v>
      </c>
      <c r="V67" s="28">
        <f t="shared" si="25"/>
        <v>0</v>
      </c>
      <c r="W67" s="28">
        <f t="shared" si="25"/>
        <v>0</v>
      </c>
      <c r="X67" s="28">
        <f t="shared" si="26"/>
        <v>0</v>
      </c>
      <c r="Y67" s="28">
        <f t="shared" si="26"/>
        <v>0</v>
      </c>
      <c r="Z67" s="28">
        <f t="shared" si="26"/>
        <v>0</v>
      </c>
      <c r="AA67" s="28">
        <f t="shared" si="26"/>
        <v>0</v>
      </c>
      <c r="AB67" s="28">
        <f t="shared" si="26"/>
        <v>0</v>
      </c>
      <c r="AC67" s="28">
        <f t="shared" si="26"/>
        <v>0</v>
      </c>
      <c r="AD67" s="28">
        <f t="shared" si="26"/>
        <v>0</v>
      </c>
      <c r="AE67" s="28">
        <f t="shared" si="26"/>
        <v>0</v>
      </c>
      <c r="AF67" s="28">
        <f t="shared" si="26"/>
        <v>0</v>
      </c>
      <c r="AG67" s="28">
        <f t="shared" si="26"/>
        <v>0</v>
      </c>
      <c r="AH67" s="28">
        <f t="shared" si="16"/>
        <v>1</v>
      </c>
    </row>
    <row r="68" spans="1:34" ht="10.5" x14ac:dyDescent="0.15">
      <c r="A68" s="895" t="s">
        <v>300</v>
      </c>
      <c r="B68" s="895" t="s">
        <v>301</v>
      </c>
      <c r="C68" s="896"/>
      <c r="D68" s="896">
        <v>6463727.345321876</v>
      </c>
      <c r="E68" s="896"/>
      <c r="F68" s="896"/>
      <c r="G68" s="896"/>
      <c r="H68" s="896"/>
      <c r="I68" s="896"/>
      <c r="J68" s="896">
        <v>6463727.345321876</v>
      </c>
      <c r="K68" s="24">
        <f t="shared" si="15"/>
        <v>2018</v>
      </c>
      <c r="L68" s="66"/>
      <c r="M68" s="33">
        <f t="shared" si="27"/>
        <v>3516015.8325580084</v>
      </c>
      <c r="N68" s="28">
        <f t="shared" si="25"/>
        <v>0</v>
      </c>
      <c r="O68" s="28">
        <f t="shared" si="25"/>
        <v>6.1964896088506402E-2</v>
      </c>
      <c r="P68" s="28">
        <f t="shared" si="25"/>
        <v>5.4494281362593038E-2</v>
      </c>
      <c r="Q68" s="28">
        <f t="shared" si="25"/>
        <v>0</v>
      </c>
      <c r="R68" s="28">
        <f t="shared" si="25"/>
        <v>0</v>
      </c>
      <c r="S68" s="28">
        <f t="shared" si="25"/>
        <v>0</v>
      </c>
      <c r="T68" s="28">
        <f t="shared" si="25"/>
        <v>0</v>
      </c>
      <c r="U68" s="28">
        <f t="shared" si="25"/>
        <v>0</v>
      </c>
      <c r="V68" s="28">
        <f t="shared" si="25"/>
        <v>0</v>
      </c>
      <c r="W68" s="28">
        <f t="shared" si="25"/>
        <v>0.24221734498616548</v>
      </c>
      <c r="X68" s="28">
        <f t="shared" si="26"/>
        <v>9.7043934357867928E-2</v>
      </c>
      <c r="Y68" s="28">
        <f t="shared" si="26"/>
        <v>0.15321047939897878</v>
      </c>
      <c r="Z68" s="28">
        <f t="shared" si="26"/>
        <v>2.6842882536562928E-2</v>
      </c>
      <c r="AA68" s="28">
        <f t="shared" si="26"/>
        <v>0</v>
      </c>
      <c r="AB68" s="28">
        <f t="shared" si="26"/>
        <v>0.35000553995792844</v>
      </c>
      <c r="AC68" s="28">
        <f t="shared" si="26"/>
        <v>1.4220641311396925E-2</v>
      </c>
      <c r="AD68" s="28">
        <f t="shared" si="26"/>
        <v>0</v>
      </c>
      <c r="AE68" s="28">
        <f t="shared" si="26"/>
        <v>0</v>
      </c>
      <c r="AF68" s="28">
        <f t="shared" si="26"/>
        <v>0</v>
      </c>
      <c r="AG68" s="28">
        <f t="shared" si="26"/>
        <v>0</v>
      </c>
      <c r="AH68" s="28">
        <f t="shared" si="16"/>
        <v>0.99999999999999989</v>
      </c>
    </row>
    <row r="69" spans="1:34" ht="10.5" x14ac:dyDescent="0.15">
      <c r="A69" s="895" t="s">
        <v>302</v>
      </c>
      <c r="B69" s="895" t="s">
        <v>303</v>
      </c>
      <c r="C69" s="896"/>
      <c r="D69" s="896">
        <v>8845795.3182842731</v>
      </c>
      <c r="E69" s="896"/>
      <c r="F69" s="896"/>
      <c r="G69" s="896"/>
      <c r="H69" s="896"/>
      <c r="I69" s="896"/>
      <c r="J69" s="896">
        <v>8845795.3182842731</v>
      </c>
      <c r="K69" s="24">
        <f t="shared" si="15"/>
        <v>2018</v>
      </c>
      <c r="L69" s="66"/>
      <c r="M69" s="33">
        <f t="shared" si="27"/>
        <v>0</v>
      </c>
      <c r="N69" s="28">
        <f t="shared" ref="N69:W78" si="28">IF($M69=0,VLOOKUP(MID($A69,4,5),ProjectSplits,N$2,FALSE),IF(ISNA(VLOOKUP(LEFT($A69,8),Estimates,N$1,FALSE)),VLOOKUP(MID($A69,4,5),ProjectSplits,N$2,FALSE),VLOOKUP(LEFT($A69,8),Estimates,N$1,FALSE)))</f>
        <v>0</v>
      </c>
      <c r="O69" s="28">
        <f t="shared" si="28"/>
        <v>0</v>
      </c>
      <c r="P69" s="28">
        <f t="shared" si="28"/>
        <v>0</v>
      </c>
      <c r="Q69" s="28">
        <f t="shared" si="28"/>
        <v>0</v>
      </c>
      <c r="R69" s="28">
        <f t="shared" si="28"/>
        <v>0</v>
      </c>
      <c r="S69" s="28">
        <f t="shared" si="28"/>
        <v>0</v>
      </c>
      <c r="T69" s="28">
        <f t="shared" si="28"/>
        <v>0</v>
      </c>
      <c r="U69" s="28">
        <f t="shared" si="28"/>
        <v>0</v>
      </c>
      <c r="V69" s="28">
        <f t="shared" si="28"/>
        <v>0</v>
      </c>
      <c r="W69" s="28">
        <f t="shared" si="28"/>
        <v>1</v>
      </c>
      <c r="X69" s="28">
        <f t="shared" ref="X69:AG78" si="29">IF($M69=0,VLOOKUP(MID($A69,4,5),ProjectSplits,X$2,FALSE),IF(ISNA(VLOOKUP(LEFT($A69,8),Estimates,X$1,FALSE)),VLOOKUP(MID($A69,4,5),ProjectSplits,X$2,FALSE),VLOOKUP(LEFT($A69,8),Estimates,X$1,FALSE)))</f>
        <v>0</v>
      </c>
      <c r="Y69" s="28">
        <f t="shared" si="29"/>
        <v>0</v>
      </c>
      <c r="Z69" s="28">
        <f t="shared" si="29"/>
        <v>0</v>
      </c>
      <c r="AA69" s="28">
        <f t="shared" si="29"/>
        <v>0</v>
      </c>
      <c r="AB69" s="28">
        <f t="shared" si="29"/>
        <v>0</v>
      </c>
      <c r="AC69" s="28">
        <f t="shared" si="29"/>
        <v>0</v>
      </c>
      <c r="AD69" s="28">
        <f t="shared" si="29"/>
        <v>0</v>
      </c>
      <c r="AE69" s="28">
        <f t="shared" si="29"/>
        <v>0</v>
      </c>
      <c r="AF69" s="28">
        <f t="shared" si="29"/>
        <v>0</v>
      </c>
      <c r="AG69" s="28">
        <f t="shared" si="29"/>
        <v>0</v>
      </c>
      <c r="AH69" s="28">
        <f t="shared" si="16"/>
        <v>1</v>
      </c>
    </row>
    <row r="70" spans="1:34" ht="10.5" x14ac:dyDescent="0.15">
      <c r="A70" s="895" t="s">
        <v>308</v>
      </c>
      <c r="B70" s="895" t="s">
        <v>2379</v>
      </c>
      <c r="C70" s="896"/>
      <c r="D70" s="896"/>
      <c r="E70" s="896">
        <v>11587068.568576138</v>
      </c>
      <c r="F70" s="896"/>
      <c r="G70" s="896"/>
      <c r="H70" s="896"/>
      <c r="I70" s="896"/>
      <c r="J70" s="896">
        <v>11587068.568576138</v>
      </c>
      <c r="K70" s="24">
        <f t="shared" si="15"/>
        <v>2019</v>
      </c>
      <c r="L70" s="66"/>
      <c r="M70" s="33">
        <f t="shared" si="27"/>
        <v>6032738</v>
      </c>
      <c r="N70" s="28">
        <f t="shared" si="28"/>
        <v>0</v>
      </c>
      <c r="O70" s="28">
        <f t="shared" si="28"/>
        <v>0</v>
      </c>
      <c r="P70" s="28">
        <f t="shared" si="28"/>
        <v>0</v>
      </c>
      <c r="Q70" s="28">
        <f t="shared" si="28"/>
        <v>0</v>
      </c>
      <c r="R70" s="28">
        <f t="shared" si="28"/>
        <v>0</v>
      </c>
      <c r="S70" s="28">
        <f t="shared" si="28"/>
        <v>0</v>
      </c>
      <c r="T70" s="28">
        <f t="shared" si="28"/>
        <v>0</v>
      </c>
      <c r="U70" s="28">
        <f t="shared" si="28"/>
        <v>0</v>
      </c>
      <c r="V70" s="28">
        <f t="shared" si="28"/>
        <v>0</v>
      </c>
      <c r="W70" s="28">
        <f t="shared" si="28"/>
        <v>0</v>
      </c>
      <c r="X70" s="28">
        <f t="shared" si="29"/>
        <v>0</v>
      </c>
      <c r="Y70" s="28">
        <f t="shared" si="29"/>
        <v>1</v>
      </c>
      <c r="Z70" s="28">
        <f t="shared" si="29"/>
        <v>0</v>
      </c>
      <c r="AA70" s="28">
        <f t="shared" si="29"/>
        <v>0</v>
      </c>
      <c r="AB70" s="28">
        <f t="shared" si="29"/>
        <v>0</v>
      </c>
      <c r="AC70" s="28">
        <f t="shared" si="29"/>
        <v>0</v>
      </c>
      <c r="AD70" s="28">
        <f t="shared" si="29"/>
        <v>0</v>
      </c>
      <c r="AE70" s="28">
        <f t="shared" si="29"/>
        <v>0</v>
      </c>
      <c r="AF70" s="28">
        <f t="shared" si="29"/>
        <v>0</v>
      </c>
      <c r="AG70" s="28">
        <f t="shared" si="29"/>
        <v>0</v>
      </c>
      <c r="AH70" s="28">
        <f t="shared" si="16"/>
        <v>1</v>
      </c>
    </row>
    <row r="71" spans="1:34" ht="10.5" x14ac:dyDescent="0.15">
      <c r="A71" s="895" t="s">
        <v>310</v>
      </c>
      <c r="B71" s="895" t="s">
        <v>311</v>
      </c>
      <c r="C71" s="896"/>
      <c r="D71" s="896">
        <v>2369867.1438810704</v>
      </c>
      <c r="E71" s="896"/>
      <c r="F71" s="896"/>
      <c r="G71" s="896"/>
      <c r="H71" s="896"/>
      <c r="I71" s="896"/>
      <c r="J71" s="896">
        <v>2369867.1438810704</v>
      </c>
      <c r="K71" s="24">
        <f t="shared" si="15"/>
        <v>2018</v>
      </c>
      <c r="L71" s="66"/>
      <c r="M71" s="33">
        <f t="shared" si="27"/>
        <v>1232877.9999999986</v>
      </c>
      <c r="N71" s="28">
        <f t="shared" si="28"/>
        <v>0</v>
      </c>
      <c r="O71" s="28">
        <f t="shared" si="28"/>
        <v>0</v>
      </c>
      <c r="P71" s="28">
        <f t="shared" si="28"/>
        <v>0</v>
      </c>
      <c r="Q71" s="28">
        <f t="shared" si="28"/>
        <v>0</v>
      </c>
      <c r="R71" s="28">
        <f t="shared" si="28"/>
        <v>0</v>
      </c>
      <c r="S71" s="28">
        <f t="shared" si="28"/>
        <v>0</v>
      </c>
      <c r="T71" s="28">
        <f t="shared" si="28"/>
        <v>0</v>
      </c>
      <c r="U71" s="28">
        <f t="shared" si="28"/>
        <v>0</v>
      </c>
      <c r="V71" s="28">
        <f t="shared" si="28"/>
        <v>0</v>
      </c>
      <c r="W71" s="28">
        <f t="shared" si="28"/>
        <v>0</v>
      </c>
      <c r="X71" s="28">
        <f t="shared" si="29"/>
        <v>0</v>
      </c>
      <c r="Y71" s="28">
        <f t="shared" si="29"/>
        <v>0</v>
      </c>
      <c r="Z71" s="28">
        <f t="shared" si="29"/>
        <v>0</v>
      </c>
      <c r="AA71" s="28">
        <f t="shared" si="29"/>
        <v>0</v>
      </c>
      <c r="AB71" s="28">
        <f t="shared" si="29"/>
        <v>1</v>
      </c>
      <c r="AC71" s="28">
        <f t="shared" si="29"/>
        <v>0</v>
      </c>
      <c r="AD71" s="28">
        <f t="shared" si="29"/>
        <v>0</v>
      </c>
      <c r="AE71" s="28">
        <f t="shared" si="29"/>
        <v>0</v>
      </c>
      <c r="AF71" s="28">
        <f t="shared" si="29"/>
        <v>0</v>
      </c>
      <c r="AG71" s="28">
        <f t="shared" si="29"/>
        <v>0</v>
      </c>
      <c r="AH71" s="28">
        <f t="shared" si="16"/>
        <v>1</v>
      </c>
    </row>
    <row r="72" spans="1:34" ht="10.5" x14ac:dyDescent="0.15">
      <c r="A72" s="895" t="s">
        <v>318</v>
      </c>
      <c r="B72" s="895" t="s">
        <v>2301</v>
      </c>
      <c r="C72" s="896"/>
      <c r="D72" s="896">
        <v>887926.31628080457</v>
      </c>
      <c r="E72" s="896"/>
      <c r="F72" s="896"/>
      <c r="G72" s="896"/>
      <c r="H72" s="896"/>
      <c r="I72" s="896"/>
      <c r="J72" s="896">
        <v>887926.31628080457</v>
      </c>
      <c r="K72" s="24">
        <f t="shared" si="15"/>
        <v>2018</v>
      </c>
      <c r="L72" s="66"/>
      <c r="M72" s="33">
        <f t="shared" si="27"/>
        <v>179280.00000000006</v>
      </c>
      <c r="N72" s="28">
        <f t="shared" si="28"/>
        <v>0</v>
      </c>
      <c r="O72" s="28">
        <f t="shared" si="28"/>
        <v>0</v>
      </c>
      <c r="P72" s="28">
        <f t="shared" si="28"/>
        <v>0</v>
      </c>
      <c r="Q72" s="28">
        <f t="shared" si="28"/>
        <v>1</v>
      </c>
      <c r="R72" s="28">
        <f t="shared" si="28"/>
        <v>0</v>
      </c>
      <c r="S72" s="28">
        <f t="shared" si="28"/>
        <v>0</v>
      </c>
      <c r="T72" s="28">
        <f t="shared" si="28"/>
        <v>0</v>
      </c>
      <c r="U72" s="28">
        <f t="shared" si="28"/>
        <v>0</v>
      </c>
      <c r="V72" s="28">
        <f t="shared" si="28"/>
        <v>0</v>
      </c>
      <c r="W72" s="28">
        <f t="shared" si="28"/>
        <v>0</v>
      </c>
      <c r="X72" s="28">
        <f t="shared" si="29"/>
        <v>0</v>
      </c>
      <c r="Y72" s="28">
        <f t="shared" si="29"/>
        <v>0</v>
      </c>
      <c r="Z72" s="28">
        <f t="shared" si="29"/>
        <v>0</v>
      </c>
      <c r="AA72" s="28">
        <f t="shared" si="29"/>
        <v>0</v>
      </c>
      <c r="AB72" s="28">
        <f t="shared" si="29"/>
        <v>0</v>
      </c>
      <c r="AC72" s="28">
        <f t="shared" si="29"/>
        <v>0</v>
      </c>
      <c r="AD72" s="28">
        <f t="shared" si="29"/>
        <v>0</v>
      </c>
      <c r="AE72" s="28">
        <f t="shared" si="29"/>
        <v>0</v>
      </c>
      <c r="AF72" s="28">
        <f t="shared" si="29"/>
        <v>0</v>
      </c>
      <c r="AG72" s="28">
        <f t="shared" si="29"/>
        <v>0</v>
      </c>
      <c r="AH72" s="28">
        <f t="shared" si="16"/>
        <v>1</v>
      </c>
    </row>
    <row r="73" spans="1:34" ht="10.5" x14ac:dyDescent="0.15">
      <c r="A73" s="895" t="s">
        <v>319</v>
      </c>
      <c r="B73" s="895" t="s">
        <v>320</v>
      </c>
      <c r="C73" s="896"/>
      <c r="D73" s="896">
        <v>539202.91218405857</v>
      </c>
      <c r="E73" s="896"/>
      <c r="F73" s="896"/>
      <c r="G73" s="896"/>
      <c r="H73" s="896"/>
      <c r="I73" s="896"/>
      <c r="J73" s="896">
        <v>539202.91218405857</v>
      </c>
      <c r="K73" s="24">
        <f t="shared" si="15"/>
        <v>2018</v>
      </c>
      <c r="L73" s="66"/>
      <c r="M73" s="33">
        <f t="shared" si="27"/>
        <v>1199999.9999999984</v>
      </c>
      <c r="N73" s="28">
        <f t="shared" si="28"/>
        <v>0</v>
      </c>
      <c r="O73" s="28">
        <f t="shared" si="28"/>
        <v>0</v>
      </c>
      <c r="P73" s="28">
        <f t="shared" si="28"/>
        <v>0</v>
      </c>
      <c r="Q73" s="28">
        <f t="shared" si="28"/>
        <v>1</v>
      </c>
      <c r="R73" s="28">
        <f t="shared" si="28"/>
        <v>0</v>
      </c>
      <c r="S73" s="28">
        <f t="shared" si="28"/>
        <v>0</v>
      </c>
      <c r="T73" s="28">
        <f t="shared" si="28"/>
        <v>0</v>
      </c>
      <c r="U73" s="28">
        <f t="shared" si="28"/>
        <v>0</v>
      </c>
      <c r="V73" s="28">
        <f t="shared" si="28"/>
        <v>0</v>
      </c>
      <c r="W73" s="28">
        <f t="shared" si="28"/>
        <v>0</v>
      </c>
      <c r="X73" s="28">
        <f t="shared" si="29"/>
        <v>0</v>
      </c>
      <c r="Y73" s="28">
        <f t="shared" si="29"/>
        <v>0</v>
      </c>
      <c r="Z73" s="28">
        <f t="shared" si="29"/>
        <v>0</v>
      </c>
      <c r="AA73" s="28">
        <f t="shared" si="29"/>
        <v>0</v>
      </c>
      <c r="AB73" s="28">
        <f t="shared" si="29"/>
        <v>0</v>
      </c>
      <c r="AC73" s="28">
        <f t="shared" si="29"/>
        <v>0</v>
      </c>
      <c r="AD73" s="28">
        <f t="shared" si="29"/>
        <v>0</v>
      </c>
      <c r="AE73" s="28">
        <f t="shared" si="29"/>
        <v>0</v>
      </c>
      <c r="AF73" s="28">
        <f t="shared" si="29"/>
        <v>0</v>
      </c>
      <c r="AG73" s="28">
        <f t="shared" si="29"/>
        <v>0</v>
      </c>
      <c r="AH73" s="28">
        <f t="shared" si="16"/>
        <v>1</v>
      </c>
    </row>
    <row r="74" spans="1:34" ht="10.5" x14ac:dyDescent="0.15">
      <c r="A74" s="895" t="s">
        <v>322</v>
      </c>
      <c r="B74" s="895" t="s">
        <v>323</v>
      </c>
      <c r="C74" s="896"/>
      <c r="D74" s="896"/>
      <c r="E74" s="896"/>
      <c r="F74" s="896"/>
      <c r="G74" s="896"/>
      <c r="H74" s="896"/>
      <c r="I74" s="896">
        <v>1706838.6276965877</v>
      </c>
      <c r="J74" s="896">
        <v>1706838.6276965877</v>
      </c>
      <c r="K74" s="24">
        <f t="shared" si="15"/>
        <v>2023</v>
      </c>
      <c r="L74" s="66"/>
      <c r="M74" s="33">
        <f t="shared" si="27"/>
        <v>280000.00000000006</v>
      </c>
      <c r="N74" s="28">
        <f t="shared" si="28"/>
        <v>0</v>
      </c>
      <c r="O74" s="28">
        <f t="shared" si="28"/>
        <v>0</v>
      </c>
      <c r="P74" s="28">
        <f t="shared" si="28"/>
        <v>0</v>
      </c>
      <c r="Q74" s="28">
        <f t="shared" si="28"/>
        <v>1</v>
      </c>
      <c r="R74" s="28">
        <f t="shared" si="28"/>
        <v>0</v>
      </c>
      <c r="S74" s="28">
        <f t="shared" si="28"/>
        <v>0</v>
      </c>
      <c r="T74" s="28">
        <f t="shared" si="28"/>
        <v>0</v>
      </c>
      <c r="U74" s="28">
        <f t="shared" si="28"/>
        <v>0</v>
      </c>
      <c r="V74" s="28">
        <f t="shared" si="28"/>
        <v>0</v>
      </c>
      <c r="W74" s="28">
        <f t="shared" si="28"/>
        <v>0</v>
      </c>
      <c r="X74" s="28">
        <f t="shared" si="29"/>
        <v>0</v>
      </c>
      <c r="Y74" s="28">
        <f t="shared" si="29"/>
        <v>0</v>
      </c>
      <c r="Z74" s="28">
        <f t="shared" si="29"/>
        <v>0</v>
      </c>
      <c r="AA74" s="28">
        <f t="shared" si="29"/>
        <v>0</v>
      </c>
      <c r="AB74" s="28">
        <f t="shared" si="29"/>
        <v>0</v>
      </c>
      <c r="AC74" s="28">
        <f t="shared" si="29"/>
        <v>0</v>
      </c>
      <c r="AD74" s="28">
        <f t="shared" si="29"/>
        <v>0</v>
      </c>
      <c r="AE74" s="28">
        <f t="shared" si="29"/>
        <v>0</v>
      </c>
      <c r="AF74" s="28">
        <f t="shared" si="29"/>
        <v>0</v>
      </c>
      <c r="AG74" s="28">
        <f t="shared" si="29"/>
        <v>0</v>
      </c>
      <c r="AH74" s="28">
        <f t="shared" si="16"/>
        <v>1</v>
      </c>
    </row>
    <row r="75" spans="1:34" ht="10.5" x14ac:dyDescent="0.15">
      <c r="A75" s="904" t="s">
        <v>324</v>
      </c>
      <c r="B75" s="904" t="s">
        <v>325</v>
      </c>
      <c r="C75" s="902">
        <v>8033553.8427038267</v>
      </c>
      <c r="D75" s="902"/>
      <c r="E75" s="902"/>
      <c r="F75" s="902"/>
      <c r="G75" s="902"/>
      <c r="H75" s="902"/>
      <c r="I75" s="902"/>
      <c r="J75" s="902">
        <v>8033553.8427038267</v>
      </c>
      <c r="K75" s="24">
        <f t="shared" si="15"/>
        <v>2017</v>
      </c>
      <c r="L75" s="66"/>
      <c r="M75" s="33">
        <f>IF(K75=2017,0,IF(ISNA(VLOOKUP(LEFT($A75,8),Estimates,72,FALSE)),0,VLOOKUP(LEFT($A75,8),Estimates,72,FALSE)))</f>
        <v>0</v>
      </c>
      <c r="N75" s="876">
        <f t="shared" si="28"/>
        <v>0</v>
      </c>
      <c r="O75" s="876">
        <f t="shared" si="28"/>
        <v>0</v>
      </c>
      <c r="P75" s="876">
        <f t="shared" si="28"/>
        <v>0.4247799636182395</v>
      </c>
      <c r="Q75" s="876">
        <f t="shared" si="28"/>
        <v>0</v>
      </c>
      <c r="R75" s="876">
        <f t="shared" si="28"/>
        <v>0</v>
      </c>
      <c r="S75" s="876">
        <f t="shared" si="28"/>
        <v>0</v>
      </c>
      <c r="T75" s="876">
        <f t="shared" si="28"/>
        <v>0</v>
      </c>
      <c r="U75" s="876">
        <f t="shared" si="28"/>
        <v>0</v>
      </c>
      <c r="V75" s="876">
        <f t="shared" si="28"/>
        <v>0</v>
      </c>
      <c r="W75" s="876">
        <f t="shared" si="28"/>
        <v>0</v>
      </c>
      <c r="X75" s="876">
        <f t="shared" si="29"/>
        <v>0</v>
      </c>
      <c r="Y75" s="876">
        <f t="shared" si="29"/>
        <v>0.57522003638176056</v>
      </c>
      <c r="Z75" s="876">
        <f t="shared" si="29"/>
        <v>0</v>
      </c>
      <c r="AA75" s="876">
        <f t="shared" si="29"/>
        <v>0</v>
      </c>
      <c r="AB75" s="876">
        <f t="shared" si="29"/>
        <v>0</v>
      </c>
      <c r="AC75" s="876">
        <f t="shared" si="29"/>
        <v>0</v>
      </c>
      <c r="AD75" s="876">
        <f t="shared" si="29"/>
        <v>0</v>
      </c>
      <c r="AE75" s="876">
        <f t="shared" si="29"/>
        <v>0</v>
      </c>
      <c r="AF75" s="876">
        <f t="shared" si="29"/>
        <v>0</v>
      </c>
      <c r="AG75" s="876">
        <f t="shared" si="29"/>
        <v>0</v>
      </c>
      <c r="AH75" s="28">
        <f t="shared" si="16"/>
        <v>1</v>
      </c>
    </row>
    <row r="76" spans="1:34" ht="10.5" x14ac:dyDescent="0.15">
      <c r="A76" s="904" t="s">
        <v>2976</v>
      </c>
      <c r="B76" s="904" t="s">
        <v>325</v>
      </c>
      <c r="C76" s="902"/>
      <c r="D76" s="902">
        <v>3500960.5891471589</v>
      </c>
      <c r="E76" s="902"/>
      <c r="F76" s="902"/>
      <c r="G76" s="902"/>
      <c r="H76" s="902"/>
      <c r="I76" s="902"/>
      <c r="J76" s="902">
        <v>3500960.5891471589</v>
      </c>
      <c r="K76" s="24">
        <f t="shared" si="15"/>
        <v>2018</v>
      </c>
      <c r="L76" s="66"/>
      <c r="M76" s="33">
        <f t="shared" ref="M76:M107" si="30">IF(ISNA(VLOOKUP(LEFT($A76,8),Estimates,72,FALSE)),0,VLOOKUP(LEFT($A76,8),Estimates,72,FALSE))</f>
        <v>8237319.3731999993</v>
      </c>
      <c r="N76" s="28">
        <f t="shared" si="28"/>
        <v>0</v>
      </c>
      <c r="O76" s="28">
        <f t="shared" si="28"/>
        <v>0.11751392769222635</v>
      </c>
      <c r="P76" s="28">
        <f t="shared" si="28"/>
        <v>0.52638483510875078</v>
      </c>
      <c r="Q76" s="28">
        <f t="shared" si="28"/>
        <v>0.3412905937757601</v>
      </c>
      <c r="R76" s="28">
        <f t="shared" si="28"/>
        <v>0</v>
      </c>
      <c r="S76" s="28">
        <f t="shared" si="28"/>
        <v>0</v>
      </c>
      <c r="T76" s="28">
        <f t="shared" si="28"/>
        <v>0</v>
      </c>
      <c r="U76" s="28">
        <f t="shared" si="28"/>
        <v>0</v>
      </c>
      <c r="V76" s="28">
        <f t="shared" si="28"/>
        <v>0</v>
      </c>
      <c r="W76" s="28">
        <f t="shared" si="28"/>
        <v>0</v>
      </c>
      <c r="X76" s="28">
        <f t="shared" si="29"/>
        <v>0</v>
      </c>
      <c r="Y76" s="28">
        <f t="shared" si="29"/>
        <v>0</v>
      </c>
      <c r="Z76" s="28">
        <f t="shared" si="29"/>
        <v>0</v>
      </c>
      <c r="AA76" s="28">
        <f t="shared" si="29"/>
        <v>0</v>
      </c>
      <c r="AB76" s="28">
        <f t="shared" si="29"/>
        <v>1.4810643423262822E-2</v>
      </c>
      <c r="AC76" s="28">
        <f t="shared" si="29"/>
        <v>0</v>
      </c>
      <c r="AD76" s="28">
        <f t="shared" si="29"/>
        <v>0</v>
      </c>
      <c r="AE76" s="28">
        <f t="shared" si="29"/>
        <v>0</v>
      </c>
      <c r="AF76" s="28">
        <f t="shared" si="29"/>
        <v>0</v>
      </c>
      <c r="AG76" s="28">
        <f t="shared" si="29"/>
        <v>0</v>
      </c>
      <c r="AH76" s="28">
        <f t="shared" si="16"/>
        <v>1</v>
      </c>
    </row>
    <row r="77" spans="1:34" ht="10.5" x14ac:dyDescent="0.15">
      <c r="A77" s="895" t="s">
        <v>332</v>
      </c>
      <c r="B77" s="895" t="s">
        <v>333</v>
      </c>
      <c r="C77" s="896"/>
      <c r="D77" s="896"/>
      <c r="E77" s="896">
        <v>1189846.936803384</v>
      </c>
      <c r="F77" s="896"/>
      <c r="G77" s="896"/>
      <c r="H77" s="896"/>
      <c r="I77" s="896"/>
      <c r="J77" s="896">
        <v>1189846.936803384</v>
      </c>
      <c r="K77" s="24">
        <f t="shared" si="15"/>
        <v>2019</v>
      </c>
      <c r="L77" s="66"/>
      <c r="M77" s="33">
        <f t="shared" si="30"/>
        <v>0</v>
      </c>
      <c r="N77" s="28">
        <f t="shared" si="28"/>
        <v>0</v>
      </c>
      <c r="O77" s="28">
        <f t="shared" si="28"/>
        <v>0</v>
      </c>
      <c r="P77" s="28">
        <f t="shared" si="28"/>
        <v>0</v>
      </c>
      <c r="Q77" s="28">
        <f t="shared" si="28"/>
        <v>0</v>
      </c>
      <c r="R77" s="28">
        <f t="shared" si="28"/>
        <v>0</v>
      </c>
      <c r="S77" s="28">
        <f t="shared" si="28"/>
        <v>0</v>
      </c>
      <c r="T77" s="28">
        <f t="shared" si="28"/>
        <v>0</v>
      </c>
      <c r="U77" s="28">
        <f t="shared" si="28"/>
        <v>0</v>
      </c>
      <c r="V77" s="28">
        <f t="shared" si="28"/>
        <v>0</v>
      </c>
      <c r="W77" s="28">
        <f t="shared" si="28"/>
        <v>0</v>
      </c>
      <c r="X77" s="28">
        <f t="shared" si="29"/>
        <v>0</v>
      </c>
      <c r="Y77" s="28">
        <f t="shared" si="29"/>
        <v>4.4818930827109207E-2</v>
      </c>
      <c r="Z77" s="28">
        <f t="shared" si="29"/>
        <v>0</v>
      </c>
      <c r="AA77" s="28">
        <f t="shared" si="29"/>
        <v>0</v>
      </c>
      <c r="AB77" s="28">
        <f t="shared" si="29"/>
        <v>0.95518106917289081</v>
      </c>
      <c r="AC77" s="28">
        <f t="shared" si="29"/>
        <v>0</v>
      </c>
      <c r="AD77" s="28">
        <f t="shared" si="29"/>
        <v>0</v>
      </c>
      <c r="AE77" s="28">
        <f t="shared" si="29"/>
        <v>0</v>
      </c>
      <c r="AF77" s="28">
        <f t="shared" si="29"/>
        <v>0</v>
      </c>
      <c r="AG77" s="28">
        <f t="shared" si="29"/>
        <v>0</v>
      </c>
      <c r="AH77" s="28">
        <f t="shared" si="16"/>
        <v>1</v>
      </c>
    </row>
    <row r="78" spans="1:34" ht="10.5" x14ac:dyDescent="0.15">
      <c r="A78" s="895" t="s">
        <v>336</v>
      </c>
      <c r="B78" s="895" t="s">
        <v>337</v>
      </c>
      <c r="C78" s="896"/>
      <c r="D78" s="896"/>
      <c r="E78" s="896"/>
      <c r="F78" s="896"/>
      <c r="G78" s="896"/>
      <c r="H78" s="896"/>
      <c r="I78" s="896">
        <v>431158.54334072699</v>
      </c>
      <c r="J78" s="896">
        <v>431158.54334072699</v>
      </c>
      <c r="K78" s="24">
        <f t="shared" si="15"/>
        <v>2023</v>
      </c>
      <c r="L78" s="66"/>
      <c r="M78" s="33">
        <f t="shared" si="30"/>
        <v>0</v>
      </c>
      <c r="N78" s="28">
        <f t="shared" si="28"/>
        <v>0</v>
      </c>
      <c r="O78" s="28">
        <f t="shared" si="28"/>
        <v>0</v>
      </c>
      <c r="P78" s="28">
        <f t="shared" si="28"/>
        <v>0</v>
      </c>
      <c r="Q78" s="28">
        <f t="shared" si="28"/>
        <v>1</v>
      </c>
      <c r="R78" s="28">
        <f t="shared" si="28"/>
        <v>0</v>
      </c>
      <c r="S78" s="28">
        <f t="shared" si="28"/>
        <v>0</v>
      </c>
      <c r="T78" s="28">
        <f t="shared" si="28"/>
        <v>0</v>
      </c>
      <c r="U78" s="28">
        <f t="shared" si="28"/>
        <v>0</v>
      </c>
      <c r="V78" s="28">
        <f t="shared" si="28"/>
        <v>0</v>
      </c>
      <c r="W78" s="28">
        <f t="shared" si="28"/>
        <v>0</v>
      </c>
      <c r="X78" s="28">
        <f t="shared" si="29"/>
        <v>0</v>
      </c>
      <c r="Y78" s="28">
        <f t="shared" si="29"/>
        <v>0</v>
      </c>
      <c r="Z78" s="28">
        <f t="shared" si="29"/>
        <v>0</v>
      </c>
      <c r="AA78" s="28">
        <f t="shared" si="29"/>
        <v>0</v>
      </c>
      <c r="AB78" s="28">
        <f t="shared" si="29"/>
        <v>0</v>
      </c>
      <c r="AC78" s="28">
        <f t="shared" si="29"/>
        <v>0</v>
      </c>
      <c r="AD78" s="28">
        <f t="shared" si="29"/>
        <v>0</v>
      </c>
      <c r="AE78" s="28">
        <f t="shared" si="29"/>
        <v>0</v>
      </c>
      <c r="AF78" s="28">
        <f t="shared" si="29"/>
        <v>0</v>
      </c>
      <c r="AG78" s="28">
        <f t="shared" si="29"/>
        <v>0</v>
      </c>
      <c r="AH78" s="28">
        <f t="shared" si="16"/>
        <v>1</v>
      </c>
    </row>
    <row r="79" spans="1:34" ht="10.5" x14ac:dyDescent="0.15">
      <c r="A79" s="895" t="s">
        <v>338</v>
      </c>
      <c r="B79" s="895" t="s">
        <v>339</v>
      </c>
      <c r="C79" s="896"/>
      <c r="D79" s="896"/>
      <c r="E79" s="896">
        <v>5585361.4430018216</v>
      </c>
      <c r="F79" s="896"/>
      <c r="G79" s="896"/>
      <c r="H79" s="896"/>
      <c r="I79" s="896"/>
      <c r="J79" s="896">
        <v>5585361.4430018216</v>
      </c>
      <c r="K79" s="24">
        <f t="shared" si="15"/>
        <v>2019</v>
      </c>
      <c r="L79" s="66"/>
      <c r="M79" s="33">
        <f t="shared" si="30"/>
        <v>5624778.6299999971</v>
      </c>
      <c r="N79" s="28">
        <f t="shared" ref="N79:W88" si="31">IF($M79=0,VLOOKUP(MID($A79,4,5),ProjectSplits,N$2,FALSE),IF(ISNA(VLOOKUP(LEFT($A79,8),Estimates,N$1,FALSE)),VLOOKUP(MID($A79,4,5),ProjectSplits,N$2,FALSE),VLOOKUP(LEFT($A79,8),Estimates,N$1,FALSE)))</f>
        <v>0</v>
      </c>
      <c r="O79" s="28">
        <f t="shared" si="31"/>
        <v>0</v>
      </c>
      <c r="P79" s="28">
        <f t="shared" si="31"/>
        <v>1</v>
      </c>
      <c r="Q79" s="28">
        <f t="shared" si="31"/>
        <v>0</v>
      </c>
      <c r="R79" s="28">
        <f t="shared" si="31"/>
        <v>0</v>
      </c>
      <c r="S79" s="28">
        <f t="shared" si="31"/>
        <v>0</v>
      </c>
      <c r="T79" s="28">
        <f t="shared" si="31"/>
        <v>0</v>
      </c>
      <c r="U79" s="28">
        <f t="shared" si="31"/>
        <v>0</v>
      </c>
      <c r="V79" s="28">
        <f t="shared" si="31"/>
        <v>0</v>
      </c>
      <c r="W79" s="28">
        <f t="shared" si="31"/>
        <v>0</v>
      </c>
      <c r="X79" s="28">
        <f t="shared" ref="X79:AG88" si="32">IF($M79=0,VLOOKUP(MID($A79,4,5),ProjectSplits,X$2,FALSE),IF(ISNA(VLOOKUP(LEFT($A79,8),Estimates,X$1,FALSE)),VLOOKUP(MID($A79,4,5),ProjectSplits,X$2,FALSE),VLOOKUP(LEFT($A79,8),Estimates,X$1,FALSE)))</f>
        <v>0</v>
      </c>
      <c r="Y79" s="28">
        <f t="shared" si="32"/>
        <v>0</v>
      </c>
      <c r="Z79" s="28">
        <f t="shared" si="32"/>
        <v>0</v>
      </c>
      <c r="AA79" s="28">
        <f t="shared" si="32"/>
        <v>0</v>
      </c>
      <c r="AB79" s="28">
        <f t="shared" si="32"/>
        <v>0</v>
      </c>
      <c r="AC79" s="28">
        <f t="shared" si="32"/>
        <v>0</v>
      </c>
      <c r="AD79" s="28">
        <f t="shared" si="32"/>
        <v>0</v>
      </c>
      <c r="AE79" s="28">
        <f t="shared" si="32"/>
        <v>0</v>
      </c>
      <c r="AF79" s="28">
        <f t="shared" si="32"/>
        <v>0</v>
      </c>
      <c r="AG79" s="28">
        <f t="shared" si="32"/>
        <v>0</v>
      </c>
      <c r="AH79" s="28">
        <f t="shared" si="16"/>
        <v>1</v>
      </c>
    </row>
    <row r="80" spans="1:34" ht="10.5" x14ac:dyDescent="0.15">
      <c r="A80" s="895" t="s">
        <v>340</v>
      </c>
      <c r="B80" s="895" t="s">
        <v>142</v>
      </c>
      <c r="C80" s="896"/>
      <c r="D80" s="896">
        <v>1674416.6759670933</v>
      </c>
      <c r="E80" s="896"/>
      <c r="F80" s="896"/>
      <c r="G80" s="896"/>
      <c r="H80" s="896"/>
      <c r="I80" s="896"/>
      <c r="J80" s="896">
        <v>1674416.6759670933</v>
      </c>
      <c r="K80" s="24">
        <f t="shared" si="15"/>
        <v>2018</v>
      </c>
      <c r="L80" s="66"/>
      <c r="M80" s="33">
        <f t="shared" si="30"/>
        <v>1436800</v>
      </c>
      <c r="N80" s="28">
        <f t="shared" si="31"/>
        <v>0</v>
      </c>
      <c r="O80" s="28">
        <f t="shared" si="31"/>
        <v>0</v>
      </c>
      <c r="P80" s="28">
        <f t="shared" si="31"/>
        <v>1</v>
      </c>
      <c r="Q80" s="28">
        <f t="shared" si="31"/>
        <v>0</v>
      </c>
      <c r="R80" s="28">
        <f t="shared" si="31"/>
        <v>0</v>
      </c>
      <c r="S80" s="28">
        <f t="shared" si="31"/>
        <v>0</v>
      </c>
      <c r="T80" s="28">
        <f t="shared" si="31"/>
        <v>0</v>
      </c>
      <c r="U80" s="28">
        <f t="shared" si="31"/>
        <v>0</v>
      </c>
      <c r="V80" s="28">
        <f t="shared" si="31"/>
        <v>0</v>
      </c>
      <c r="W80" s="28">
        <f t="shared" si="31"/>
        <v>0</v>
      </c>
      <c r="X80" s="28">
        <f t="shared" si="32"/>
        <v>0</v>
      </c>
      <c r="Y80" s="28">
        <f t="shared" si="32"/>
        <v>0</v>
      </c>
      <c r="Z80" s="28">
        <f t="shared" si="32"/>
        <v>0</v>
      </c>
      <c r="AA80" s="28">
        <f t="shared" si="32"/>
        <v>0</v>
      </c>
      <c r="AB80" s="28">
        <f t="shared" si="32"/>
        <v>0</v>
      </c>
      <c r="AC80" s="28">
        <f t="shared" si="32"/>
        <v>0</v>
      </c>
      <c r="AD80" s="28">
        <f t="shared" si="32"/>
        <v>0</v>
      </c>
      <c r="AE80" s="28">
        <f t="shared" si="32"/>
        <v>0</v>
      </c>
      <c r="AF80" s="28">
        <f t="shared" si="32"/>
        <v>0</v>
      </c>
      <c r="AG80" s="28">
        <f t="shared" si="32"/>
        <v>0</v>
      </c>
      <c r="AH80" s="28">
        <f t="shared" si="16"/>
        <v>1</v>
      </c>
    </row>
    <row r="81" spans="1:34" ht="10.5" x14ac:dyDescent="0.15">
      <c r="A81" s="895" t="s">
        <v>341</v>
      </c>
      <c r="B81" s="895" t="s">
        <v>342</v>
      </c>
      <c r="C81" s="896"/>
      <c r="D81" s="896">
        <v>1180363.0438493588</v>
      </c>
      <c r="E81" s="896"/>
      <c r="F81" s="896"/>
      <c r="G81" s="896"/>
      <c r="H81" s="896"/>
      <c r="I81" s="896"/>
      <c r="J81" s="896">
        <v>1180363.0438493588</v>
      </c>
      <c r="K81" s="24">
        <f t="shared" si="15"/>
        <v>2018</v>
      </c>
      <c r="L81" s="66"/>
      <c r="M81" s="33">
        <f t="shared" si="30"/>
        <v>0</v>
      </c>
      <c r="N81" s="28">
        <f t="shared" si="31"/>
        <v>0</v>
      </c>
      <c r="O81" s="28">
        <f t="shared" si="31"/>
        <v>0</v>
      </c>
      <c r="P81" s="28">
        <f t="shared" si="31"/>
        <v>0</v>
      </c>
      <c r="Q81" s="28">
        <f t="shared" si="31"/>
        <v>1</v>
      </c>
      <c r="R81" s="28">
        <f t="shared" si="31"/>
        <v>0</v>
      </c>
      <c r="S81" s="28">
        <f t="shared" si="31"/>
        <v>0</v>
      </c>
      <c r="T81" s="28">
        <f t="shared" si="31"/>
        <v>0</v>
      </c>
      <c r="U81" s="28">
        <f t="shared" si="31"/>
        <v>0</v>
      </c>
      <c r="V81" s="28">
        <f t="shared" si="31"/>
        <v>0</v>
      </c>
      <c r="W81" s="28">
        <f t="shared" si="31"/>
        <v>0</v>
      </c>
      <c r="X81" s="28">
        <f t="shared" si="32"/>
        <v>0</v>
      </c>
      <c r="Y81" s="28">
        <f t="shared" si="32"/>
        <v>0</v>
      </c>
      <c r="Z81" s="28">
        <f t="shared" si="32"/>
        <v>0</v>
      </c>
      <c r="AA81" s="28">
        <f t="shared" si="32"/>
        <v>0</v>
      </c>
      <c r="AB81" s="28">
        <f t="shared" si="32"/>
        <v>0</v>
      </c>
      <c r="AC81" s="28">
        <f t="shared" si="32"/>
        <v>0</v>
      </c>
      <c r="AD81" s="28">
        <f t="shared" si="32"/>
        <v>0</v>
      </c>
      <c r="AE81" s="28">
        <f t="shared" si="32"/>
        <v>0</v>
      </c>
      <c r="AF81" s="28">
        <f t="shared" si="32"/>
        <v>0</v>
      </c>
      <c r="AG81" s="28">
        <f t="shared" si="32"/>
        <v>0</v>
      </c>
      <c r="AH81" s="28">
        <f t="shared" si="16"/>
        <v>1</v>
      </c>
    </row>
    <row r="82" spans="1:34" ht="10.5" x14ac:dyDescent="0.15">
      <c r="A82" s="895" t="s">
        <v>343</v>
      </c>
      <c r="B82" s="895" t="s">
        <v>344</v>
      </c>
      <c r="C82" s="896"/>
      <c r="D82" s="896"/>
      <c r="E82" s="896"/>
      <c r="F82" s="896"/>
      <c r="G82" s="896"/>
      <c r="H82" s="896">
        <v>1008201.0397192895</v>
      </c>
      <c r="I82" s="896"/>
      <c r="J82" s="896">
        <v>1008201.0397192895</v>
      </c>
      <c r="K82" s="24">
        <f t="shared" si="15"/>
        <v>2022</v>
      </c>
      <c r="L82" s="66"/>
      <c r="M82" s="33">
        <f t="shared" si="30"/>
        <v>169999.99999999974</v>
      </c>
      <c r="N82" s="28">
        <f t="shared" si="31"/>
        <v>0</v>
      </c>
      <c r="O82" s="28">
        <f t="shared" si="31"/>
        <v>0</v>
      </c>
      <c r="P82" s="28">
        <f t="shared" si="31"/>
        <v>0</v>
      </c>
      <c r="Q82" s="28">
        <f t="shared" si="31"/>
        <v>1</v>
      </c>
      <c r="R82" s="28">
        <f t="shared" si="31"/>
        <v>0</v>
      </c>
      <c r="S82" s="28">
        <f t="shared" si="31"/>
        <v>0</v>
      </c>
      <c r="T82" s="28">
        <f t="shared" si="31"/>
        <v>0</v>
      </c>
      <c r="U82" s="28">
        <f t="shared" si="31"/>
        <v>0</v>
      </c>
      <c r="V82" s="28">
        <f t="shared" si="31"/>
        <v>0</v>
      </c>
      <c r="W82" s="28">
        <f t="shared" si="31"/>
        <v>0</v>
      </c>
      <c r="X82" s="28">
        <f t="shared" si="32"/>
        <v>0</v>
      </c>
      <c r="Y82" s="28">
        <f t="shared" si="32"/>
        <v>0</v>
      </c>
      <c r="Z82" s="28">
        <f t="shared" si="32"/>
        <v>0</v>
      </c>
      <c r="AA82" s="28">
        <f t="shared" si="32"/>
        <v>0</v>
      </c>
      <c r="AB82" s="28">
        <f t="shared" si="32"/>
        <v>0</v>
      </c>
      <c r="AC82" s="28">
        <f t="shared" si="32"/>
        <v>0</v>
      </c>
      <c r="AD82" s="28">
        <f t="shared" si="32"/>
        <v>0</v>
      </c>
      <c r="AE82" s="28">
        <f t="shared" si="32"/>
        <v>0</v>
      </c>
      <c r="AF82" s="28">
        <f t="shared" si="32"/>
        <v>0</v>
      </c>
      <c r="AG82" s="28">
        <f t="shared" si="32"/>
        <v>0</v>
      </c>
      <c r="AH82" s="28">
        <f t="shared" si="16"/>
        <v>1</v>
      </c>
    </row>
    <row r="83" spans="1:34" ht="10.5" x14ac:dyDescent="0.15">
      <c r="A83" s="895" t="s">
        <v>345</v>
      </c>
      <c r="B83" s="895" t="s">
        <v>2380</v>
      </c>
      <c r="C83" s="896"/>
      <c r="D83" s="896">
        <v>3320480.8705213577</v>
      </c>
      <c r="E83" s="896"/>
      <c r="F83" s="896"/>
      <c r="G83" s="896"/>
      <c r="H83" s="896"/>
      <c r="I83" s="896"/>
      <c r="J83" s="896">
        <v>3320480.8705213577</v>
      </c>
      <c r="K83" s="24">
        <f t="shared" si="15"/>
        <v>2018</v>
      </c>
      <c r="L83" s="66"/>
      <c r="M83" s="33">
        <f t="shared" si="30"/>
        <v>211832.99999999974</v>
      </c>
      <c r="N83" s="28">
        <f t="shared" si="31"/>
        <v>0</v>
      </c>
      <c r="O83" s="28">
        <f t="shared" si="31"/>
        <v>0</v>
      </c>
      <c r="P83" s="28">
        <f t="shared" si="31"/>
        <v>0</v>
      </c>
      <c r="Q83" s="28">
        <f t="shared" si="31"/>
        <v>1</v>
      </c>
      <c r="R83" s="28">
        <f t="shared" si="31"/>
        <v>0</v>
      </c>
      <c r="S83" s="28">
        <f t="shared" si="31"/>
        <v>0</v>
      </c>
      <c r="T83" s="28">
        <f t="shared" si="31"/>
        <v>0</v>
      </c>
      <c r="U83" s="28">
        <f t="shared" si="31"/>
        <v>0</v>
      </c>
      <c r="V83" s="28">
        <f t="shared" si="31"/>
        <v>0</v>
      </c>
      <c r="W83" s="28">
        <f t="shared" si="31"/>
        <v>0</v>
      </c>
      <c r="X83" s="28">
        <f t="shared" si="32"/>
        <v>0</v>
      </c>
      <c r="Y83" s="28">
        <f t="shared" si="32"/>
        <v>0</v>
      </c>
      <c r="Z83" s="28">
        <f t="shared" si="32"/>
        <v>0</v>
      </c>
      <c r="AA83" s="28">
        <f t="shared" si="32"/>
        <v>0</v>
      </c>
      <c r="AB83" s="28">
        <f t="shared" si="32"/>
        <v>0</v>
      </c>
      <c r="AC83" s="28">
        <f t="shared" si="32"/>
        <v>0</v>
      </c>
      <c r="AD83" s="28">
        <f t="shared" si="32"/>
        <v>0</v>
      </c>
      <c r="AE83" s="28">
        <f t="shared" si="32"/>
        <v>0</v>
      </c>
      <c r="AF83" s="28">
        <f t="shared" si="32"/>
        <v>0</v>
      </c>
      <c r="AG83" s="28">
        <f t="shared" si="32"/>
        <v>0</v>
      </c>
      <c r="AH83" s="28">
        <f t="shared" si="16"/>
        <v>1</v>
      </c>
    </row>
    <row r="84" spans="1:34" ht="10.5" x14ac:dyDescent="0.15">
      <c r="A84" s="895" t="s">
        <v>347</v>
      </c>
      <c r="B84" s="895" t="s">
        <v>2303</v>
      </c>
      <c r="C84" s="896"/>
      <c r="D84" s="896"/>
      <c r="E84" s="896">
        <v>968488.47734637221</v>
      </c>
      <c r="F84" s="896"/>
      <c r="G84" s="896"/>
      <c r="H84" s="896"/>
      <c r="I84" s="896"/>
      <c r="J84" s="896">
        <v>968488.47734637221</v>
      </c>
      <c r="K84" s="24">
        <f t="shared" ref="K84:K147" si="33">INDEX($C$18:$I$18,1,MATCH(J84,$C84:$I84,0))</f>
        <v>2019</v>
      </c>
      <c r="L84" s="66"/>
      <c r="M84" s="33">
        <f t="shared" si="30"/>
        <v>242337</v>
      </c>
      <c r="N84" s="28">
        <f t="shared" si="31"/>
        <v>0</v>
      </c>
      <c r="O84" s="28">
        <f t="shared" si="31"/>
        <v>0</v>
      </c>
      <c r="P84" s="28">
        <f t="shared" si="31"/>
        <v>0</v>
      </c>
      <c r="Q84" s="28">
        <f t="shared" si="31"/>
        <v>1</v>
      </c>
      <c r="R84" s="28">
        <f t="shared" si="31"/>
        <v>0</v>
      </c>
      <c r="S84" s="28">
        <f t="shared" si="31"/>
        <v>0</v>
      </c>
      <c r="T84" s="28">
        <f t="shared" si="31"/>
        <v>0</v>
      </c>
      <c r="U84" s="28">
        <f t="shared" si="31"/>
        <v>0</v>
      </c>
      <c r="V84" s="28">
        <f t="shared" si="31"/>
        <v>0</v>
      </c>
      <c r="W84" s="28">
        <f t="shared" si="31"/>
        <v>0</v>
      </c>
      <c r="X84" s="28">
        <f t="shared" si="32"/>
        <v>0</v>
      </c>
      <c r="Y84" s="28">
        <f t="shared" si="32"/>
        <v>0</v>
      </c>
      <c r="Z84" s="28">
        <f t="shared" si="32"/>
        <v>0</v>
      </c>
      <c r="AA84" s="28">
        <f t="shared" si="32"/>
        <v>0</v>
      </c>
      <c r="AB84" s="28">
        <f t="shared" si="32"/>
        <v>0</v>
      </c>
      <c r="AC84" s="28">
        <f t="shared" si="32"/>
        <v>0</v>
      </c>
      <c r="AD84" s="28">
        <f t="shared" si="32"/>
        <v>0</v>
      </c>
      <c r="AE84" s="28">
        <f t="shared" si="32"/>
        <v>0</v>
      </c>
      <c r="AF84" s="28">
        <f t="shared" si="32"/>
        <v>0</v>
      </c>
      <c r="AG84" s="28">
        <f t="shared" si="32"/>
        <v>0</v>
      </c>
      <c r="AH84" s="28">
        <f t="shared" ref="AH84:AH147" si="34">SUM(N84:AF84)</f>
        <v>1</v>
      </c>
    </row>
    <row r="85" spans="1:34" ht="10.5" x14ac:dyDescent="0.15">
      <c r="A85" s="895" t="s">
        <v>348</v>
      </c>
      <c r="B85" s="895" t="s">
        <v>349</v>
      </c>
      <c r="C85" s="896"/>
      <c r="D85" s="896"/>
      <c r="E85" s="896">
        <v>1285744.3652469651</v>
      </c>
      <c r="F85" s="896"/>
      <c r="G85" s="896"/>
      <c r="H85" s="896"/>
      <c r="I85" s="896"/>
      <c r="J85" s="896">
        <v>1285744.3652469651</v>
      </c>
      <c r="K85" s="24">
        <f t="shared" si="33"/>
        <v>2019</v>
      </c>
      <c r="L85" s="66"/>
      <c r="M85" s="33">
        <f t="shared" si="30"/>
        <v>210000.00000000023</v>
      </c>
      <c r="N85" s="28">
        <f t="shared" si="31"/>
        <v>0</v>
      </c>
      <c r="O85" s="28">
        <f t="shared" si="31"/>
        <v>0</v>
      </c>
      <c r="P85" s="28">
        <f t="shared" si="31"/>
        <v>0</v>
      </c>
      <c r="Q85" s="28">
        <f t="shared" si="31"/>
        <v>1</v>
      </c>
      <c r="R85" s="28">
        <f t="shared" si="31"/>
        <v>0</v>
      </c>
      <c r="S85" s="28">
        <f t="shared" si="31"/>
        <v>0</v>
      </c>
      <c r="T85" s="28">
        <f t="shared" si="31"/>
        <v>0</v>
      </c>
      <c r="U85" s="28">
        <f t="shared" si="31"/>
        <v>0</v>
      </c>
      <c r="V85" s="28">
        <f t="shared" si="31"/>
        <v>0</v>
      </c>
      <c r="W85" s="28">
        <f t="shared" si="31"/>
        <v>0</v>
      </c>
      <c r="X85" s="28">
        <f t="shared" si="32"/>
        <v>0</v>
      </c>
      <c r="Y85" s="28">
        <f t="shared" si="32"/>
        <v>0</v>
      </c>
      <c r="Z85" s="28">
        <f t="shared" si="32"/>
        <v>0</v>
      </c>
      <c r="AA85" s="28">
        <f t="shared" si="32"/>
        <v>0</v>
      </c>
      <c r="AB85" s="28">
        <f t="shared" si="32"/>
        <v>0</v>
      </c>
      <c r="AC85" s="28">
        <f t="shared" si="32"/>
        <v>0</v>
      </c>
      <c r="AD85" s="28">
        <f t="shared" si="32"/>
        <v>0</v>
      </c>
      <c r="AE85" s="28">
        <f t="shared" si="32"/>
        <v>0</v>
      </c>
      <c r="AF85" s="28">
        <f t="shared" si="32"/>
        <v>0</v>
      </c>
      <c r="AG85" s="28">
        <f t="shared" si="32"/>
        <v>0</v>
      </c>
      <c r="AH85" s="28">
        <f t="shared" si="34"/>
        <v>1</v>
      </c>
    </row>
    <row r="86" spans="1:34" ht="10.5" x14ac:dyDescent="0.15">
      <c r="A86" s="895" t="s">
        <v>352</v>
      </c>
      <c r="B86" s="895" t="s">
        <v>353</v>
      </c>
      <c r="C86" s="896"/>
      <c r="D86" s="896">
        <v>130160.11255710668</v>
      </c>
      <c r="E86" s="896"/>
      <c r="F86" s="896"/>
      <c r="G86" s="896"/>
      <c r="H86" s="896"/>
      <c r="I86" s="896"/>
      <c r="J86" s="896">
        <v>130160.11255710668</v>
      </c>
      <c r="K86" s="24">
        <f t="shared" si="33"/>
        <v>2018</v>
      </c>
      <c r="L86" s="66"/>
      <c r="M86" s="33">
        <f t="shared" si="30"/>
        <v>100499.99999999997</v>
      </c>
      <c r="N86" s="28">
        <f t="shared" si="31"/>
        <v>1</v>
      </c>
      <c r="O86" s="28">
        <f t="shared" si="31"/>
        <v>0</v>
      </c>
      <c r="P86" s="28">
        <f t="shared" si="31"/>
        <v>0</v>
      </c>
      <c r="Q86" s="28">
        <f t="shared" si="31"/>
        <v>0</v>
      </c>
      <c r="R86" s="28">
        <f t="shared" si="31"/>
        <v>0</v>
      </c>
      <c r="S86" s="28">
        <f t="shared" si="31"/>
        <v>0</v>
      </c>
      <c r="T86" s="28">
        <f t="shared" si="31"/>
        <v>0</v>
      </c>
      <c r="U86" s="28">
        <f t="shared" si="31"/>
        <v>0</v>
      </c>
      <c r="V86" s="28">
        <f t="shared" si="31"/>
        <v>0</v>
      </c>
      <c r="W86" s="28">
        <f t="shared" si="31"/>
        <v>0</v>
      </c>
      <c r="X86" s="28">
        <f t="shared" si="32"/>
        <v>0</v>
      </c>
      <c r="Y86" s="28">
        <f t="shared" si="32"/>
        <v>0</v>
      </c>
      <c r="Z86" s="28">
        <f t="shared" si="32"/>
        <v>0</v>
      </c>
      <c r="AA86" s="28">
        <f t="shared" si="32"/>
        <v>0</v>
      </c>
      <c r="AB86" s="28">
        <f t="shared" si="32"/>
        <v>0</v>
      </c>
      <c r="AC86" s="28">
        <f t="shared" si="32"/>
        <v>0</v>
      </c>
      <c r="AD86" s="28">
        <f t="shared" si="32"/>
        <v>0</v>
      </c>
      <c r="AE86" s="28">
        <f t="shared" si="32"/>
        <v>0</v>
      </c>
      <c r="AF86" s="28">
        <f t="shared" si="32"/>
        <v>0</v>
      </c>
      <c r="AG86" s="28">
        <f t="shared" si="32"/>
        <v>0</v>
      </c>
      <c r="AH86" s="28">
        <f t="shared" si="34"/>
        <v>1</v>
      </c>
    </row>
    <row r="87" spans="1:34" ht="10.5" x14ac:dyDescent="0.15">
      <c r="A87" s="895" t="s">
        <v>354</v>
      </c>
      <c r="B87" s="895" t="s">
        <v>355</v>
      </c>
      <c r="C87" s="896"/>
      <c r="D87" s="896">
        <v>236328.56035356491</v>
      </c>
      <c r="E87" s="896"/>
      <c r="F87" s="896"/>
      <c r="G87" s="896"/>
      <c r="H87" s="896"/>
      <c r="I87" s="896"/>
      <c r="J87" s="896">
        <v>236328.56035356491</v>
      </c>
      <c r="K87" s="24">
        <f t="shared" si="33"/>
        <v>2018</v>
      </c>
      <c r="L87" s="66"/>
      <c r="M87" s="33">
        <f t="shared" si="30"/>
        <v>173719.99999999994</v>
      </c>
      <c r="N87" s="28">
        <f t="shared" si="31"/>
        <v>0.30232558139534887</v>
      </c>
      <c r="O87" s="28">
        <f t="shared" si="31"/>
        <v>0</v>
      </c>
      <c r="P87" s="28">
        <f t="shared" si="31"/>
        <v>0</v>
      </c>
      <c r="Q87" s="28">
        <f t="shared" si="31"/>
        <v>0</v>
      </c>
      <c r="R87" s="28">
        <f t="shared" si="31"/>
        <v>0</v>
      </c>
      <c r="S87" s="28">
        <f t="shared" si="31"/>
        <v>0</v>
      </c>
      <c r="T87" s="28">
        <f t="shared" si="31"/>
        <v>0</v>
      </c>
      <c r="U87" s="28">
        <f t="shared" si="31"/>
        <v>0.69767441860465118</v>
      </c>
      <c r="V87" s="28">
        <f t="shared" si="31"/>
        <v>0</v>
      </c>
      <c r="W87" s="28">
        <f t="shared" si="31"/>
        <v>0</v>
      </c>
      <c r="X87" s="28">
        <f t="shared" si="32"/>
        <v>0</v>
      </c>
      <c r="Y87" s="28">
        <f t="shared" si="32"/>
        <v>0</v>
      </c>
      <c r="Z87" s="28">
        <f t="shared" si="32"/>
        <v>0</v>
      </c>
      <c r="AA87" s="28">
        <f t="shared" si="32"/>
        <v>0</v>
      </c>
      <c r="AB87" s="28">
        <f t="shared" si="32"/>
        <v>0</v>
      </c>
      <c r="AC87" s="28">
        <f t="shared" si="32"/>
        <v>0</v>
      </c>
      <c r="AD87" s="28">
        <f t="shared" si="32"/>
        <v>0</v>
      </c>
      <c r="AE87" s="28">
        <f t="shared" si="32"/>
        <v>0</v>
      </c>
      <c r="AF87" s="28">
        <f t="shared" si="32"/>
        <v>0</v>
      </c>
      <c r="AG87" s="28">
        <f t="shared" si="32"/>
        <v>0</v>
      </c>
      <c r="AH87" s="28">
        <f t="shared" si="34"/>
        <v>1</v>
      </c>
    </row>
    <row r="88" spans="1:34" ht="10.5" x14ac:dyDescent="0.15">
      <c r="A88" s="895" t="s">
        <v>356</v>
      </c>
      <c r="B88" s="895" t="s">
        <v>357</v>
      </c>
      <c r="C88" s="896"/>
      <c r="D88" s="896">
        <v>145271.37232450381</v>
      </c>
      <c r="E88" s="896"/>
      <c r="F88" s="896"/>
      <c r="G88" s="896"/>
      <c r="H88" s="896"/>
      <c r="I88" s="896"/>
      <c r="J88" s="896">
        <v>145271.37232450381</v>
      </c>
      <c r="K88" s="24">
        <f t="shared" si="33"/>
        <v>2018</v>
      </c>
      <c r="L88" s="66"/>
      <c r="M88" s="33">
        <f t="shared" si="30"/>
        <v>106639.99999999997</v>
      </c>
      <c r="N88" s="28">
        <f t="shared" si="31"/>
        <v>0.65116279069767447</v>
      </c>
      <c r="O88" s="28">
        <f t="shared" si="31"/>
        <v>0</v>
      </c>
      <c r="P88" s="28">
        <f t="shared" si="31"/>
        <v>0</v>
      </c>
      <c r="Q88" s="28">
        <f t="shared" si="31"/>
        <v>0</v>
      </c>
      <c r="R88" s="28">
        <f t="shared" si="31"/>
        <v>0</v>
      </c>
      <c r="S88" s="28">
        <f t="shared" si="31"/>
        <v>0</v>
      </c>
      <c r="T88" s="28">
        <f t="shared" si="31"/>
        <v>0</v>
      </c>
      <c r="U88" s="28">
        <f t="shared" si="31"/>
        <v>0.34883720930232559</v>
      </c>
      <c r="V88" s="28">
        <f t="shared" si="31"/>
        <v>0</v>
      </c>
      <c r="W88" s="28">
        <f t="shared" si="31"/>
        <v>0</v>
      </c>
      <c r="X88" s="28">
        <f t="shared" si="32"/>
        <v>0</v>
      </c>
      <c r="Y88" s="28">
        <f t="shared" si="32"/>
        <v>0</v>
      </c>
      <c r="Z88" s="28">
        <f t="shared" si="32"/>
        <v>0</v>
      </c>
      <c r="AA88" s="28">
        <f t="shared" si="32"/>
        <v>0</v>
      </c>
      <c r="AB88" s="28">
        <f t="shared" si="32"/>
        <v>0</v>
      </c>
      <c r="AC88" s="28">
        <f t="shared" si="32"/>
        <v>0</v>
      </c>
      <c r="AD88" s="28">
        <f t="shared" si="32"/>
        <v>0</v>
      </c>
      <c r="AE88" s="28">
        <f t="shared" si="32"/>
        <v>0</v>
      </c>
      <c r="AF88" s="28">
        <f t="shared" si="32"/>
        <v>0</v>
      </c>
      <c r="AG88" s="28">
        <f t="shared" si="32"/>
        <v>0</v>
      </c>
      <c r="AH88" s="28">
        <f t="shared" si="34"/>
        <v>1</v>
      </c>
    </row>
    <row r="89" spans="1:34" ht="10.5" x14ac:dyDescent="0.15">
      <c r="A89" s="904" t="s">
        <v>358</v>
      </c>
      <c r="B89" s="904" t="s">
        <v>359</v>
      </c>
      <c r="C89" s="902"/>
      <c r="D89" s="902">
        <v>32446137.731448799</v>
      </c>
      <c r="E89" s="902"/>
      <c r="F89" s="902"/>
      <c r="G89" s="902"/>
      <c r="H89" s="902"/>
      <c r="I89" s="902"/>
      <c r="J89" s="902">
        <v>32446137.731448799</v>
      </c>
      <c r="K89" s="24">
        <f t="shared" si="33"/>
        <v>2018</v>
      </c>
      <c r="L89" s="66"/>
      <c r="M89" s="33">
        <f t="shared" si="30"/>
        <v>49095474.99999994</v>
      </c>
      <c r="N89" s="28">
        <f t="shared" ref="N89:W98" si="35">IF($M89=0,VLOOKUP(MID($A89,4,5),ProjectSplits,N$2,FALSE),IF(ISNA(VLOOKUP(LEFT($A89,8),Estimates,N$1,FALSE)),VLOOKUP(MID($A89,4,5),ProjectSplits,N$2,FALSE),VLOOKUP(LEFT($A89,8),Estimates,N$1,FALSE)))</f>
        <v>0</v>
      </c>
      <c r="O89" s="28">
        <f t="shared" si="35"/>
        <v>0</v>
      </c>
      <c r="P89" s="28">
        <f t="shared" si="35"/>
        <v>0</v>
      </c>
      <c r="Q89" s="28">
        <f t="shared" si="35"/>
        <v>0</v>
      </c>
      <c r="R89" s="28">
        <f t="shared" si="35"/>
        <v>0</v>
      </c>
      <c r="S89" s="28">
        <f t="shared" si="35"/>
        <v>0</v>
      </c>
      <c r="T89" s="28">
        <f t="shared" si="35"/>
        <v>0</v>
      </c>
      <c r="U89" s="28">
        <f t="shared" si="35"/>
        <v>0</v>
      </c>
      <c r="V89" s="28">
        <f t="shared" si="35"/>
        <v>0</v>
      </c>
      <c r="W89" s="28">
        <f t="shared" si="35"/>
        <v>1</v>
      </c>
      <c r="X89" s="28">
        <f t="shared" ref="X89:AG98" si="36">IF($M89=0,VLOOKUP(MID($A89,4,5),ProjectSplits,X$2,FALSE),IF(ISNA(VLOOKUP(LEFT($A89,8),Estimates,X$1,FALSE)),VLOOKUP(MID($A89,4,5),ProjectSplits,X$2,FALSE),VLOOKUP(LEFT($A89,8),Estimates,X$1,FALSE)))</f>
        <v>0</v>
      </c>
      <c r="Y89" s="28">
        <f t="shared" si="36"/>
        <v>0</v>
      </c>
      <c r="Z89" s="28">
        <f t="shared" si="36"/>
        <v>0</v>
      </c>
      <c r="AA89" s="28">
        <f t="shared" si="36"/>
        <v>0</v>
      </c>
      <c r="AB89" s="28">
        <f t="shared" si="36"/>
        <v>0</v>
      </c>
      <c r="AC89" s="28">
        <f t="shared" si="36"/>
        <v>0</v>
      </c>
      <c r="AD89" s="28">
        <f t="shared" si="36"/>
        <v>0</v>
      </c>
      <c r="AE89" s="28">
        <f t="shared" si="36"/>
        <v>0</v>
      </c>
      <c r="AF89" s="28">
        <f t="shared" si="36"/>
        <v>0</v>
      </c>
      <c r="AG89" s="28">
        <f t="shared" si="36"/>
        <v>0</v>
      </c>
      <c r="AH89" s="28">
        <f t="shared" si="34"/>
        <v>1</v>
      </c>
    </row>
    <row r="90" spans="1:34" ht="10.5" x14ac:dyDescent="0.15">
      <c r="A90" s="904" t="s">
        <v>2746</v>
      </c>
      <c r="B90" s="904" t="s">
        <v>359</v>
      </c>
      <c r="C90" s="902"/>
      <c r="D90" s="902">
        <v>12263428.345809942</v>
      </c>
      <c r="E90" s="902"/>
      <c r="F90" s="902"/>
      <c r="G90" s="902"/>
      <c r="H90" s="902"/>
      <c r="I90" s="902"/>
      <c r="J90" s="902">
        <v>12263428.345809942</v>
      </c>
      <c r="K90" s="24">
        <f t="shared" si="33"/>
        <v>2018</v>
      </c>
      <c r="L90" s="66"/>
      <c r="M90" s="33">
        <f t="shared" si="30"/>
        <v>49095474.99999994</v>
      </c>
      <c r="N90" s="28">
        <f t="shared" si="35"/>
        <v>0</v>
      </c>
      <c r="O90" s="28">
        <f t="shared" si="35"/>
        <v>0</v>
      </c>
      <c r="P90" s="28">
        <f t="shared" si="35"/>
        <v>0</v>
      </c>
      <c r="Q90" s="28">
        <f t="shared" si="35"/>
        <v>0</v>
      </c>
      <c r="R90" s="28">
        <f t="shared" si="35"/>
        <v>0</v>
      </c>
      <c r="S90" s="28">
        <f t="shared" si="35"/>
        <v>0</v>
      </c>
      <c r="T90" s="28">
        <f t="shared" si="35"/>
        <v>0</v>
      </c>
      <c r="U90" s="28">
        <f t="shared" si="35"/>
        <v>0</v>
      </c>
      <c r="V90" s="28">
        <f t="shared" si="35"/>
        <v>0</v>
      </c>
      <c r="W90" s="28">
        <f t="shared" si="35"/>
        <v>1</v>
      </c>
      <c r="X90" s="28">
        <f t="shared" si="36"/>
        <v>0</v>
      </c>
      <c r="Y90" s="28">
        <f t="shared" si="36"/>
        <v>0</v>
      </c>
      <c r="Z90" s="28">
        <f t="shared" si="36"/>
        <v>0</v>
      </c>
      <c r="AA90" s="28">
        <f t="shared" si="36"/>
        <v>0</v>
      </c>
      <c r="AB90" s="28">
        <f t="shared" si="36"/>
        <v>0</v>
      </c>
      <c r="AC90" s="28">
        <f t="shared" si="36"/>
        <v>0</v>
      </c>
      <c r="AD90" s="28">
        <f t="shared" si="36"/>
        <v>0</v>
      </c>
      <c r="AE90" s="28">
        <f t="shared" si="36"/>
        <v>0</v>
      </c>
      <c r="AF90" s="28">
        <f t="shared" si="36"/>
        <v>0</v>
      </c>
      <c r="AG90" s="28">
        <f t="shared" si="36"/>
        <v>0</v>
      </c>
      <c r="AH90" s="28">
        <f t="shared" si="34"/>
        <v>1</v>
      </c>
    </row>
    <row r="91" spans="1:34" ht="10.5" x14ac:dyDescent="0.15">
      <c r="A91" s="904" t="s">
        <v>2748</v>
      </c>
      <c r="B91" s="904" t="s">
        <v>359</v>
      </c>
      <c r="C91" s="902"/>
      <c r="D91" s="902"/>
      <c r="E91" s="902">
        <v>311158.10551558208</v>
      </c>
      <c r="F91" s="902"/>
      <c r="G91" s="902"/>
      <c r="H91" s="902"/>
      <c r="I91" s="902"/>
      <c r="J91" s="902">
        <v>311158.10551558208</v>
      </c>
      <c r="K91" s="24">
        <f t="shared" si="33"/>
        <v>2019</v>
      </c>
      <c r="L91" s="66"/>
      <c r="M91" s="33">
        <f t="shared" si="30"/>
        <v>49095474.99999994</v>
      </c>
      <c r="N91" s="28">
        <f t="shared" si="35"/>
        <v>0</v>
      </c>
      <c r="O91" s="28">
        <f t="shared" si="35"/>
        <v>0</v>
      </c>
      <c r="P91" s="28">
        <f t="shared" si="35"/>
        <v>0</v>
      </c>
      <c r="Q91" s="28">
        <f t="shared" si="35"/>
        <v>0</v>
      </c>
      <c r="R91" s="28">
        <f t="shared" si="35"/>
        <v>0</v>
      </c>
      <c r="S91" s="28">
        <f t="shared" si="35"/>
        <v>0</v>
      </c>
      <c r="T91" s="28">
        <f t="shared" si="35"/>
        <v>0</v>
      </c>
      <c r="U91" s="28">
        <f t="shared" si="35"/>
        <v>0</v>
      </c>
      <c r="V91" s="28">
        <f t="shared" si="35"/>
        <v>0</v>
      </c>
      <c r="W91" s="28">
        <f t="shared" si="35"/>
        <v>1</v>
      </c>
      <c r="X91" s="28">
        <f t="shared" si="36"/>
        <v>0</v>
      </c>
      <c r="Y91" s="28">
        <f t="shared" si="36"/>
        <v>0</v>
      </c>
      <c r="Z91" s="28">
        <f t="shared" si="36"/>
        <v>0</v>
      </c>
      <c r="AA91" s="28">
        <f t="shared" si="36"/>
        <v>0</v>
      </c>
      <c r="AB91" s="28">
        <f t="shared" si="36"/>
        <v>0</v>
      </c>
      <c r="AC91" s="28">
        <f t="shared" si="36"/>
        <v>0</v>
      </c>
      <c r="AD91" s="28">
        <f t="shared" si="36"/>
        <v>0</v>
      </c>
      <c r="AE91" s="28">
        <f t="shared" si="36"/>
        <v>0</v>
      </c>
      <c r="AF91" s="28">
        <f t="shared" si="36"/>
        <v>0</v>
      </c>
      <c r="AG91" s="28">
        <f t="shared" si="36"/>
        <v>0</v>
      </c>
      <c r="AH91" s="28">
        <f t="shared" si="34"/>
        <v>1</v>
      </c>
    </row>
    <row r="92" spans="1:34" ht="10.5" x14ac:dyDescent="0.15">
      <c r="A92" s="895" t="s">
        <v>360</v>
      </c>
      <c r="B92" s="895" t="s">
        <v>361</v>
      </c>
      <c r="C92" s="896"/>
      <c r="D92" s="896">
        <v>449292.65061235166</v>
      </c>
      <c r="E92" s="896"/>
      <c r="F92" s="896"/>
      <c r="G92" s="896"/>
      <c r="H92" s="896"/>
      <c r="I92" s="896"/>
      <c r="J92" s="896">
        <v>449292.65061235166</v>
      </c>
      <c r="K92" s="24">
        <f t="shared" si="33"/>
        <v>2018</v>
      </c>
      <c r="L92" s="66"/>
      <c r="M92" s="33">
        <f t="shared" si="30"/>
        <v>1962985.0000000005</v>
      </c>
      <c r="N92" s="28">
        <f t="shared" si="35"/>
        <v>0</v>
      </c>
      <c r="O92" s="28">
        <f t="shared" si="35"/>
        <v>0</v>
      </c>
      <c r="P92" s="28">
        <f t="shared" si="35"/>
        <v>0</v>
      </c>
      <c r="Q92" s="28">
        <f t="shared" si="35"/>
        <v>0</v>
      </c>
      <c r="R92" s="28">
        <f t="shared" si="35"/>
        <v>0</v>
      </c>
      <c r="S92" s="28">
        <f t="shared" si="35"/>
        <v>0</v>
      </c>
      <c r="T92" s="28">
        <f t="shared" si="35"/>
        <v>0</v>
      </c>
      <c r="U92" s="28">
        <f t="shared" si="35"/>
        <v>0</v>
      </c>
      <c r="V92" s="28">
        <f t="shared" si="35"/>
        <v>0</v>
      </c>
      <c r="W92" s="28">
        <f t="shared" si="35"/>
        <v>1</v>
      </c>
      <c r="X92" s="28">
        <f t="shared" si="36"/>
        <v>0</v>
      </c>
      <c r="Y92" s="28">
        <f t="shared" si="36"/>
        <v>0</v>
      </c>
      <c r="Z92" s="28">
        <f t="shared" si="36"/>
        <v>0</v>
      </c>
      <c r="AA92" s="28">
        <f t="shared" si="36"/>
        <v>0</v>
      </c>
      <c r="AB92" s="28">
        <f t="shared" si="36"/>
        <v>0</v>
      </c>
      <c r="AC92" s="28">
        <f t="shared" si="36"/>
        <v>0</v>
      </c>
      <c r="AD92" s="28">
        <f t="shared" si="36"/>
        <v>0</v>
      </c>
      <c r="AE92" s="28">
        <f t="shared" si="36"/>
        <v>0</v>
      </c>
      <c r="AF92" s="28">
        <f t="shared" si="36"/>
        <v>0</v>
      </c>
      <c r="AG92" s="28">
        <f t="shared" si="36"/>
        <v>0</v>
      </c>
      <c r="AH92" s="28">
        <f t="shared" si="34"/>
        <v>1</v>
      </c>
    </row>
    <row r="93" spans="1:34" ht="10.5" x14ac:dyDescent="0.15">
      <c r="A93" s="895" t="s">
        <v>362</v>
      </c>
      <c r="B93" s="895" t="s">
        <v>363</v>
      </c>
      <c r="C93" s="896"/>
      <c r="D93" s="896">
        <v>3260007.5345756863</v>
      </c>
      <c r="E93" s="896"/>
      <c r="F93" s="896"/>
      <c r="G93" s="896"/>
      <c r="H93" s="896"/>
      <c r="I93" s="896"/>
      <c r="J93" s="896">
        <v>3260007.5345756863</v>
      </c>
      <c r="K93" s="24">
        <f t="shared" si="33"/>
        <v>2018</v>
      </c>
      <c r="L93" s="66"/>
      <c r="M93" s="33">
        <f t="shared" si="30"/>
        <v>0</v>
      </c>
      <c r="N93" s="28">
        <f t="shared" si="35"/>
        <v>0</v>
      </c>
      <c r="O93" s="28">
        <f t="shared" si="35"/>
        <v>1.2598210977913676E-2</v>
      </c>
      <c r="P93" s="28">
        <f t="shared" si="35"/>
        <v>4.0410234138469919E-2</v>
      </c>
      <c r="Q93" s="28">
        <f t="shared" si="35"/>
        <v>1.9519967422123616E-2</v>
      </c>
      <c r="R93" s="28">
        <f t="shared" si="35"/>
        <v>0</v>
      </c>
      <c r="S93" s="28">
        <f t="shared" si="35"/>
        <v>5.2750171450762124E-4</v>
      </c>
      <c r="T93" s="28">
        <f t="shared" si="35"/>
        <v>0</v>
      </c>
      <c r="U93" s="28">
        <f t="shared" si="35"/>
        <v>0</v>
      </c>
      <c r="V93" s="28">
        <f t="shared" si="35"/>
        <v>0</v>
      </c>
      <c r="W93" s="28">
        <f t="shared" si="35"/>
        <v>0.20535383112557634</v>
      </c>
      <c r="X93" s="28">
        <f t="shared" si="36"/>
        <v>6.9132359534140365E-4</v>
      </c>
      <c r="Y93" s="28">
        <f t="shared" si="36"/>
        <v>0.10775079637737764</v>
      </c>
      <c r="Z93" s="28">
        <f t="shared" si="36"/>
        <v>8.184812382001588E-3</v>
      </c>
      <c r="AA93" s="28">
        <f t="shared" si="36"/>
        <v>0</v>
      </c>
      <c r="AB93" s="28">
        <f t="shared" si="36"/>
        <v>0.13438161930988823</v>
      </c>
      <c r="AC93" s="28">
        <f t="shared" si="36"/>
        <v>0.29999201374783002</v>
      </c>
      <c r="AD93" s="28">
        <f t="shared" si="36"/>
        <v>1.6595559557543139E-4</v>
      </c>
      <c r="AE93" s="28">
        <f t="shared" si="36"/>
        <v>0</v>
      </c>
      <c r="AF93" s="28">
        <f t="shared" si="36"/>
        <v>0.17042373361339447</v>
      </c>
      <c r="AG93" s="28">
        <f t="shared" si="36"/>
        <v>0</v>
      </c>
      <c r="AH93" s="28">
        <f t="shared" si="34"/>
        <v>0.99999999999999989</v>
      </c>
    </row>
    <row r="94" spans="1:34" ht="10.5" x14ac:dyDescent="0.15">
      <c r="A94" s="895" t="s">
        <v>364</v>
      </c>
      <c r="B94" s="895" t="s">
        <v>365</v>
      </c>
      <c r="C94" s="900"/>
      <c r="D94" s="900">
        <v>220411.61225822277</v>
      </c>
      <c r="E94" s="900"/>
      <c r="F94" s="896"/>
      <c r="G94" s="896"/>
      <c r="H94" s="896"/>
      <c r="I94" s="896"/>
      <c r="J94" s="896">
        <v>220411.61225822277</v>
      </c>
      <c r="K94" s="24">
        <f t="shared" si="33"/>
        <v>2018</v>
      </c>
      <c r="L94" s="66"/>
      <c r="M94" s="33">
        <f t="shared" si="30"/>
        <v>130559.99999999997</v>
      </c>
      <c r="N94" s="28">
        <f t="shared" si="35"/>
        <v>0</v>
      </c>
      <c r="O94" s="28">
        <f t="shared" si="35"/>
        <v>0</v>
      </c>
      <c r="P94" s="28">
        <f t="shared" si="35"/>
        <v>0</v>
      </c>
      <c r="Q94" s="28">
        <f t="shared" si="35"/>
        <v>0</v>
      </c>
      <c r="R94" s="28">
        <f t="shared" si="35"/>
        <v>0</v>
      </c>
      <c r="S94" s="28">
        <f t="shared" si="35"/>
        <v>0</v>
      </c>
      <c r="T94" s="28">
        <f t="shared" si="35"/>
        <v>0</v>
      </c>
      <c r="U94" s="28">
        <f t="shared" si="35"/>
        <v>1</v>
      </c>
      <c r="V94" s="28">
        <f t="shared" si="35"/>
        <v>0</v>
      </c>
      <c r="W94" s="28">
        <f t="shared" si="35"/>
        <v>0</v>
      </c>
      <c r="X94" s="28">
        <f t="shared" si="36"/>
        <v>0</v>
      </c>
      <c r="Y94" s="28">
        <f t="shared" si="36"/>
        <v>0</v>
      </c>
      <c r="Z94" s="28">
        <f t="shared" si="36"/>
        <v>0</v>
      </c>
      <c r="AA94" s="28">
        <f t="shared" si="36"/>
        <v>0</v>
      </c>
      <c r="AB94" s="28">
        <f t="shared" si="36"/>
        <v>0</v>
      </c>
      <c r="AC94" s="28">
        <f t="shared" si="36"/>
        <v>0</v>
      </c>
      <c r="AD94" s="28">
        <f t="shared" si="36"/>
        <v>0</v>
      </c>
      <c r="AE94" s="28">
        <f t="shared" si="36"/>
        <v>0</v>
      </c>
      <c r="AF94" s="28">
        <f t="shared" si="36"/>
        <v>0</v>
      </c>
      <c r="AG94" s="28">
        <f t="shared" si="36"/>
        <v>0</v>
      </c>
      <c r="AH94" s="28">
        <f t="shared" si="34"/>
        <v>1</v>
      </c>
    </row>
    <row r="95" spans="1:34" ht="10.5" x14ac:dyDescent="0.15">
      <c r="A95" s="895" t="s">
        <v>366</v>
      </c>
      <c r="B95" s="895" t="s">
        <v>2381</v>
      </c>
      <c r="C95" s="900"/>
      <c r="D95" s="900">
        <v>1562694.4778147135</v>
      </c>
      <c r="E95" s="900"/>
      <c r="F95" s="896"/>
      <c r="G95" s="896"/>
      <c r="H95" s="896"/>
      <c r="I95" s="896"/>
      <c r="J95" s="896">
        <v>1562694.4778147135</v>
      </c>
      <c r="K95" s="24">
        <f t="shared" si="33"/>
        <v>2018</v>
      </c>
      <c r="L95" s="66"/>
      <c r="M95" s="33">
        <f t="shared" si="30"/>
        <v>37400.000000000029</v>
      </c>
      <c r="N95" s="28">
        <f t="shared" si="35"/>
        <v>0</v>
      </c>
      <c r="O95" s="28">
        <f t="shared" si="35"/>
        <v>0</v>
      </c>
      <c r="P95" s="28">
        <f t="shared" si="35"/>
        <v>0</v>
      </c>
      <c r="Q95" s="28">
        <f t="shared" si="35"/>
        <v>1</v>
      </c>
      <c r="R95" s="28">
        <f t="shared" si="35"/>
        <v>0</v>
      </c>
      <c r="S95" s="28">
        <f t="shared" si="35"/>
        <v>0</v>
      </c>
      <c r="T95" s="28">
        <f t="shared" si="35"/>
        <v>0</v>
      </c>
      <c r="U95" s="28">
        <f t="shared" si="35"/>
        <v>0</v>
      </c>
      <c r="V95" s="28">
        <f t="shared" si="35"/>
        <v>0</v>
      </c>
      <c r="W95" s="28">
        <f t="shared" si="35"/>
        <v>0</v>
      </c>
      <c r="X95" s="28">
        <f t="shared" si="36"/>
        <v>0</v>
      </c>
      <c r="Y95" s="28">
        <f t="shared" si="36"/>
        <v>0</v>
      </c>
      <c r="Z95" s="28">
        <f t="shared" si="36"/>
        <v>0</v>
      </c>
      <c r="AA95" s="28">
        <f t="shared" si="36"/>
        <v>0</v>
      </c>
      <c r="AB95" s="28">
        <f t="shared" si="36"/>
        <v>0</v>
      </c>
      <c r="AC95" s="28">
        <f t="shared" si="36"/>
        <v>0</v>
      </c>
      <c r="AD95" s="28">
        <f t="shared" si="36"/>
        <v>0</v>
      </c>
      <c r="AE95" s="28">
        <f t="shared" si="36"/>
        <v>0</v>
      </c>
      <c r="AF95" s="28">
        <f t="shared" si="36"/>
        <v>0</v>
      </c>
      <c r="AG95" s="28">
        <f t="shared" si="36"/>
        <v>0</v>
      </c>
      <c r="AH95" s="28">
        <f t="shared" si="34"/>
        <v>1</v>
      </c>
    </row>
    <row r="96" spans="1:34" ht="10.5" x14ac:dyDescent="0.15">
      <c r="A96" s="895" t="s">
        <v>371</v>
      </c>
      <c r="B96" s="895" t="s">
        <v>2304</v>
      </c>
      <c r="C96" s="900"/>
      <c r="D96" s="900"/>
      <c r="E96" s="900"/>
      <c r="F96" s="896">
        <v>280044.39865198848</v>
      </c>
      <c r="G96" s="896"/>
      <c r="H96" s="896"/>
      <c r="I96" s="896"/>
      <c r="J96" s="896">
        <v>280044.39865198848</v>
      </c>
      <c r="K96" s="24">
        <f t="shared" si="33"/>
        <v>2020</v>
      </c>
      <c r="L96" s="66"/>
      <c r="M96" s="33">
        <f t="shared" si="30"/>
        <v>12500.000000000002</v>
      </c>
      <c r="N96" s="28">
        <f t="shared" si="35"/>
        <v>0</v>
      </c>
      <c r="O96" s="28">
        <f t="shared" si="35"/>
        <v>0</v>
      </c>
      <c r="P96" s="28">
        <f t="shared" si="35"/>
        <v>0</v>
      </c>
      <c r="Q96" s="28">
        <f t="shared" si="35"/>
        <v>1</v>
      </c>
      <c r="R96" s="28">
        <f t="shared" si="35"/>
        <v>0</v>
      </c>
      <c r="S96" s="28">
        <f t="shared" si="35"/>
        <v>0</v>
      </c>
      <c r="T96" s="28">
        <f t="shared" si="35"/>
        <v>0</v>
      </c>
      <c r="U96" s="28">
        <f t="shared" si="35"/>
        <v>0</v>
      </c>
      <c r="V96" s="28">
        <f t="shared" si="35"/>
        <v>0</v>
      </c>
      <c r="W96" s="28">
        <f t="shared" si="35"/>
        <v>0</v>
      </c>
      <c r="X96" s="28">
        <f t="shared" si="36"/>
        <v>0</v>
      </c>
      <c r="Y96" s="28">
        <f t="shared" si="36"/>
        <v>0</v>
      </c>
      <c r="Z96" s="28">
        <f t="shared" si="36"/>
        <v>0</v>
      </c>
      <c r="AA96" s="28">
        <f t="shared" si="36"/>
        <v>0</v>
      </c>
      <c r="AB96" s="28">
        <f t="shared" si="36"/>
        <v>0</v>
      </c>
      <c r="AC96" s="28">
        <f t="shared" si="36"/>
        <v>0</v>
      </c>
      <c r="AD96" s="28">
        <f t="shared" si="36"/>
        <v>0</v>
      </c>
      <c r="AE96" s="28">
        <f t="shared" si="36"/>
        <v>0</v>
      </c>
      <c r="AF96" s="28">
        <f t="shared" si="36"/>
        <v>0</v>
      </c>
      <c r="AG96" s="28">
        <f t="shared" si="36"/>
        <v>0</v>
      </c>
      <c r="AH96" s="28">
        <f t="shared" si="34"/>
        <v>1</v>
      </c>
    </row>
    <row r="97" spans="1:34" ht="10.5" x14ac:dyDescent="0.15">
      <c r="A97" s="895" t="s">
        <v>372</v>
      </c>
      <c r="B97" s="895" t="s">
        <v>373</v>
      </c>
      <c r="C97" s="900"/>
      <c r="D97" s="900"/>
      <c r="E97" s="900">
        <v>357049.44100164593</v>
      </c>
      <c r="F97" s="896"/>
      <c r="G97" s="896"/>
      <c r="H97" s="896"/>
      <c r="I97" s="896"/>
      <c r="J97" s="896">
        <v>357049.44100164593</v>
      </c>
      <c r="K97" s="24">
        <f t="shared" si="33"/>
        <v>2019</v>
      </c>
      <c r="L97" s="66"/>
      <c r="M97" s="33">
        <f t="shared" si="30"/>
        <v>235500.00000000009</v>
      </c>
      <c r="N97" s="28">
        <f t="shared" si="35"/>
        <v>0.69851380042462841</v>
      </c>
      <c r="O97" s="28">
        <f t="shared" si="35"/>
        <v>0</v>
      </c>
      <c r="P97" s="28">
        <f t="shared" si="35"/>
        <v>0</v>
      </c>
      <c r="Q97" s="28">
        <f t="shared" si="35"/>
        <v>0</v>
      </c>
      <c r="R97" s="28">
        <f t="shared" si="35"/>
        <v>0</v>
      </c>
      <c r="S97" s="28">
        <f t="shared" si="35"/>
        <v>0</v>
      </c>
      <c r="T97" s="28">
        <f t="shared" si="35"/>
        <v>0</v>
      </c>
      <c r="U97" s="28">
        <f t="shared" si="35"/>
        <v>0.30148619957537154</v>
      </c>
      <c r="V97" s="28">
        <f t="shared" si="35"/>
        <v>0</v>
      </c>
      <c r="W97" s="28">
        <f t="shared" si="35"/>
        <v>0</v>
      </c>
      <c r="X97" s="28">
        <f t="shared" si="36"/>
        <v>0</v>
      </c>
      <c r="Y97" s="28">
        <f t="shared" si="36"/>
        <v>0</v>
      </c>
      <c r="Z97" s="28">
        <f t="shared" si="36"/>
        <v>0</v>
      </c>
      <c r="AA97" s="28">
        <f t="shared" si="36"/>
        <v>0</v>
      </c>
      <c r="AB97" s="28">
        <f t="shared" si="36"/>
        <v>0</v>
      </c>
      <c r="AC97" s="28">
        <f t="shared" si="36"/>
        <v>0</v>
      </c>
      <c r="AD97" s="28">
        <f t="shared" si="36"/>
        <v>0</v>
      </c>
      <c r="AE97" s="28">
        <f t="shared" si="36"/>
        <v>0</v>
      </c>
      <c r="AF97" s="28">
        <f t="shared" si="36"/>
        <v>0</v>
      </c>
      <c r="AG97" s="28">
        <f t="shared" si="36"/>
        <v>0</v>
      </c>
      <c r="AH97" s="28">
        <f t="shared" si="34"/>
        <v>1</v>
      </c>
    </row>
    <row r="98" spans="1:34" ht="10.5" x14ac:dyDescent="0.15">
      <c r="A98" s="895" t="s">
        <v>374</v>
      </c>
      <c r="B98" s="895" t="s">
        <v>375</v>
      </c>
      <c r="C98" s="900"/>
      <c r="D98" s="900"/>
      <c r="E98" s="900">
        <v>150149.58517432027</v>
      </c>
      <c r="F98" s="896"/>
      <c r="G98" s="896"/>
      <c r="H98" s="896"/>
      <c r="I98" s="896"/>
      <c r="J98" s="896">
        <v>150149.58517432027</v>
      </c>
      <c r="K98" s="24">
        <f t="shared" si="33"/>
        <v>2019</v>
      </c>
      <c r="L98" s="66"/>
      <c r="M98" s="33">
        <f t="shared" si="30"/>
        <v>122000.0000000001</v>
      </c>
      <c r="N98" s="28">
        <f t="shared" si="35"/>
        <v>0</v>
      </c>
      <c r="O98" s="28">
        <f t="shared" si="35"/>
        <v>0</v>
      </c>
      <c r="P98" s="28">
        <f t="shared" si="35"/>
        <v>0</v>
      </c>
      <c r="Q98" s="28">
        <f t="shared" si="35"/>
        <v>0</v>
      </c>
      <c r="R98" s="28">
        <f t="shared" si="35"/>
        <v>0</v>
      </c>
      <c r="S98" s="28">
        <f t="shared" si="35"/>
        <v>0</v>
      </c>
      <c r="T98" s="28">
        <f t="shared" si="35"/>
        <v>0</v>
      </c>
      <c r="U98" s="28">
        <f t="shared" si="35"/>
        <v>1</v>
      </c>
      <c r="V98" s="28">
        <f t="shared" si="35"/>
        <v>0</v>
      </c>
      <c r="W98" s="28">
        <f t="shared" si="35"/>
        <v>0</v>
      </c>
      <c r="X98" s="28">
        <f t="shared" si="36"/>
        <v>0</v>
      </c>
      <c r="Y98" s="28">
        <f t="shared" si="36"/>
        <v>0</v>
      </c>
      <c r="Z98" s="28">
        <f t="shared" si="36"/>
        <v>0</v>
      </c>
      <c r="AA98" s="28">
        <f t="shared" si="36"/>
        <v>0</v>
      </c>
      <c r="AB98" s="28">
        <f t="shared" si="36"/>
        <v>0</v>
      </c>
      <c r="AC98" s="28">
        <f t="shared" si="36"/>
        <v>0</v>
      </c>
      <c r="AD98" s="28">
        <f t="shared" si="36"/>
        <v>0</v>
      </c>
      <c r="AE98" s="28">
        <f t="shared" si="36"/>
        <v>0</v>
      </c>
      <c r="AF98" s="28">
        <f t="shared" si="36"/>
        <v>0</v>
      </c>
      <c r="AG98" s="28">
        <f t="shared" si="36"/>
        <v>0</v>
      </c>
      <c r="AH98" s="28">
        <f t="shared" si="34"/>
        <v>1</v>
      </c>
    </row>
    <row r="99" spans="1:34" ht="10.5" x14ac:dyDescent="0.15">
      <c r="A99" s="895" t="s">
        <v>376</v>
      </c>
      <c r="B99" s="895" t="s">
        <v>377</v>
      </c>
      <c r="C99" s="900"/>
      <c r="D99" s="900"/>
      <c r="E99" s="900"/>
      <c r="F99" s="896"/>
      <c r="G99" s="896"/>
      <c r="H99" s="896"/>
      <c r="I99" s="896">
        <v>2469903.4963499731</v>
      </c>
      <c r="J99" s="896">
        <v>2469903.4963499731</v>
      </c>
      <c r="K99" s="24">
        <f t="shared" si="33"/>
        <v>2023</v>
      </c>
      <c r="L99" s="66"/>
      <c r="M99" s="33">
        <f t="shared" si="30"/>
        <v>0</v>
      </c>
      <c r="N99" s="28">
        <f t="shared" ref="N99:W108" si="37">IF($M99=0,VLOOKUP(MID($A99,4,5),ProjectSplits,N$2,FALSE),IF(ISNA(VLOOKUP(LEFT($A99,8),Estimates,N$1,FALSE)),VLOOKUP(MID($A99,4,5),ProjectSplits,N$2,FALSE),VLOOKUP(LEFT($A99,8),Estimates,N$1,FALSE)))</f>
        <v>0</v>
      </c>
      <c r="O99" s="28">
        <f t="shared" si="37"/>
        <v>0</v>
      </c>
      <c r="P99" s="28">
        <f t="shared" si="37"/>
        <v>0</v>
      </c>
      <c r="Q99" s="28">
        <f t="shared" si="37"/>
        <v>0</v>
      </c>
      <c r="R99" s="28">
        <f t="shared" si="37"/>
        <v>0</v>
      </c>
      <c r="S99" s="28">
        <f t="shared" si="37"/>
        <v>0</v>
      </c>
      <c r="T99" s="28">
        <f t="shared" si="37"/>
        <v>0</v>
      </c>
      <c r="U99" s="28">
        <f t="shared" si="37"/>
        <v>1</v>
      </c>
      <c r="V99" s="28">
        <f t="shared" si="37"/>
        <v>0</v>
      </c>
      <c r="W99" s="28">
        <f t="shared" si="37"/>
        <v>0</v>
      </c>
      <c r="X99" s="28">
        <f t="shared" ref="X99:AG108" si="38">IF($M99=0,VLOOKUP(MID($A99,4,5),ProjectSplits,X$2,FALSE),IF(ISNA(VLOOKUP(LEFT($A99,8),Estimates,X$1,FALSE)),VLOOKUP(MID($A99,4,5),ProjectSplits,X$2,FALSE),VLOOKUP(LEFT($A99,8),Estimates,X$1,FALSE)))</f>
        <v>0</v>
      </c>
      <c r="Y99" s="28">
        <f t="shared" si="38"/>
        <v>0</v>
      </c>
      <c r="Z99" s="28">
        <f t="shared" si="38"/>
        <v>0</v>
      </c>
      <c r="AA99" s="28">
        <f t="shared" si="38"/>
        <v>0</v>
      </c>
      <c r="AB99" s="28">
        <f t="shared" si="38"/>
        <v>0</v>
      </c>
      <c r="AC99" s="28">
        <f t="shared" si="38"/>
        <v>0</v>
      </c>
      <c r="AD99" s="28">
        <f t="shared" si="38"/>
        <v>0</v>
      </c>
      <c r="AE99" s="28">
        <f t="shared" si="38"/>
        <v>0</v>
      </c>
      <c r="AF99" s="28">
        <f t="shared" si="38"/>
        <v>0</v>
      </c>
      <c r="AG99" s="28">
        <f t="shared" si="38"/>
        <v>0</v>
      </c>
      <c r="AH99" s="28">
        <f t="shared" si="34"/>
        <v>1</v>
      </c>
    </row>
    <row r="100" spans="1:34" ht="10.5" x14ac:dyDescent="0.15">
      <c r="A100" s="895" t="s">
        <v>379</v>
      </c>
      <c r="B100" s="895" t="s">
        <v>380</v>
      </c>
      <c r="C100" s="900"/>
      <c r="D100" s="900"/>
      <c r="E100" s="900">
        <v>2372450.391277032</v>
      </c>
      <c r="F100" s="896"/>
      <c r="G100" s="896"/>
      <c r="H100" s="896"/>
      <c r="I100" s="896"/>
      <c r="J100" s="896">
        <v>2372450.391277032</v>
      </c>
      <c r="K100" s="24">
        <f t="shared" si="33"/>
        <v>2019</v>
      </c>
      <c r="L100" s="66"/>
      <c r="M100" s="33">
        <f t="shared" si="30"/>
        <v>2094358.0000000002</v>
      </c>
      <c r="N100" s="28">
        <f t="shared" si="37"/>
        <v>0</v>
      </c>
      <c r="O100" s="28">
        <f t="shared" si="37"/>
        <v>0</v>
      </c>
      <c r="P100" s="28">
        <f t="shared" si="37"/>
        <v>0</v>
      </c>
      <c r="Q100" s="28">
        <f t="shared" si="37"/>
        <v>0</v>
      </c>
      <c r="R100" s="28">
        <f t="shared" si="37"/>
        <v>0</v>
      </c>
      <c r="S100" s="28">
        <f t="shared" si="37"/>
        <v>0</v>
      </c>
      <c r="T100" s="28">
        <f t="shared" si="37"/>
        <v>0</v>
      </c>
      <c r="U100" s="28">
        <f t="shared" si="37"/>
        <v>0</v>
      </c>
      <c r="V100" s="28">
        <f t="shared" si="37"/>
        <v>0</v>
      </c>
      <c r="W100" s="28">
        <f t="shared" si="37"/>
        <v>1</v>
      </c>
      <c r="X100" s="28">
        <f t="shared" si="38"/>
        <v>0</v>
      </c>
      <c r="Y100" s="28">
        <f t="shared" si="38"/>
        <v>0</v>
      </c>
      <c r="Z100" s="28">
        <f t="shared" si="38"/>
        <v>0</v>
      </c>
      <c r="AA100" s="28">
        <f t="shared" si="38"/>
        <v>0</v>
      </c>
      <c r="AB100" s="28">
        <f t="shared" si="38"/>
        <v>0</v>
      </c>
      <c r="AC100" s="28">
        <f t="shared" si="38"/>
        <v>0</v>
      </c>
      <c r="AD100" s="28">
        <f t="shared" si="38"/>
        <v>0</v>
      </c>
      <c r="AE100" s="28">
        <f t="shared" si="38"/>
        <v>0</v>
      </c>
      <c r="AF100" s="28">
        <f t="shared" si="38"/>
        <v>0</v>
      </c>
      <c r="AG100" s="28">
        <f t="shared" si="38"/>
        <v>0</v>
      </c>
      <c r="AH100" s="28">
        <f t="shared" si="34"/>
        <v>1</v>
      </c>
    </row>
    <row r="101" spans="1:34" ht="10.5" x14ac:dyDescent="0.15">
      <c r="A101" s="895" t="s">
        <v>381</v>
      </c>
      <c r="B101" s="895" t="s">
        <v>2305</v>
      </c>
      <c r="C101" s="900"/>
      <c r="D101" s="900"/>
      <c r="E101" s="900"/>
      <c r="F101" s="896"/>
      <c r="G101" s="896"/>
      <c r="H101" s="896">
        <v>2129330.9099010327</v>
      </c>
      <c r="I101" s="896"/>
      <c r="J101" s="896">
        <v>2129330.9099010327</v>
      </c>
      <c r="K101" s="24">
        <f t="shared" si="33"/>
        <v>2022</v>
      </c>
      <c r="L101" s="66"/>
      <c r="M101" s="33">
        <f t="shared" si="30"/>
        <v>1141371.0000000005</v>
      </c>
      <c r="N101" s="28">
        <f t="shared" si="37"/>
        <v>0</v>
      </c>
      <c r="O101" s="28">
        <f t="shared" si="37"/>
        <v>0</v>
      </c>
      <c r="P101" s="28">
        <f t="shared" si="37"/>
        <v>0</v>
      </c>
      <c r="Q101" s="28">
        <f t="shared" si="37"/>
        <v>1</v>
      </c>
      <c r="R101" s="28">
        <f t="shared" si="37"/>
        <v>0</v>
      </c>
      <c r="S101" s="28">
        <f t="shared" si="37"/>
        <v>0</v>
      </c>
      <c r="T101" s="28">
        <f t="shared" si="37"/>
        <v>0</v>
      </c>
      <c r="U101" s="28">
        <f t="shared" si="37"/>
        <v>0</v>
      </c>
      <c r="V101" s="28">
        <f t="shared" si="37"/>
        <v>0</v>
      </c>
      <c r="W101" s="28">
        <f t="shared" si="37"/>
        <v>0</v>
      </c>
      <c r="X101" s="28">
        <f t="shared" si="38"/>
        <v>0</v>
      </c>
      <c r="Y101" s="28">
        <f t="shared" si="38"/>
        <v>0</v>
      </c>
      <c r="Z101" s="28">
        <f t="shared" si="38"/>
        <v>0</v>
      </c>
      <c r="AA101" s="28">
        <f t="shared" si="38"/>
        <v>0</v>
      </c>
      <c r="AB101" s="28">
        <f t="shared" si="38"/>
        <v>0</v>
      </c>
      <c r="AC101" s="28">
        <f t="shared" si="38"/>
        <v>0</v>
      </c>
      <c r="AD101" s="28">
        <f t="shared" si="38"/>
        <v>0</v>
      </c>
      <c r="AE101" s="28">
        <f t="shared" si="38"/>
        <v>0</v>
      </c>
      <c r="AF101" s="28">
        <f t="shared" si="38"/>
        <v>0</v>
      </c>
      <c r="AG101" s="28">
        <f t="shared" si="38"/>
        <v>0</v>
      </c>
      <c r="AH101" s="28">
        <f t="shared" si="34"/>
        <v>1</v>
      </c>
    </row>
    <row r="102" spans="1:34" ht="10.5" x14ac:dyDescent="0.15">
      <c r="A102" s="895" t="s">
        <v>382</v>
      </c>
      <c r="B102" s="895" t="s">
        <v>2306</v>
      </c>
      <c r="C102" s="900"/>
      <c r="D102" s="900"/>
      <c r="E102" s="900">
        <v>1206946.0649037813</v>
      </c>
      <c r="F102" s="896"/>
      <c r="G102" s="896"/>
      <c r="H102" s="896"/>
      <c r="I102" s="896"/>
      <c r="J102" s="896">
        <v>1206946.0649037813</v>
      </c>
      <c r="K102" s="24">
        <f t="shared" si="33"/>
        <v>2019</v>
      </c>
      <c r="L102" s="66"/>
      <c r="M102" s="33">
        <f t="shared" si="30"/>
        <v>60250.000000000029</v>
      </c>
      <c r="N102" s="28">
        <f t="shared" si="37"/>
        <v>0</v>
      </c>
      <c r="O102" s="28">
        <f t="shared" si="37"/>
        <v>0</v>
      </c>
      <c r="P102" s="28">
        <f t="shared" si="37"/>
        <v>0</v>
      </c>
      <c r="Q102" s="28">
        <f t="shared" si="37"/>
        <v>1</v>
      </c>
      <c r="R102" s="28">
        <f t="shared" si="37"/>
        <v>0</v>
      </c>
      <c r="S102" s="28">
        <f t="shared" si="37"/>
        <v>0</v>
      </c>
      <c r="T102" s="28">
        <f t="shared" si="37"/>
        <v>0</v>
      </c>
      <c r="U102" s="28">
        <f t="shared" si="37"/>
        <v>0</v>
      </c>
      <c r="V102" s="28">
        <f t="shared" si="37"/>
        <v>0</v>
      </c>
      <c r="W102" s="28">
        <f t="shared" si="37"/>
        <v>0</v>
      </c>
      <c r="X102" s="28">
        <f t="shared" si="38"/>
        <v>0</v>
      </c>
      <c r="Y102" s="28">
        <f t="shared" si="38"/>
        <v>0</v>
      </c>
      <c r="Z102" s="28">
        <f t="shared" si="38"/>
        <v>0</v>
      </c>
      <c r="AA102" s="28">
        <f t="shared" si="38"/>
        <v>0</v>
      </c>
      <c r="AB102" s="28">
        <f t="shared" si="38"/>
        <v>0</v>
      </c>
      <c r="AC102" s="28">
        <f t="shared" si="38"/>
        <v>0</v>
      </c>
      <c r="AD102" s="28">
        <f t="shared" si="38"/>
        <v>0</v>
      </c>
      <c r="AE102" s="28">
        <f t="shared" si="38"/>
        <v>0</v>
      </c>
      <c r="AF102" s="28">
        <f t="shared" si="38"/>
        <v>0</v>
      </c>
      <c r="AG102" s="28">
        <f t="shared" si="38"/>
        <v>0</v>
      </c>
      <c r="AH102" s="28">
        <f t="shared" si="34"/>
        <v>1</v>
      </c>
    </row>
    <row r="103" spans="1:34" ht="10.5" x14ac:dyDescent="0.15">
      <c r="A103" s="895" t="s">
        <v>383</v>
      </c>
      <c r="B103" s="895" t="s">
        <v>384</v>
      </c>
      <c r="C103" s="896"/>
      <c r="D103" s="896"/>
      <c r="E103" s="896"/>
      <c r="F103" s="896"/>
      <c r="G103" s="896">
        <v>2584306.5276771928</v>
      </c>
      <c r="H103" s="896"/>
      <c r="I103" s="896"/>
      <c r="J103" s="896">
        <v>2584306.5276771928</v>
      </c>
      <c r="K103" s="24">
        <f t="shared" si="33"/>
        <v>2021</v>
      </c>
      <c r="L103" s="66"/>
      <c r="M103" s="33">
        <f t="shared" si="30"/>
        <v>1769192.0000000023</v>
      </c>
      <c r="N103" s="28">
        <f t="shared" si="37"/>
        <v>0</v>
      </c>
      <c r="O103" s="28">
        <f t="shared" si="37"/>
        <v>0</v>
      </c>
      <c r="P103" s="28">
        <f t="shared" si="37"/>
        <v>0</v>
      </c>
      <c r="Q103" s="28">
        <f t="shared" si="37"/>
        <v>1</v>
      </c>
      <c r="R103" s="28">
        <f t="shared" si="37"/>
        <v>0</v>
      </c>
      <c r="S103" s="28">
        <f t="shared" si="37"/>
        <v>0</v>
      </c>
      <c r="T103" s="28">
        <f t="shared" si="37"/>
        <v>0</v>
      </c>
      <c r="U103" s="28">
        <f t="shared" si="37"/>
        <v>0</v>
      </c>
      <c r="V103" s="28">
        <f t="shared" si="37"/>
        <v>0</v>
      </c>
      <c r="W103" s="28">
        <f t="shared" si="37"/>
        <v>0</v>
      </c>
      <c r="X103" s="28">
        <f t="shared" si="38"/>
        <v>0</v>
      </c>
      <c r="Y103" s="28">
        <f t="shared" si="38"/>
        <v>0</v>
      </c>
      <c r="Z103" s="28">
        <f t="shared" si="38"/>
        <v>0</v>
      </c>
      <c r="AA103" s="28">
        <f t="shared" si="38"/>
        <v>0</v>
      </c>
      <c r="AB103" s="28">
        <f t="shared" si="38"/>
        <v>0</v>
      </c>
      <c r="AC103" s="28">
        <f t="shared" si="38"/>
        <v>0</v>
      </c>
      <c r="AD103" s="28">
        <f t="shared" si="38"/>
        <v>0</v>
      </c>
      <c r="AE103" s="28">
        <f t="shared" si="38"/>
        <v>0</v>
      </c>
      <c r="AF103" s="28">
        <f t="shared" si="38"/>
        <v>0</v>
      </c>
      <c r="AG103" s="28">
        <f t="shared" si="38"/>
        <v>0</v>
      </c>
      <c r="AH103" s="28">
        <f t="shared" si="34"/>
        <v>1</v>
      </c>
    </row>
    <row r="104" spans="1:34" ht="10.5" x14ac:dyDescent="0.15">
      <c r="A104" s="895" t="s">
        <v>385</v>
      </c>
      <c r="B104" s="895" t="s">
        <v>2307</v>
      </c>
      <c r="C104" s="896"/>
      <c r="D104" s="896"/>
      <c r="E104" s="896"/>
      <c r="F104" s="896"/>
      <c r="G104" s="896"/>
      <c r="H104" s="896"/>
      <c r="I104" s="896">
        <v>1348706.3534641739</v>
      </c>
      <c r="J104" s="896">
        <v>1348706.3534641739</v>
      </c>
      <c r="K104" s="24">
        <f t="shared" si="33"/>
        <v>2023</v>
      </c>
      <c r="L104" s="66"/>
      <c r="M104" s="33">
        <f t="shared" si="30"/>
        <v>220000</v>
      </c>
      <c r="N104" s="28">
        <f t="shared" si="37"/>
        <v>0</v>
      </c>
      <c r="O104" s="28">
        <f t="shared" si="37"/>
        <v>0</v>
      </c>
      <c r="P104" s="28">
        <f t="shared" si="37"/>
        <v>0</v>
      </c>
      <c r="Q104" s="28">
        <f t="shared" si="37"/>
        <v>1</v>
      </c>
      <c r="R104" s="28">
        <f t="shared" si="37"/>
        <v>0</v>
      </c>
      <c r="S104" s="28">
        <f t="shared" si="37"/>
        <v>0</v>
      </c>
      <c r="T104" s="28">
        <f t="shared" si="37"/>
        <v>0</v>
      </c>
      <c r="U104" s="28">
        <f t="shared" si="37"/>
        <v>0</v>
      </c>
      <c r="V104" s="28">
        <f t="shared" si="37"/>
        <v>0</v>
      </c>
      <c r="W104" s="28">
        <f t="shared" si="37"/>
        <v>0</v>
      </c>
      <c r="X104" s="28">
        <f t="shared" si="38"/>
        <v>0</v>
      </c>
      <c r="Y104" s="28">
        <f t="shared" si="38"/>
        <v>0</v>
      </c>
      <c r="Z104" s="28">
        <f t="shared" si="38"/>
        <v>0</v>
      </c>
      <c r="AA104" s="28">
        <f t="shared" si="38"/>
        <v>0</v>
      </c>
      <c r="AB104" s="28">
        <f t="shared" si="38"/>
        <v>0</v>
      </c>
      <c r="AC104" s="28">
        <f t="shared" si="38"/>
        <v>0</v>
      </c>
      <c r="AD104" s="28">
        <f t="shared" si="38"/>
        <v>0</v>
      </c>
      <c r="AE104" s="28">
        <f t="shared" si="38"/>
        <v>0</v>
      </c>
      <c r="AF104" s="28">
        <f t="shared" si="38"/>
        <v>0</v>
      </c>
      <c r="AG104" s="28">
        <f t="shared" si="38"/>
        <v>0</v>
      </c>
      <c r="AH104" s="28">
        <f t="shared" si="34"/>
        <v>1</v>
      </c>
    </row>
    <row r="105" spans="1:34" ht="10.5" x14ac:dyDescent="0.15">
      <c r="A105" s="895" t="s">
        <v>388</v>
      </c>
      <c r="B105" s="895" t="s">
        <v>389</v>
      </c>
      <c r="C105" s="896"/>
      <c r="D105" s="896"/>
      <c r="E105" s="896"/>
      <c r="F105" s="896"/>
      <c r="G105" s="896"/>
      <c r="H105" s="896">
        <v>3485597.9796868768</v>
      </c>
      <c r="I105" s="896"/>
      <c r="J105" s="896">
        <v>3485597.9796868768</v>
      </c>
      <c r="K105" s="24">
        <f t="shared" si="33"/>
        <v>2022</v>
      </c>
      <c r="L105" s="66"/>
      <c r="M105" s="33">
        <f t="shared" si="30"/>
        <v>0</v>
      </c>
      <c r="N105" s="28">
        <f t="shared" si="37"/>
        <v>0</v>
      </c>
      <c r="O105" s="28">
        <f t="shared" si="37"/>
        <v>0</v>
      </c>
      <c r="P105" s="28">
        <f t="shared" si="37"/>
        <v>0</v>
      </c>
      <c r="Q105" s="28">
        <f t="shared" si="37"/>
        <v>0</v>
      </c>
      <c r="R105" s="28">
        <f t="shared" si="37"/>
        <v>0</v>
      </c>
      <c r="S105" s="28">
        <f t="shared" si="37"/>
        <v>0</v>
      </c>
      <c r="T105" s="28">
        <f t="shared" si="37"/>
        <v>0</v>
      </c>
      <c r="U105" s="28">
        <f t="shared" si="37"/>
        <v>1</v>
      </c>
      <c r="V105" s="28">
        <f t="shared" si="37"/>
        <v>0</v>
      </c>
      <c r="W105" s="28">
        <f t="shared" si="37"/>
        <v>0</v>
      </c>
      <c r="X105" s="28">
        <f t="shared" si="38"/>
        <v>0</v>
      </c>
      <c r="Y105" s="28">
        <f t="shared" si="38"/>
        <v>0</v>
      </c>
      <c r="Z105" s="28">
        <f t="shared" si="38"/>
        <v>0</v>
      </c>
      <c r="AA105" s="28">
        <f t="shared" si="38"/>
        <v>0</v>
      </c>
      <c r="AB105" s="28">
        <f t="shared" si="38"/>
        <v>0</v>
      </c>
      <c r="AC105" s="28">
        <f t="shared" si="38"/>
        <v>0</v>
      </c>
      <c r="AD105" s="28">
        <f t="shared" si="38"/>
        <v>0</v>
      </c>
      <c r="AE105" s="28">
        <f t="shared" si="38"/>
        <v>0</v>
      </c>
      <c r="AF105" s="28">
        <f t="shared" si="38"/>
        <v>0</v>
      </c>
      <c r="AG105" s="28">
        <f t="shared" si="38"/>
        <v>0</v>
      </c>
      <c r="AH105" s="28">
        <f t="shared" si="34"/>
        <v>1</v>
      </c>
    </row>
    <row r="106" spans="1:34" ht="10.5" x14ac:dyDescent="0.15">
      <c r="A106" s="895" t="s">
        <v>390</v>
      </c>
      <c r="B106" s="895" t="s">
        <v>391</v>
      </c>
      <c r="C106" s="896"/>
      <c r="D106" s="896"/>
      <c r="E106" s="896">
        <v>944023.79816202866</v>
      </c>
      <c r="F106" s="896"/>
      <c r="G106" s="896"/>
      <c r="H106" s="896"/>
      <c r="I106" s="896"/>
      <c r="J106" s="896">
        <v>944023.79816202866</v>
      </c>
      <c r="K106" s="24">
        <f t="shared" si="33"/>
        <v>2019</v>
      </c>
      <c r="L106" s="66"/>
      <c r="M106" s="33">
        <f t="shared" si="30"/>
        <v>300000.00000000012</v>
      </c>
      <c r="N106" s="28">
        <f t="shared" si="37"/>
        <v>0</v>
      </c>
      <c r="O106" s="28">
        <f t="shared" si="37"/>
        <v>0</v>
      </c>
      <c r="P106" s="28">
        <f t="shared" si="37"/>
        <v>0</v>
      </c>
      <c r="Q106" s="28">
        <f t="shared" si="37"/>
        <v>1</v>
      </c>
      <c r="R106" s="28">
        <f t="shared" si="37"/>
        <v>0</v>
      </c>
      <c r="S106" s="28">
        <f t="shared" si="37"/>
        <v>0</v>
      </c>
      <c r="T106" s="28">
        <f t="shared" si="37"/>
        <v>0</v>
      </c>
      <c r="U106" s="28">
        <f t="shared" si="37"/>
        <v>0</v>
      </c>
      <c r="V106" s="28">
        <f t="shared" si="37"/>
        <v>0</v>
      </c>
      <c r="W106" s="28">
        <f t="shared" si="37"/>
        <v>0</v>
      </c>
      <c r="X106" s="28">
        <f t="shared" si="38"/>
        <v>0</v>
      </c>
      <c r="Y106" s="28">
        <f t="shared" si="38"/>
        <v>0</v>
      </c>
      <c r="Z106" s="28">
        <f t="shared" si="38"/>
        <v>0</v>
      </c>
      <c r="AA106" s="28">
        <f t="shared" si="38"/>
        <v>0</v>
      </c>
      <c r="AB106" s="28">
        <f t="shared" si="38"/>
        <v>0</v>
      </c>
      <c r="AC106" s="28">
        <f t="shared" si="38"/>
        <v>0</v>
      </c>
      <c r="AD106" s="28">
        <f t="shared" si="38"/>
        <v>0</v>
      </c>
      <c r="AE106" s="28">
        <f t="shared" si="38"/>
        <v>0</v>
      </c>
      <c r="AF106" s="28">
        <f t="shared" si="38"/>
        <v>0</v>
      </c>
      <c r="AG106" s="28">
        <f t="shared" si="38"/>
        <v>0</v>
      </c>
      <c r="AH106" s="28">
        <f t="shared" si="34"/>
        <v>1</v>
      </c>
    </row>
    <row r="107" spans="1:34" ht="10.5" x14ac:dyDescent="0.15">
      <c r="A107" s="895" t="s">
        <v>394</v>
      </c>
      <c r="B107" s="895" t="s">
        <v>395</v>
      </c>
      <c r="C107" s="896"/>
      <c r="D107" s="896"/>
      <c r="E107" s="896">
        <v>663162.72915560566</v>
      </c>
      <c r="F107" s="896"/>
      <c r="G107" s="896"/>
      <c r="H107" s="896"/>
      <c r="I107" s="896"/>
      <c r="J107" s="896">
        <v>663162.72915560566</v>
      </c>
      <c r="K107" s="24">
        <f t="shared" si="33"/>
        <v>2019</v>
      </c>
      <c r="L107" s="66"/>
      <c r="M107" s="33">
        <f t="shared" si="30"/>
        <v>455000</v>
      </c>
      <c r="N107" s="28">
        <f t="shared" si="37"/>
        <v>1</v>
      </c>
      <c r="O107" s="28">
        <f t="shared" si="37"/>
        <v>0</v>
      </c>
      <c r="P107" s="28">
        <f t="shared" si="37"/>
        <v>0</v>
      </c>
      <c r="Q107" s="28">
        <f t="shared" si="37"/>
        <v>0</v>
      </c>
      <c r="R107" s="28">
        <f t="shared" si="37"/>
        <v>0</v>
      </c>
      <c r="S107" s="28">
        <f t="shared" si="37"/>
        <v>0</v>
      </c>
      <c r="T107" s="28">
        <f t="shared" si="37"/>
        <v>0</v>
      </c>
      <c r="U107" s="28">
        <f t="shared" si="37"/>
        <v>0</v>
      </c>
      <c r="V107" s="28">
        <f t="shared" si="37"/>
        <v>0</v>
      </c>
      <c r="W107" s="28">
        <f t="shared" si="37"/>
        <v>0</v>
      </c>
      <c r="X107" s="28">
        <f t="shared" si="38"/>
        <v>0</v>
      </c>
      <c r="Y107" s="28">
        <f t="shared" si="38"/>
        <v>0</v>
      </c>
      <c r="Z107" s="28">
        <f t="shared" si="38"/>
        <v>0</v>
      </c>
      <c r="AA107" s="28">
        <f t="shared" si="38"/>
        <v>0</v>
      </c>
      <c r="AB107" s="28">
        <f t="shared" si="38"/>
        <v>0</v>
      </c>
      <c r="AC107" s="28">
        <f t="shared" si="38"/>
        <v>0</v>
      </c>
      <c r="AD107" s="28">
        <f t="shared" si="38"/>
        <v>0</v>
      </c>
      <c r="AE107" s="28">
        <f t="shared" si="38"/>
        <v>0</v>
      </c>
      <c r="AF107" s="28">
        <f t="shared" si="38"/>
        <v>0</v>
      </c>
      <c r="AG107" s="28">
        <f t="shared" si="38"/>
        <v>0</v>
      </c>
      <c r="AH107" s="28">
        <f t="shared" si="34"/>
        <v>1</v>
      </c>
    </row>
    <row r="108" spans="1:34" ht="10.5" x14ac:dyDescent="0.15">
      <c r="A108" s="895" t="s">
        <v>396</v>
      </c>
      <c r="B108" s="895" t="s">
        <v>397</v>
      </c>
      <c r="C108" s="896"/>
      <c r="D108" s="896"/>
      <c r="E108" s="896"/>
      <c r="F108" s="896">
        <v>349839.34788059822</v>
      </c>
      <c r="G108" s="896"/>
      <c r="H108" s="896"/>
      <c r="I108" s="896"/>
      <c r="J108" s="896">
        <v>349839.34788059822</v>
      </c>
      <c r="K108" s="24">
        <f t="shared" si="33"/>
        <v>2020</v>
      </c>
      <c r="L108" s="66"/>
      <c r="M108" s="33">
        <f t="shared" ref="M108:M135" si="39">IF(ISNA(VLOOKUP(LEFT($A108,8),Estimates,72,FALSE)),0,VLOOKUP(LEFT($A108,8),Estimates,72,FALSE))</f>
        <v>232999.99999999991</v>
      </c>
      <c r="N108" s="28">
        <f t="shared" si="37"/>
        <v>0.69957081545064381</v>
      </c>
      <c r="O108" s="28">
        <f t="shared" si="37"/>
        <v>0</v>
      </c>
      <c r="P108" s="28">
        <f t="shared" si="37"/>
        <v>0</v>
      </c>
      <c r="Q108" s="28">
        <f t="shared" si="37"/>
        <v>0</v>
      </c>
      <c r="R108" s="28">
        <f t="shared" si="37"/>
        <v>0</v>
      </c>
      <c r="S108" s="28">
        <f t="shared" si="37"/>
        <v>0</v>
      </c>
      <c r="T108" s="28">
        <f t="shared" si="37"/>
        <v>0</v>
      </c>
      <c r="U108" s="28">
        <f t="shared" si="37"/>
        <v>0.30042918454935619</v>
      </c>
      <c r="V108" s="28">
        <f t="shared" si="37"/>
        <v>0</v>
      </c>
      <c r="W108" s="28">
        <f t="shared" si="37"/>
        <v>0</v>
      </c>
      <c r="X108" s="28">
        <f t="shared" si="38"/>
        <v>0</v>
      </c>
      <c r="Y108" s="28">
        <f t="shared" si="38"/>
        <v>0</v>
      </c>
      <c r="Z108" s="28">
        <f t="shared" si="38"/>
        <v>0</v>
      </c>
      <c r="AA108" s="28">
        <f t="shared" si="38"/>
        <v>0</v>
      </c>
      <c r="AB108" s="28">
        <f t="shared" si="38"/>
        <v>0</v>
      </c>
      <c r="AC108" s="28">
        <f t="shared" si="38"/>
        <v>0</v>
      </c>
      <c r="AD108" s="28">
        <f t="shared" si="38"/>
        <v>0</v>
      </c>
      <c r="AE108" s="28">
        <f t="shared" si="38"/>
        <v>0</v>
      </c>
      <c r="AF108" s="28">
        <f t="shared" si="38"/>
        <v>0</v>
      </c>
      <c r="AG108" s="28">
        <f t="shared" si="38"/>
        <v>0</v>
      </c>
      <c r="AH108" s="28">
        <f t="shared" si="34"/>
        <v>1</v>
      </c>
    </row>
    <row r="109" spans="1:34" ht="10.5" x14ac:dyDescent="0.15">
      <c r="A109" s="895" t="s">
        <v>398</v>
      </c>
      <c r="B109" s="895" t="s">
        <v>399</v>
      </c>
      <c r="C109" s="896"/>
      <c r="D109" s="896"/>
      <c r="E109" s="896"/>
      <c r="F109" s="896">
        <v>211534.68878052692</v>
      </c>
      <c r="G109" s="896"/>
      <c r="H109" s="896"/>
      <c r="I109" s="896"/>
      <c r="J109" s="896">
        <v>211534.68878052692</v>
      </c>
      <c r="K109" s="24">
        <f t="shared" si="33"/>
        <v>2020</v>
      </c>
      <c r="L109" s="66"/>
      <c r="M109" s="33">
        <f t="shared" si="39"/>
        <v>163000.00000000003</v>
      </c>
      <c r="N109" s="28">
        <f t="shared" ref="N109:W118" si="40">IF($M109=0,VLOOKUP(MID($A109,4,5),ProjectSplits,N$2,FALSE),IF(ISNA(VLOOKUP(LEFT($A109,8),Estimates,N$1,FALSE)),VLOOKUP(MID($A109,4,5),ProjectSplits,N$2,FALSE),VLOOKUP(LEFT($A109,8),Estimates,N$1,FALSE)))</f>
        <v>0</v>
      </c>
      <c r="O109" s="28">
        <f t="shared" si="40"/>
        <v>0</v>
      </c>
      <c r="P109" s="28">
        <f t="shared" si="40"/>
        <v>0</v>
      </c>
      <c r="Q109" s="28">
        <f t="shared" si="40"/>
        <v>0</v>
      </c>
      <c r="R109" s="28">
        <f t="shared" si="40"/>
        <v>0</v>
      </c>
      <c r="S109" s="28">
        <f t="shared" si="40"/>
        <v>0</v>
      </c>
      <c r="T109" s="28">
        <f t="shared" si="40"/>
        <v>0</v>
      </c>
      <c r="U109" s="28">
        <f t="shared" si="40"/>
        <v>1</v>
      </c>
      <c r="V109" s="28">
        <f t="shared" si="40"/>
        <v>0</v>
      </c>
      <c r="W109" s="28">
        <f t="shared" si="40"/>
        <v>0</v>
      </c>
      <c r="X109" s="28">
        <f t="shared" ref="X109:AG118" si="41">IF($M109=0,VLOOKUP(MID($A109,4,5),ProjectSplits,X$2,FALSE),IF(ISNA(VLOOKUP(LEFT($A109,8),Estimates,X$1,FALSE)),VLOOKUP(MID($A109,4,5),ProjectSplits,X$2,FALSE),VLOOKUP(LEFT($A109,8),Estimates,X$1,FALSE)))</f>
        <v>0</v>
      </c>
      <c r="Y109" s="28">
        <f t="shared" si="41"/>
        <v>0</v>
      </c>
      <c r="Z109" s="28">
        <f t="shared" si="41"/>
        <v>0</v>
      </c>
      <c r="AA109" s="28">
        <f t="shared" si="41"/>
        <v>0</v>
      </c>
      <c r="AB109" s="28">
        <f t="shared" si="41"/>
        <v>0</v>
      </c>
      <c r="AC109" s="28">
        <f t="shared" si="41"/>
        <v>0</v>
      </c>
      <c r="AD109" s="28">
        <f t="shared" si="41"/>
        <v>0</v>
      </c>
      <c r="AE109" s="28">
        <f t="shared" si="41"/>
        <v>0</v>
      </c>
      <c r="AF109" s="28">
        <f t="shared" si="41"/>
        <v>0</v>
      </c>
      <c r="AG109" s="28">
        <f t="shared" si="41"/>
        <v>0</v>
      </c>
      <c r="AH109" s="28">
        <f t="shared" si="34"/>
        <v>1</v>
      </c>
    </row>
    <row r="110" spans="1:34" ht="10.5" x14ac:dyDescent="0.15">
      <c r="A110" s="895" t="s">
        <v>400</v>
      </c>
      <c r="B110" s="895" t="s">
        <v>2382</v>
      </c>
      <c r="C110" s="896"/>
      <c r="D110" s="896"/>
      <c r="E110" s="896"/>
      <c r="F110" s="896"/>
      <c r="G110" s="896">
        <v>1608227.130150663</v>
      </c>
      <c r="H110" s="896"/>
      <c r="I110" s="896"/>
      <c r="J110" s="896">
        <v>1608227.130150663</v>
      </c>
      <c r="K110" s="24">
        <f t="shared" si="33"/>
        <v>2021</v>
      </c>
      <c r="L110" s="66"/>
      <c r="M110" s="33">
        <f t="shared" si="39"/>
        <v>336119.99999999959</v>
      </c>
      <c r="N110" s="28">
        <f t="shared" si="40"/>
        <v>0</v>
      </c>
      <c r="O110" s="28">
        <f t="shared" si="40"/>
        <v>0</v>
      </c>
      <c r="P110" s="28">
        <f t="shared" si="40"/>
        <v>0</v>
      </c>
      <c r="Q110" s="28">
        <f t="shared" si="40"/>
        <v>1</v>
      </c>
      <c r="R110" s="28">
        <f t="shared" si="40"/>
        <v>0</v>
      </c>
      <c r="S110" s="28">
        <f t="shared" si="40"/>
        <v>0</v>
      </c>
      <c r="T110" s="28">
        <f t="shared" si="40"/>
        <v>0</v>
      </c>
      <c r="U110" s="28">
        <f t="shared" si="40"/>
        <v>0</v>
      </c>
      <c r="V110" s="28">
        <f t="shared" si="40"/>
        <v>0</v>
      </c>
      <c r="W110" s="28">
        <f t="shared" si="40"/>
        <v>0</v>
      </c>
      <c r="X110" s="28">
        <f t="shared" si="41"/>
        <v>0</v>
      </c>
      <c r="Y110" s="28">
        <f t="shared" si="41"/>
        <v>0</v>
      </c>
      <c r="Z110" s="28">
        <f t="shared" si="41"/>
        <v>0</v>
      </c>
      <c r="AA110" s="28">
        <f t="shared" si="41"/>
        <v>0</v>
      </c>
      <c r="AB110" s="28">
        <f t="shared" si="41"/>
        <v>0</v>
      </c>
      <c r="AC110" s="28">
        <f t="shared" si="41"/>
        <v>0</v>
      </c>
      <c r="AD110" s="28">
        <f t="shared" si="41"/>
        <v>0</v>
      </c>
      <c r="AE110" s="28">
        <f t="shared" si="41"/>
        <v>0</v>
      </c>
      <c r="AF110" s="28">
        <f t="shared" si="41"/>
        <v>0</v>
      </c>
      <c r="AG110" s="28">
        <f t="shared" si="41"/>
        <v>0</v>
      </c>
      <c r="AH110" s="28">
        <f t="shared" si="34"/>
        <v>1</v>
      </c>
    </row>
    <row r="111" spans="1:34" ht="10.5" x14ac:dyDescent="0.15">
      <c r="A111" s="895" t="s">
        <v>401</v>
      </c>
      <c r="B111" s="895" t="s">
        <v>2311</v>
      </c>
      <c r="C111" s="896"/>
      <c r="D111" s="896"/>
      <c r="E111" s="896"/>
      <c r="F111" s="896">
        <v>2516224.00299286</v>
      </c>
      <c r="G111" s="896"/>
      <c r="H111" s="896"/>
      <c r="I111" s="896"/>
      <c r="J111" s="896">
        <v>2516224.00299286</v>
      </c>
      <c r="K111" s="24">
        <f t="shared" si="33"/>
        <v>2020</v>
      </c>
      <c r="L111" s="66"/>
      <c r="M111" s="33">
        <f t="shared" si="39"/>
        <v>460000.00000000041</v>
      </c>
      <c r="N111" s="28">
        <f t="shared" si="40"/>
        <v>0</v>
      </c>
      <c r="O111" s="28">
        <f t="shared" si="40"/>
        <v>0</v>
      </c>
      <c r="P111" s="28">
        <f t="shared" si="40"/>
        <v>0</v>
      </c>
      <c r="Q111" s="28">
        <f t="shared" si="40"/>
        <v>1</v>
      </c>
      <c r="R111" s="28">
        <f t="shared" si="40"/>
        <v>0</v>
      </c>
      <c r="S111" s="28">
        <f t="shared" si="40"/>
        <v>0</v>
      </c>
      <c r="T111" s="28">
        <f t="shared" si="40"/>
        <v>0</v>
      </c>
      <c r="U111" s="28">
        <f t="shared" si="40"/>
        <v>0</v>
      </c>
      <c r="V111" s="28">
        <f t="shared" si="40"/>
        <v>0</v>
      </c>
      <c r="W111" s="28">
        <f t="shared" si="40"/>
        <v>0</v>
      </c>
      <c r="X111" s="28">
        <f t="shared" si="41"/>
        <v>0</v>
      </c>
      <c r="Y111" s="28">
        <f t="shared" si="41"/>
        <v>0</v>
      </c>
      <c r="Z111" s="28">
        <f t="shared" si="41"/>
        <v>0</v>
      </c>
      <c r="AA111" s="28">
        <f t="shared" si="41"/>
        <v>0</v>
      </c>
      <c r="AB111" s="28">
        <f t="shared" si="41"/>
        <v>0</v>
      </c>
      <c r="AC111" s="28">
        <f t="shared" si="41"/>
        <v>0</v>
      </c>
      <c r="AD111" s="28">
        <f t="shared" si="41"/>
        <v>0</v>
      </c>
      <c r="AE111" s="28">
        <f t="shared" si="41"/>
        <v>0</v>
      </c>
      <c r="AF111" s="28">
        <f t="shared" si="41"/>
        <v>0</v>
      </c>
      <c r="AG111" s="28">
        <f t="shared" si="41"/>
        <v>0</v>
      </c>
      <c r="AH111" s="28">
        <f t="shared" si="34"/>
        <v>1</v>
      </c>
    </row>
    <row r="112" spans="1:34" ht="10.5" x14ac:dyDescent="0.15">
      <c r="A112" s="895" t="s">
        <v>402</v>
      </c>
      <c r="B112" s="895" t="s">
        <v>403</v>
      </c>
      <c r="C112" s="896"/>
      <c r="D112" s="896"/>
      <c r="E112" s="896"/>
      <c r="F112" s="896"/>
      <c r="G112" s="896">
        <v>1495932.1023020693</v>
      </c>
      <c r="H112" s="896"/>
      <c r="I112" s="896"/>
      <c r="J112" s="896">
        <v>1495932.1023020693</v>
      </c>
      <c r="K112" s="24">
        <f t="shared" si="33"/>
        <v>2021</v>
      </c>
      <c r="L112" s="66"/>
      <c r="M112" s="33">
        <f t="shared" si="39"/>
        <v>260000.00000000047</v>
      </c>
      <c r="N112" s="28">
        <f t="shared" si="40"/>
        <v>0</v>
      </c>
      <c r="O112" s="28">
        <f t="shared" si="40"/>
        <v>0</v>
      </c>
      <c r="P112" s="28">
        <f t="shared" si="40"/>
        <v>0</v>
      </c>
      <c r="Q112" s="28">
        <f t="shared" si="40"/>
        <v>1</v>
      </c>
      <c r="R112" s="28">
        <f t="shared" si="40"/>
        <v>0</v>
      </c>
      <c r="S112" s="28">
        <f t="shared" si="40"/>
        <v>0</v>
      </c>
      <c r="T112" s="28">
        <f t="shared" si="40"/>
        <v>0</v>
      </c>
      <c r="U112" s="28">
        <f t="shared" si="40"/>
        <v>0</v>
      </c>
      <c r="V112" s="28">
        <f t="shared" si="40"/>
        <v>0</v>
      </c>
      <c r="W112" s="28">
        <f t="shared" si="40"/>
        <v>0</v>
      </c>
      <c r="X112" s="28">
        <f t="shared" si="41"/>
        <v>0</v>
      </c>
      <c r="Y112" s="28">
        <f t="shared" si="41"/>
        <v>0</v>
      </c>
      <c r="Z112" s="28">
        <f t="shared" si="41"/>
        <v>0</v>
      </c>
      <c r="AA112" s="28">
        <f t="shared" si="41"/>
        <v>0</v>
      </c>
      <c r="AB112" s="28">
        <f t="shared" si="41"/>
        <v>0</v>
      </c>
      <c r="AC112" s="28">
        <f t="shared" si="41"/>
        <v>0</v>
      </c>
      <c r="AD112" s="28">
        <f t="shared" si="41"/>
        <v>0</v>
      </c>
      <c r="AE112" s="28">
        <f t="shared" si="41"/>
        <v>0</v>
      </c>
      <c r="AF112" s="28">
        <f t="shared" si="41"/>
        <v>0</v>
      </c>
      <c r="AG112" s="28">
        <f t="shared" si="41"/>
        <v>0</v>
      </c>
      <c r="AH112" s="28">
        <f t="shared" si="34"/>
        <v>1</v>
      </c>
    </row>
    <row r="113" spans="1:34" ht="10.5" x14ac:dyDescent="0.15">
      <c r="A113" s="895" t="s">
        <v>404</v>
      </c>
      <c r="B113" s="895" t="s">
        <v>405</v>
      </c>
      <c r="C113" s="896"/>
      <c r="D113" s="896"/>
      <c r="E113" s="896"/>
      <c r="F113" s="896"/>
      <c r="G113" s="896">
        <v>2073574.993549091</v>
      </c>
      <c r="H113" s="896"/>
      <c r="I113" s="896"/>
      <c r="J113" s="896">
        <v>2073574.993549091</v>
      </c>
      <c r="K113" s="24">
        <f t="shared" si="33"/>
        <v>2021</v>
      </c>
      <c r="L113" s="66"/>
      <c r="M113" s="33">
        <f t="shared" si="39"/>
        <v>180000.00000000015</v>
      </c>
      <c r="N113" s="28">
        <f t="shared" si="40"/>
        <v>0</v>
      </c>
      <c r="O113" s="28">
        <f t="shared" si="40"/>
        <v>0</v>
      </c>
      <c r="P113" s="28">
        <f t="shared" si="40"/>
        <v>0</v>
      </c>
      <c r="Q113" s="28">
        <f t="shared" si="40"/>
        <v>1</v>
      </c>
      <c r="R113" s="28">
        <f t="shared" si="40"/>
        <v>0</v>
      </c>
      <c r="S113" s="28">
        <f t="shared" si="40"/>
        <v>0</v>
      </c>
      <c r="T113" s="28">
        <f t="shared" si="40"/>
        <v>0</v>
      </c>
      <c r="U113" s="28">
        <f t="shared" si="40"/>
        <v>0</v>
      </c>
      <c r="V113" s="28">
        <f t="shared" si="40"/>
        <v>0</v>
      </c>
      <c r="W113" s="28">
        <f t="shared" si="40"/>
        <v>0</v>
      </c>
      <c r="X113" s="28">
        <f t="shared" si="41"/>
        <v>0</v>
      </c>
      <c r="Y113" s="28">
        <f t="shared" si="41"/>
        <v>0</v>
      </c>
      <c r="Z113" s="28">
        <f t="shared" si="41"/>
        <v>0</v>
      </c>
      <c r="AA113" s="28">
        <f t="shared" si="41"/>
        <v>0</v>
      </c>
      <c r="AB113" s="28">
        <f t="shared" si="41"/>
        <v>0</v>
      </c>
      <c r="AC113" s="28">
        <f t="shared" si="41"/>
        <v>0</v>
      </c>
      <c r="AD113" s="28">
        <f t="shared" si="41"/>
        <v>0</v>
      </c>
      <c r="AE113" s="28">
        <f t="shared" si="41"/>
        <v>0</v>
      </c>
      <c r="AF113" s="28">
        <f t="shared" si="41"/>
        <v>0</v>
      </c>
      <c r="AG113" s="28">
        <f t="shared" si="41"/>
        <v>0</v>
      </c>
      <c r="AH113" s="28">
        <f t="shared" si="34"/>
        <v>1</v>
      </c>
    </row>
    <row r="114" spans="1:34" ht="10.5" x14ac:dyDescent="0.15">
      <c r="A114" s="895" t="s">
        <v>406</v>
      </c>
      <c r="B114" s="895" t="s">
        <v>407</v>
      </c>
      <c r="C114" s="896"/>
      <c r="D114" s="896"/>
      <c r="E114" s="896"/>
      <c r="F114" s="896">
        <v>2437265.5401293496</v>
      </c>
      <c r="G114" s="896"/>
      <c r="H114" s="896"/>
      <c r="I114" s="896"/>
      <c r="J114" s="896">
        <v>2437265.5401293496</v>
      </c>
      <c r="K114" s="24">
        <f t="shared" si="33"/>
        <v>2020</v>
      </c>
      <c r="L114" s="66"/>
      <c r="M114" s="33">
        <f t="shared" si="39"/>
        <v>2094358</v>
      </c>
      <c r="N114" s="28">
        <f t="shared" si="40"/>
        <v>0</v>
      </c>
      <c r="O114" s="28">
        <f t="shared" si="40"/>
        <v>0</v>
      </c>
      <c r="P114" s="28">
        <f t="shared" si="40"/>
        <v>0</v>
      </c>
      <c r="Q114" s="28">
        <f t="shared" si="40"/>
        <v>0</v>
      </c>
      <c r="R114" s="28">
        <f t="shared" si="40"/>
        <v>0</v>
      </c>
      <c r="S114" s="28">
        <f t="shared" si="40"/>
        <v>0</v>
      </c>
      <c r="T114" s="28">
        <f t="shared" si="40"/>
        <v>0</v>
      </c>
      <c r="U114" s="28">
        <f t="shared" si="40"/>
        <v>0</v>
      </c>
      <c r="V114" s="28">
        <f t="shared" si="40"/>
        <v>0</v>
      </c>
      <c r="W114" s="28">
        <f t="shared" si="40"/>
        <v>1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34"/>
        <v>1</v>
      </c>
    </row>
    <row r="115" spans="1:34" ht="10.5" x14ac:dyDescent="0.15">
      <c r="A115" s="895" t="s">
        <v>408</v>
      </c>
      <c r="B115" s="895" t="s">
        <v>409</v>
      </c>
      <c r="C115" s="896"/>
      <c r="D115" s="896">
        <v>2163526.6333672437</v>
      </c>
      <c r="E115" s="896"/>
      <c r="F115" s="896"/>
      <c r="G115" s="896"/>
      <c r="H115" s="896"/>
      <c r="I115" s="896"/>
      <c r="J115" s="896">
        <v>2163526.6333672437</v>
      </c>
      <c r="K115" s="24">
        <f t="shared" si="33"/>
        <v>2018</v>
      </c>
      <c r="L115" s="66"/>
      <c r="M115" s="33">
        <f t="shared" si="39"/>
        <v>107250.0000000001</v>
      </c>
      <c r="N115" s="28">
        <f t="shared" si="40"/>
        <v>0</v>
      </c>
      <c r="O115" s="28">
        <f t="shared" si="40"/>
        <v>0</v>
      </c>
      <c r="P115" s="28">
        <f t="shared" si="40"/>
        <v>0</v>
      </c>
      <c r="Q115" s="28">
        <f t="shared" si="40"/>
        <v>1</v>
      </c>
      <c r="R115" s="28">
        <f t="shared" si="40"/>
        <v>0</v>
      </c>
      <c r="S115" s="28">
        <f t="shared" si="40"/>
        <v>0</v>
      </c>
      <c r="T115" s="28">
        <f t="shared" si="40"/>
        <v>0</v>
      </c>
      <c r="U115" s="28">
        <f t="shared" si="40"/>
        <v>0</v>
      </c>
      <c r="V115" s="28">
        <f t="shared" si="40"/>
        <v>0</v>
      </c>
      <c r="W115" s="28">
        <f t="shared" si="40"/>
        <v>0</v>
      </c>
      <c r="X115" s="28">
        <f t="shared" si="41"/>
        <v>0</v>
      </c>
      <c r="Y115" s="28">
        <f t="shared" si="41"/>
        <v>0</v>
      </c>
      <c r="Z115" s="28">
        <f t="shared" si="41"/>
        <v>0</v>
      </c>
      <c r="AA115" s="28">
        <f t="shared" si="41"/>
        <v>0</v>
      </c>
      <c r="AB115" s="28">
        <f t="shared" si="41"/>
        <v>0</v>
      </c>
      <c r="AC115" s="28">
        <f t="shared" si="41"/>
        <v>0</v>
      </c>
      <c r="AD115" s="28">
        <f t="shared" si="41"/>
        <v>0</v>
      </c>
      <c r="AE115" s="28">
        <f t="shared" si="41"/>
        <v>0</v>
      </c>
      <c r="AF115" s="28">
        <f t="shared" si="41"/>
        <v>0</v>
      </c>
      <c r="AG115" s="28">
        <f t="shared" si="41"/>
        <v>0</v>
      </c>
      <c r="AH115" s="28">
        <f t="shared" si="34"/>
        <v>1</v>
      </c>
    </row>
    <row r="116" spans="1:34" ht="10.5" x14ac:dyDescent="0.15">
      <c r="A116" s="895" t="s">
        <v>411</v>
      </c>
      <c r="B116" s="895" t="s">
        <v>412</v>
      </c>
      <c r="C116" s="896"/>
      <c r="D116" s="896"/>
      <c r="E116" s="896"/>
      <c r="F116" s="896"/>
      <c r="G116" s="896">
        <v>260689.29664036393</v>
      </c>
      <c r="H116" s="896"/>
      <c r="I116" s="896"/>
      <c r="J116" s="896">
        <v>260689.29664036393</v>
      </c>
      <c r="K116" s="24">
        <f t="shared" si="33"/>
        <v>2021</v>
      </c>
      <c r="L116" s="66"/>
      <c r="M116" s="33">
        <f t="shared" si="39"/>
        <v>170999.99999999997</v>
      </c>
      <c r="N116" s="28">
        <f t="shared" si="40"/>
        <v>1</v>
      </c>
      <c r="O116" s="28">
        <f t="shared" si="40"/>
        <v>0</v>
      </c>
      <c r="P116" s="28">
        <f t="shared" si="40"/>
        <v>0</v>
      </c>
      <c r="Q116" s="28">
        <f t="shared" si="40"/>
        <v>0</v>
      </c>
      <c r="R116" s="28">
        <f t="shared" si="40"/>
        <v>0</v>
      </c>
      <c r="S116" s="28">
        <f t="shared" si="40"/>
        <v>0</v>
      </c>
      <c r="T116" s="28">
        <f t="shared" si="40"/>
        <v>0</v>
      </c>
      <c r="U116" s="28">
        <f t="shared" si="40"/>
        <v>0</v>
      </c>
      <c r="V116" s="28">
        <f t="shared" si="40"/>
        <v>0</v>
      </c>
      <c r="W116" s="28">
        <f t="shared" si="40"/>
        <v>0</v>
      </c>
      <c r="X116" s="28">
        <f t="shared" si="41"/>
        <v>0</v>
      </c>
      <c r="Y116" s="28">
        <f t="shared" si="41"/>
        <v>0</v>
      </c>
      <c r="Z116" s="28">
        <f t="shared" si="41"/>
        <v>0</v>
      </c>
      <c r="AA116" s="28">
        <f t="shared" si="41"/>
        <v>0</v>
      </c>
      <c r="AB116" s="28">
        <f t="shared" si="41"/>
        <v>0</v>
      </c>
      <c r="AC116" s="28">
        <f t="shared" si="41"/>
        <v>0</v>
      </c>
      <c r="AD116" s="28">
        <f t="shared" si="41"/>
        <v>0</v>
      </c>
      <c r="AE116" s="28">
        <f t="shared" si="41"/>
        <v>0</v>
      </c>
      <c r="AF116" s="28">
        <f t="shared" si="41"/>
        <v>0</v>
      </c>
      <c r="AG116" s="28">
        <f t="shared" si="41"/>
        <v>0</v>
      </c>
      <c r="AH116" s="28">
        <f t="shared" si="34"/>
        <v>1</v>
      </c>
    </row>
    <row r="117" spans="1:34" ht="10.5" x14ac:dyDescent="0.15">
      <c r="A117" s="895" t="s">
        <v>413</v>
      </c>
      <c r="B117" s="895" t="s">
        <v>414</v>
      </c>
      <c r="C117" s="896"/>
      <c r="D117" s="896"/>
      <c r="E117" s="896"/>
      <c r="F117" s="896"/>
      <c r="G117" s="896">
        <v>373933.05995536596</v>
      </c>
      <c r="H117" s="896"/>
      <c r="I117" s="896"/>
      <c r="J117" s="896">
        <v>373933.05995536596</v>
      </c>
      <c r="K117" s="24">
        <f t="shared" si="33"/>
        <v>2021</v>
      </c>
      <c r="L117" s="66"/>
      <c r="M117" s="33">
        <f t="shared" si="39"/>
        <v>244999.99999999994</v>
      </c>
      <c r="N117" s="28">
        <f t="shared" si="40"/>
        <v>0.76326530612244892</v>
      </c>
      <c r="O117" s="28">
        <f t="shared" si="40"/>
        <v>0</v>
      </c>
      <c r="P117" s="28">
        <f t="shared" si="40"/>
        <v>0</v>
      </c>
      <c r="Q117" s="28">
        <f t="shared" si="40"/>
        <v>0</v>
      </c>
      <c r="R117" s="28">
        <f t="shared" si="40"/>
        <v>0</v>
      </c>
      <c r="S117" s="28">
        <f t="shared" si="40"/>
        <v>0</v>
      </c>
      <c r="T117" s="28">
        <f t="shared" si="40"/>
        <v>0</v>
      </c>
      <c r="U117" s="28">
        <f t="shared" si="40"/>
        <v>0.23673469387755106</v>
      </c>
      <c r="V117" s="28">
        <f t="shared" si="40"/>
        <v>0</v>
      </c>
      <c r="W117" s="28">
        <f t="shared" si="40"/>
        <v>0</v>
      </c>
      <c r="X117" s="28">
        <f t="shared" si="41"/>
        <v>0</v>
      </c>
      <c r="Y117" s="28">
        <f t="shared" si="41"/>
        <v>0</v>
      </c>
      <c r="Z117" s="28">
        <f t="shared" si="41"/>
        <v>0</v>
      </c>
      <c r="AA117" s="28">
        <f t="shared" si="41"/>
        <v>0</v>
      </c>
      <c r="AB117" s="28">
        <f t="shared" si="41"/>
        <v>0</v>
      </c>
      <c r="AC117" s="28">
        <f t="shared" si="41"/>
        <v>0</v>
      </c>
      <c r="AD117" s="28">
        <f t="shared" si="41"/>
        <v>0</v>
      </c>
      <c r="AE117" s="28">
        <f t="shared" si="41"/>
        <v>0</v>
      </c>
      <c r="AF117" s="28">
        <f t="shared" si="41"/>
        <v>0</v>
      </c>
      <c r="AG117" s="28">
        <f t="shared" si="41"/>
        <v>0</v>
      </c>
      <c r="AH117" s="28">
        <f t="shared" si="34"/>
        <v>1</v>
      </c>
    </row>
    <row r="118" spans="1:34" ht="10.5" x14ac:dyDescent="0.15">
      <c r="A118" s="895" t="s">
        <v>415</v>
      </c>
      <c r="B118" s="895" t="s">
        <v>416</v>
      </c>
      <c r="C118" s="896"/>
      <c r="D118" s="896"/>
      <c r="E118" s="896"/>
      <c r="F118" s="896"/>
      <c r="G118" s="896">
        <v>175194.47032594509</v>
      </c>
      <c r="H118" s="896"/>
      <c r="I118" s="896"/>
      <c r="J118" s="896">
        <v>175194.47032594509</v>
      </c>
      <c r="K118" s="24">
        <f t="shared" si="33"/>
        <v>2021</v>
      </c>
      <c r="L118" s="66"/>
      <c r="M118" s="33">
        <f t="shared" si="39"/>
        <v>114500</v>
      </c>
      <c r="N118" s="28">
        <f t="shared" si="40"/>
        <v>1</v>
      </c>
      <c r="O118" s="28">
        <f t="shared" si="40"/>
        <v>0</v>
      </c>
      <c r="P118" s="28">
        <f t="shared" si="40"/>
        <v>0</v>
      </c>
      <c r="Q118" s="28">
        <f t="shared" si="40"/>
        <v>0</v>
      </c>
      <c r="R118" s="28">
        <f t="shared" si="40"/>
        <v>0</v>
      </c>
      <c r="S118" s="28">
        <f t="shared" si="40"/>
        <v>0</v>
      </c>
      <c r="T118" s="28">
        <f t="shared" si="40"/>
        <v>0</v>
      </c>
      <c r="U118" s="28">
        <f t="shared" si="40"/>
        <v>0</v>
      </c>
      <c r="V118" s="28">
        <f t="shared" si="40"/>
        <v>0</v>
      </c>
      <c r="W118" s="28">
        <f t="shared" si="40"/>
        <v>0</v>
      </c>
      <c r="X118" s="28">
        <f t="shared" si="41"/>
        <v>0</v>
      </c>
      <c r="Y118" s="28">
        <f t="shared" si="41"/>
        <v>0</v>
      </c>
      <c r="Z118" s="28">
        <f t="shared" si="41"/>
        <v>0</v>
      </c>
      <c r="AA118" s="28">
        <f t="shared" si="41"/>
        <v>0</v>
      </c>
      <c r="AB118" s="28">
        <f t="shared" si="41"/>
        <v>0</v>
      </c>
      <c r="AC118" s="28">
        <f t="shared" si="41"/>
        <v>0</v>
      </c>
      <c r="AD118" s="28">
        <f t="shared" si="41"/>
        <v>0</v>
      </c>
      <c r="AE118" s="28">
        <f t="shared" si="41"/>
        <v>0</v>
      </c>
      <c r="AF118" s="28">
        <f t="shared" si="41"/>
        <v>0</v>
      </c>
      <c r="AG118" s="28">
        <f t="shared" si="41"/>
        <v>0</v>
      </c>
      <c r="AH118" s="28">
        <f t="shared" si="34"/>
        <v>1</v>
      </c>
    </row>
    <row r="119" spans="1:34" ht="10.5" x14ac:dyDescent="0.15">
      <c r="A119" s="895" t="s">
        <v>418</v>
      </c>
      <c r="B119" s="895" t="s">
        <v>419</v>
      </c>
      <c r="C119" s="896"/>
      <c r="D119" s="896"/>
      <c r="E119" s="896"/>
      <c r="F119" s="896"/>
      <c r="G119" s="896">
        <v>281498.49127722986</v>
      </c>
      <c r="H119" s="896"/>
      <c r="I119" s="896"/>
      <c r="J119" s="896">
        <v>281498.49127722986</v>
      </c>
      <c r="K119" s="24">
        <f t="shared" si="33"/>
        <v>2021</v>
      </c>
      <c r="L119" s="66"/>
      <c r="M119" s="33">
        <f t="shared" si="39"/>
        <v>217000</v>
      </c>
      <c r="N119" s="28">
        <f t="shared" ref="N119:W128" si="42">IF($M119=0,VLOOKUP(MID($A119,4,5),ProjectSplits,N$2,FALSE),IF(ISNA(VLOOKUP(LEFT($A119,8),Estimates,N$1,FALSE)),VLOOKUP(MID($A119,4,5),ProjectSplits,N$2,FALSE),VLOOKUP(LEFT($A119,8),Estimates,N$1,FALSE)))</f>
        <v>0</v>
      </c>
      <c r="O119" s="28">
        <f t="shared" si="42"/>
        <v>0</v>
      </c>
      <c r="P119" s="28">
        <f t="shared" si="42"/>
        <v>0</v>
      </c>
      <c r="Q119" s="28">
        <f t="shared" si="42"/>
        <v>0</v>
      </c>
      <c r="R119" s="28">
        <f t="shared" si="42"/>
        <v>0</v>
      </c>
      <c r="S119" s="28">
        <f t="shared" si="42"/>
        <v>0</v>
      </c>
      <c r="T119" s="28">
        <f t="shared" si="42"/>
        <v>0</v>
      </c>
      <c r="U119" s="28">
        <f t="shared" si="42"/>
        <v>1</v>
      </c>
      <c r="V119" s="28">
        <f t="shared" si="42"/>
        <v>0</v>
      </c>
      <c r="W119" s="28">
        <f t="shared" si="42"/>
        <v>0</v>
      </c>
      <c r="X119" s="28">
        <f t="shared" ref="X119:AG128" si="43">IF($M119=0,VLOOKUP(MID($A119,4,5),ProjectSplits,X$2,FALSE),IF(ISNA(VLOOKUP(LEFT($A119,8),Estimates,X$1,FALSE)),VLOOKUP(MID($A119,4,5),ProjectSplits,X$2,FALSE),VLOOKUP(LEFT($A119,8),Estimates,X$1,FALSE)))</f>
        <v>0</v>
      </c>
      <c r="Y119" s="28">
        <f t="shared" si="43"/>
        <v>0</v>
      </c>
      <c r="Z119" s="28">
        <f t="shared" si="43"/>
        <v>0</v>
      </c>
      <c r="AA119" s="28">
        <f t="shared" si="43"/>
        <v>0</v>
      </c>
      <c r="AB119" s="28">
        <f t="shared" si="43"/>
        <v>0</v>
      </c>
      <c r="AC119" s="28">
        <f t="shared" si="43"/>
        <v>0</v>
      </c>
      <c r="AD119" s="28">
        <f t="shared" si="43"/>
        <v>0</v>
      </c>
      <c r="AE119" s="28">
        <f t="shared" si="43"/>
        <v>0</v>
      </c>
      <c r="AF119" s="28">
        <f t="shared" si="43"/>
        <v>0</v>
      </c>
      <c r="AG119" s="28">
        <f t="shared" si="43"/>
        <v>0</v>
      </c>
      <c r="AH119" s="28">
        <f t="shared" si="34"/>
        <v>1</v>
      </c>
    </row>
    <row r="120" spans="1:34" ht="10.5" x14ac:dyDescent="0.15">
      <c r="A120" s="895" t="s">
        <v>420</v>
      </c>
      <c r="B120" s="895" t="s">
        <v>421</v>
      </c>
      <c r="C120" s="896"/>
      <c r="D120" s="896"/>
      <c r="E120" s="896"/>
      <c r="F120" s="896"/>
      <c r="G120" s="896"/>
      <c r="H120" s="896"/>
      <c r="I120" s="896">
        <v>7748379.9999895878</v>
      </c>
      <c r="J120" s="896">
        <v>7748379.9999895878</v>
      </c>
      <c r="K120" s="24">
        <f t="shared" si="33"/>
        <v>2023</v>
      </c>
      <c r="L120" s="66"/>
      <c r="M120" s="33">
        <f t="shared" si="39"/>
        <v>5155050.0829000007</v>
      </c>
      <c r="N120" s="28">
        <f t="shared" si="42"/>
        <v>0</v>
      </c>
      <c r="O120" s="28">
        <f t="shared" si="42"/>
        <v>0</v>
      </c>
      <c r="P120" s="28">
        <f t="shared" si="42"/>
        <v>1</v>
      </c>
      <c r="Q120" s="28">
        <f t="shared" si="42"/>
        <v>0</v>
      </c>
      <c r="R120" s="28">
        <f t="shared" si="42"/>
        <v>0</v>
      </c>
      <c r="S120" s="28">
        <f t="shared" si="42"/>
        <v>0</v>
      </c>
      <c r="T120" s="28">
        <f t="shared" si="42"/>
        <v>0</v>
      </c>
      <c r="U120" s="28">
        <f t="shared" si="42"/>
        <v>0</v>
      </c>
      <c r="V120" s="28">
        <f t="shared" si="42"/>
        <v>0</v>
      </c>
      <c r="W120" s="28">
        <f t="shared" si="42"/>
        <v>0</v>
      </c>
      <c r="X120" s="28">
        <f t="shared" si="43"/>
        <v>0</v>
      </c>
      <c r="Y120" s="28">
        <f t="shared" si="43"/>
        <v>0</v>
      </c>
      <c r="Z120" s="28">
        <f t="shared" si="43"/>
        <v>0</v>
      </c>
      <c r="AA120" s="28">
        <f t="shared" si="43"/>
        <v>0</v>
      </c>
      <c r="AB120" s="28">
        <f t="shared" si="43"/>
        <v>0</v>
      </c>
      <c r="AC120" s="28">
        <f t="shared" si="43"/>
        <v>0</v>
      </c>
      <c r="AD120" s="28">
        <f t="shared" si="43"/>
        <v>0</v>
      </c>
      <c r="AE120" s="28">
        <f t="shared" si="43"/>
        <v>0</v>
      </c>
      <c r="AF120" s="28">
        <f t="shared" si="43"/>
        <v>0</v>
      </c>
      <c r="AG120" s="28">
        <f t="shared" si="43"/>
        <v>0</v>
      </c>
      <c r="AH120" s="28">
        <f t="shared" si="34"/>
        <v>1</v>
      </c>
    </row>
    <row r="121" spans="1:34" ht="10.5" x14ac:dyDescent="0.15">
      <c r="A121" s="895" t="s">
        <v>422</v>
      </c>
      <c r="B121" s="895" t="s">
        <v>423</v>
      </c>
      <c r="C121" s="896"/>
      <c r="D121" s="896"/>
      <c r="E121" s="896"/>
      <c r="F121" s="896"/>
      <c r="G121" s="896"/>
      <c r="H121" s="896"/>
      <c r="I121" s="896">
        <v>2204021.7574279411</v>
      </c>
      <c r="J121" s="896">
        <v>2204021.7574279411</v>
      </c>
      <c r="K121" s="24">
        <f t="shared" si="33"/>
        <v>2023</v>
      </c>
      <c r="L121" s="66"/>
      <c r="M121" s="33">
        <f t="shared" si="39"/>
        <v>180000.00000000015</v>
      </c>
      <c r="N121" s="28">
        <f t="shared" si="42"/>
        <v>0</v>
      </c>
      <c r="O121" s="28">
        <f t="shared" si="42"/>
        <v>0</v>
      </c>
      <c r="P121" s="28">
        <f t="shared" si="42"/>
        <v>0</v>
      </c>
      <c r="Q121" s="28">
        <f t="shared" si="42"/>
        <v>1</v>
      </c>
      <c r="R121" s="28">
        <f t="shared" si="42"/>
        <v>0</v>
      </c>
      <c r="S121" s="28">
        <f t="shared" si="42"/>
        <v>0</v>
      </c>
      <c r="T121" s="28">
        <f t="shared" si="42"/>
        <v>0</v>
      </c>
      <c r="U121" s="28">
        <f t="shared" si="42"/>
        <v>0</v>
      </c>
      <c r="V121" s="28">
        <f t="shared" si="42"/>
        <v>0</v>
      </c>
      <c r="W121" s="28">
        <f t="shared" si="42"/>
        <v>0</v>
      </c>
      <c r="X121" s="28">
        <f t="shared" si="43"/>
        <v>0</v>
      </c>
      <c r="Y121" s="28">
        <f t="shared" si="43"/>
        <v>0</v>
      </c>
      <c r="Z121" s="28">
        <f t="shared" si="43"/>
        <v>0</v>
      </c>
      <c r="AA121" s="28">
        <f t="shared" si="43"/>
        <v>0</v>
      </c>
      <c r="AB121" s="28">
        <f t="shared" si="43"/>
        <v>0</v>
      </c>
      <c r="AC121" s="28">
        <f t="shared" si="43"/>
        <v>0</v>
      </c>
      <c r="AD121" s="28">
        <f t="shared" si="43"/>
        <v>0</v>
      </c>
      <c r="AE121" s="28">
        <f t="shared" si="43"/>
        <v>0</v>
      </c>
      <c r="AF121" s="28">
        <f t="shared" si="43"/>
        <v>0</v>
      </c>
      <c r="AG121" s="28">
        <f t="shared" si="43"/>
        <v>0</v>
      </c>
      <c r="AH121" s="28">
        <f t="shared" si="34"/>
        <v>1</v>
      </c>
    </row>
    <row r="122" spans="1:34" ht="10.5" x14ac:dyDescent="0.15">
      <c r="A122" s="895" t="s">
        <v>424</v>
      </c>
      <c r="B122" s="895" t="s">
        <v>425</v>
      </c>
      <c r="C122" s="896"/>
      <c r="D122" s="896"/>
      <c r="E122" s="896"/>
      <c r="F122" s="896"/>
      <c r="G122" s="896"/>
      <c r="H122" s="896">
        <v>385493.17934439122</v>
      </c>
      <c r="I122" s="896"/>
      <c r="J122" s="896">
        <v>385493.17934439122</v>
      </c>
      <c r="K122" s="24">
        <f t="shared" si="33"/>
        <v>2022</v>
      </c>
      <c r="L122" s="66"/>
      <c r="M122" s="33">
        <f t="shared" si="39"/>
        <v>244999.99999999997</v>
      </c>
      <c r="N122" s="28">
        <f t="shared" si="42"/>
        <v>1</v>
      </c>
      <c r="O122" s="28">
        <f t="shared" si="42"/>
        <v>0</v>
      </c>
      <c r="P122" s="28">
        <f t="shared" si="42"/>
        <v>0</v>
      </c>
      <c r="Q122" s="28">
        <f t="shared" si="42"/>
        <v>0</v>
      </c>
      <c r="R122" s="28">
        <f t="shared" si="42"/>
        <v>0</v>
      </c>
      <c r="S122" s="28">
        <f t="shared" si="42"/>
        <v>0</v>
      </c>
      <c r="T122" s="28">
        <f t="shared" si="42"/>
        <v>0</v>
      </c>
      <c r="U122" s="28">
        <f t="shared" si="42"/>
        <v>0</v>
      </c>
      <c r="V122" s="28">
        <f t="shared" si="42"/>
        <v>0</v>
      </c>
      <c r="W122" s="28">
        <f t="shared" si="42"/>
        <v>0</v>
      </c>
      <c r="X122" s="28">
        <f t="shared" si="43"/>
        <v>0</v>
      </c>
      <c r="Y122" s="28">
        <f t="shared" si="43"/>
        <v>0</v>
      </c>
      <c r="Z122" s="28">
        <f t="shared" si="43"/>
        <v>0</v>
      </c>
      <c r="AA122" s="28">
        <f t="shared" si="43"/>
        <v>0</v>
      </c>
      <c r="AB122" s="28">
        <f t="shared" si="43"/>
        <v>0</v>
      </c>
      <c r="AC122" s="28">
        <f t="shared" si="43"/>
        <v>0</v>
      </c>
      <c r="AD122" s="28">
        <f t="shared" si="43"/>
        <v>0</v>
      </c>
      <c r="AE122" s="28">
        <f t="shared" si="43"/>
        <v>0</v>
      </c>
      <c r="AF122" s="28">
        <f t="shared" si="43"/>
        <v>0</v>
      </c>
      <c r="AG122" s="28">
        <f t="shared" si="43"/>
        <v>0</v>
      </c>
      <c r="AH122" s="28">
        <f t="shared" si="34"/>
        <v>1</v>
      </c>
    </row>
    <row r="123" spans="1:34" ht="10.5" x14ac:dyDescent="0.15">
      <c r="A123" s="895" t="s">
        <v>426</v>
      </c>
      <c r="B123" s="895" t="s">
        <v>427</v>
      </c>
      <c r="C123" s="896"/>
      <c r="D123" s="896"/>
      <c r="E123" s="896"/>
      <c r="F123" s="896"/>
      <c r="G123" s="896"/>
      <c r="H123" s="896">
        <v>402301.79597769422</v>
      </c>
      <c r="I123" s="896"/>
      <c r="J123" s="896">
        <v>402301.79597769422</v>
      </c>
      <c r="K123" s="24">
        <f t="shared" si="33"/>
        <v>2022</v>
      </c>
      <c r="L123" s="66"/>
      <c r="M123" s="33">
        <f t="shared" si="39"/>
        <v>255999.99999999994</v>
      </c>
      <c r="N123" s="28">
        <f t="shared" si="42"/>
        <v>0.76171875000000011</v>
      </c>
      <c r="O123" s="28">
        <f t="shared" si="42"/>
        <v>0</v>
      </c>
      <c r="P123" s="28">
        <f t="shared" si="42"/>
        <v>0</v>
      </c>
      <c r="Q123" s="28">
        <f t="shared" si="42"/>
        <v>0</v>
      </c>
      <c r="R123" s="28">
        <f t="shared" si="42"/>
        <v>0</v>
      </c>
      <c r="S123" s="28">
        <f t="shared" si="42"/>
        <v>0</v>
      </c>
      <c r="T123" s="28">
        <f t="shared" si="42"/>
        <v>0</v>
      </c>
      <c r="U123" s="28">
        <f t="shared" si="42"/>
        <v>0.23828125</v>
      </c>
      <c r="V123" s="28">
        <f t="shared" si="42"/>
        <v>0</v>
      </c>
      <c r="W123" s="28">
        <f t="shared" si="42"/>
        <v>0</v>
      </c>
      <c r="X123" s="28">
        <f t="shared" si="43"/>
        <v>0</v>
      </c>
      <c r="Y123" s="28">
        <f t="shared" si="43"/>
        <v>0</v>
      </c>
      <c r="Z123" s="28">
        <f t="shared" si="43"/>
        <v>0</v>
      </c>
      <c r="AA123" s="28">
        <f t="shared" si="43"/>
        <v>0</v>
      </c>
      <c r="AB123" s="28">
        <f t="shared" si="43"/>
        <v>0</v>
      </c>
      <c r="AC123" s="28">
        <f t="shared" si="43"/>
        <v>0</v>
      </c>
      <c r="AD123" s="28">
        <f t="shared" si="43"/>
        <v>0</v>
      </c>
      <c r="AE123" s="28">
        <f t="shared" si="43"/>
        <v>0</v>
      </c>
      <c r="AF123" s="28">
        <f t="shared" si="43"/>
        <v>0</v>
      </c>
      <c r="AG123" s="28">
        <f t="shared" si="43"/>
        <v>0</v>
      </c>
      <c r="AH123" s="28">
        <f t="shared" si="34"/>
        <v>1</v>
      </c>
    </row>
    <row r="124" spans="1:34" ht="10.5" x14ac:dyDescent="0.15">
      <c r="A124" s="895" t="s">
        <v>428</v>
      </c>
      <c r="B124" s="895" t="s">
        <v>429</v>
      </c>
      <c r="C124" s="896"/>
      <c r="D124" s="896"/>
      <c r="E124" s="896"/>
      <c r="F124" s="896"/>
      <c r="G124" s="896"/>
      <c r="H124" s="896">
        <v>271501.19079526555</v>
      </c>
      <c r="I124" s="896"/>
      <c r="J124" s="896">
        <v>271501.19079526555</v>
      </c>
      <c r="K124" s="24">
        <f t="shared" si="33"/>
        <v>2022</v>
      </c>
      <c r="L124" s="66"/>
      <c r="M124" s="33">
        <f t="shared" si="39"/>
        <v>203999.99999999994</v>
      </c>
      <c r="N124" s="28">
        <f t="shared" si="42"/>
        <v>0</v>
      </c>
      <c r="O124" s="28">
        <f t="shared" si="42"/>
        <v>0</v>
      </c>
      <c r="P124" s="28">
        <f t="shared" si="42"/>
        <v>0</v>
      </c>
      <c r="Q124" s="28">
        <f t="shared" si="42"/>
        <v>0</v>
      </c>
      <c r="R124" s="28">
        <f t="shared" si="42"/>
        <v>0</v>
      </c>
      <c r="S124" s="28">
        <f t="shared" si="42"/>
        <v>0</v>
      </c>
      <c r="T124" s="28">
        <f t="shared" si="42"/>
        <v>0</v>
      </c>
      <c r="U124" s="28">
        <f t="shared" si="42"/>
        <v>1</v>
      </c>
      <c r="V124" s="28">
        <f t="shared" si="42"/>
        <v>0</v>
      </c>
      <c r="W124" s="28">
        <f t="shared" si="42"/>
        <v>0</v>
      </c>
      <c r="X124" s="28">
        <f t="shared" si="43"/>
        <v>0</v>
      </c>
      <c r="Y124" s="28">
        <f t="shared" si="43"/>
        <v>0</v>
      </c>
      <c r="Z124" s="28">
        <f t="shared" si="43"/>
        <v>0</v>
      </c>
      <c r="AA124" s="28">
        <f t="shared" si="43"/>
        <v>0</v>
      </c>
      <c r="AB124" s="28">
        <f t="shared" si="43"/>
        <v>0</v>
      </c>
      <c r="AC124" s="28">
        <f t="shared" si="43"/>
        <v>0</v>
      </c>
      <c r="AD124" s="28">
        <f t="shared" si="43"/>
        <v>0</v>
      </c>
      <c r="AE124" s="28">
        <f t="shared" si="43"/>
        <v>0</v>
      </c>
      <c r="AF124" s="28">
        <f t="shared" si="43"/>
        <v>0</v>
      </c>
      <c r="AG124" s="28">
        <f t="shared" si="43"/>
        <v>0</v>
      </c>
      <c r="AH124" s="28">
        <f t="shared" si="34"/>
        <v>1</v>
      </c>
    </row>
    <row r="125" spans="1:34" ht="10.5" x14ac:dyDescent="0.15">
      <c r="A125" s="895" t="s">
        <v>430</v>
      </c>
      <c r="B125" s="895" t="s">
        <v>2383</v>
      </c>
      <c r="C125" s="896"/>
      <c r="D125" s="896"/>
      <c r="E125" s="896"/>
      <c r="F125" s="896"/>
      <c r="G125" s="896"/>
      <c r="H125" s="896">
        <v>1422782.2601828575</v>
      </c>
      <c r="I125" s="896"/>
      <c r="J125" s="896">
        <v>1422782.2601828575</v>
      </c>
      <c r="K125" s="24">
        <f t="shared" si="33"/>
        <v>2022</v>
      </c>
      <c r="L125" s="66"/>
      <c r="M125" s="33">
        <f t="shared" si="39"/>
        <v>287759.99999999988</v>
      </c>
      <c r="N125" s="28">
        <f t="shared" si="42"/>
        <v>0</v>
      </c>
      <c r="O125" s="28">
        <f t="shared" si="42"/>
        <v>0</v>
      </c>
      <c r="P125" s="28">
        <f t="shared" si="42"/>
        <v>0</v>
      </c>
      <c r="Q125" s="28">
        <f t="shared" si="42"/>
        <v>1</v>
      </c>
      <c r="R125" s="28">
        <f t="shared" si="42"/>
        <v>0</v>
      </c>
      <c r="S125" s="28">
        <f t="shared" si="42"/>
        <v>0</v>
      </c>
      <c r="T125" s="28">
        <f t="shared" si="42"/>
        <v>0</v>
      </c>
      <c r="U125" s="28">
        <f t="shared" si="42"/>
        <v>0</v>
      </c>
      <c r="V125" s="28">
        <f t="shared" si="42"/>
        <v>0</v>
      </c>
      <c r="W125" s="28">
        <f t="shared" si="42"/>
        <v>0</v>
      </c>
      <c r="X125" s="28">
        <f t="shared" si="43"/>
        <v>0</v>
      </c>
      <c r="Y125" s="28">
        <f t="shared" si="43"/>
        <v>0</v>
      </c>
      <c r="Z125" s="28">
        <f t="shared" si="43"/>
        <v>0</v>
      </c>
      <c r="AA125" s="28">
        <f t="shared" si="43"/>
        <v>0</v>
      </c>
      <c r="AB125" s="28">
        <f t="shared" si="43"/>
        <v>0</v>
      </c>
      <c r="AC125" s="28">
        <f t="shared" si="43"/>
        <v>0</v>
      </c>
      <c r="AD125" s="28">
        <f t="shared" si="43"/>
        <v>0</v>
      </c>
      <c r="AE125" s="28">
        <f t="shared" si="43"/>
        <v>0</v>
      </c>
      <c r="AF125" s="28">
        <f t="shared" si="43"/>
        <v>0</v>
      </c>
      <c r="AG125" s="28">
        <f t="shared" si="43"/>
        <v>0</v>
      </c>
      <c r="AH125" s="28">
        <f t="shared" si="34"/>
        <v>1</v>
      </c>
    </row>
    <row r="126" spans="1:34" ht="10.5" x14ac:dyDescent="0.15">
      <c r="A126" s="895" t="s">
        <v>431</v>
      </c>
      <c r="B126" s="895" t="s">
        <v>2313</v>
      </c>
      <c r="C126" s="896"/>
      <c r="D126" s="896"/>
      <c r="E126" s="896"/>
      <c r="F126" s="896"/>
      <c r="G126" s="896"/>
      <c r="H126" s="896"/>
      <c r="I126" s="896">
        <v>1591297.5916102671</v>
      </c>
      <c r="J126" s="896">
        <v>1591297.5916102671</v>
      </c>
      <c r="K126" s="24">
        <f t="shared" si="33"/>
        <v>2023</v>
      </c>
      <c r="L126" s="66"/>
      <c r="M126" s="33">
        <f t="shared" si="39"/>
        <v>259899.99999999994</v>
      </c>
      <c r="N126" s="28">
        <f t="shared" si="42"/>
        <v>0</v>
      </c>
      <c r="O126" s="28">
        <f t="shared" si="42"/>
        <v>0</v>
      </c>
      <c r="P126" s="28">
        <f t="shared" si="42"/>
        <v>0</v>
      </c>
      <c r="Q126" s="28">
        <f t="shared" si="42"/>
        <v>1</v>
      </c>
      <c r="R126" s="28">
        <f t="shared" si="42"/>
        <v>0</v>
      </c>
      <c r="S126" s="28">
        <f t="shared" si="42"/>
        <v>0</v>
      </c>
      <c r="T126" s="28">
        <f t="shared" si="42"/>
        <v>0</v>
      </c>
      <c r="U126" s="28">
        <f t="shared" si="42"/>
        <v>0</v>
      </c>
      <c r="V126" s="28">
        <f t="shared" si="42"/>
        <v>0</v>
      </c>
      <c r="W126" s="28">
        <f t="shared" si="42"/>
        <v>0</v>
      </c>
      <c r="X126" s="28">
        <f t="shared" si="43"/>
        <v>0</v>
      </c>
      <c r="Y126" s="28">
        <f t="shared" si="43"/>
        <v>0</v>
      </c>
      <c r="Z126" s="28">
        <f t="shared" si="43"/>
        <v>0</v>
      </c>
      <c r="AA126" s="28">
        <f t="shared" si="43"/>
        <v>0</v>
      </c>
      <c r="AB126" s="28">
        <f t="shared" si="43"/>
        <v>0</v>
      </c>
      <c r="AC126" s="28">
        <f t="shared" si="43"/>
        <v>0</v>
      </c>
      <c r="AD126" s="28">
        <f t="shared" si="43"/>
        <v>0</v>
      </c>
      <c r="AE126" s="28">
        <f t="shared" si="43"/>
        <v>0</v>
      </c>
      <c r="AF126" s="28">
        <f t="shared" si="43"/>
        <v>0</v>
      </c>
      <c r="AG126" s="28">
        <f t="shared" si="43"/>
        <v>0</v>
      </c>
      <c r="AH126" s="28">
        <f t="shared" si="34"/>
        <v>1</v>
      </c>
    </row>
    <row r="127" spans="1:34" ht="10.5" x14ac:dyDescent="0.15">
      <c r="A127" s="895" t="s">
        <v>432</v>
      </c>
      <c r="B127" s="895" t="s">
        <v>433</v>
      </c>
      <c r="C127" s="896"/>
      <c r="D127" s="896"/>
      <c r="E127" s="896"/>
      <c r="F127" s="896"/>
      <c r="G127" s="896">
        <v>1042489.7640773144</v>
      </c>
      <c r="H127" s="896"/>
      <c r="I127" s="896"/>
      <c r="J127" s="896">
        <v>1042489.7640773144</v>
      </c>
      <c r="K127" s="24">
        <f t="shared" si="33"/>
        <v>2021</v>
      </c>
      <c r="L127" s="66"/>
      <c r="M127" s="33">
        <f t="shared" si="39"/>
        <v>0</v>
      </c>
      <c r="N127" s="28">
        <f t="shared" si="42"/>
        <v>0</v>
      </c>
      <c r="O127" s="28">
        <f t="shared" si="42"/>
        <v>0</v>
      </c>
      <c r="P127" s="28">
        <f t="shared" si="42"/>
        <v>0</v>
      </c>
      <c r="Q127" s="28">
        <f t="shared" si="42"/>
        <v>1</v>
      </c>
      <c r="R127" s="28">
        <f t="shared" si="42"/>
        <v>0</v>
      </c>
      <c r="S127" s="28">
        <f t="shared" si="42"/>
        <v>0</v>
      </c>
      <c r="T127" s="28">
        <f t="shared" si="42"/>
        <v>0</v>
      </c>
      <c r="U127" s="28">
        <f t="shared" si="42"/>
        <v>0</v>
      </c>
      <c r="V127" s="28">
        <f t="shared" si="42"/>
        <v>0</v>
      </c>
      <c r="W127" s="28">
        <f t="shared" si="42"/>
        <v>0</v>
      </c>
      <c r="X127" s="28">
        <f t="shared" si="43"/>
        <v>0</v>
      </c>
      <c r="Y127" s="28">
        <f t="shared" si="43"/>
        <v>0</v>
      </c>
      <c r="Z127" s="28">
        <f t="shared" si="43"/>
        <v>0</v>
      </c>
      <c r="AA127" s="28">
        <f t="shared" si="43"/>
        <v>0</v>
      </c>
      <c r="AB127" s="28">
        <f t="shared" si="43"/>
        <v>0</v>
      </c>
      <c r="AC127" s="28">
        <f t="shared" si="43"/>
        <v>0</v>
      </c>
      <c r="AD127" s="28">
        <f t="shared" si="43"/>
        <v>0</v>
      </c>
      <c r="AE127" s="28">
        <f t="shared" si="43"/>
        <v>0</v>
      </c>
      <c r="AF127" s="28">
        <f t="shared" si="43"/>
        <v>0</v>
      </c>
      <c r="AG127" s="28">
        <f t="shared" si="43"/>
        <v>0</v>
      </c>
      <c r="AH127" s="28">
        <f t="shared" si="34"/>
        <v>1</v>
      </c>
    </row>
    <row r="128" spans="1:34" ht="10.5" x14ac:dyDescent="0.15">
      <c r="A128" s="895" t="s">
        <v>434</v>
      </c>
      <c r="B128" s="895" t="s">
        <v>435</v>
      </c>
      <c r="C128" s="896"/>
      <c r="D128" s="896"/>
      <c r="E128" s="896"/>
      <c r="F128" s="896"/>
      <c r="G128" s="896">
        <v>5381048.0187829081</v>
      </c>
      <c r="H128" s="896"/>
      <c r="I128" s="896"/>
      <c r="J128" s="896">
        <v>5381048.0187829081</v>
      </c>
      <c r="K128" s="24">
        <f t="shared" si="33"/>
        <v>2021</v>
      </c>
      <c r="L128" s="66"/>
      <c r="M128" s="33">
        <f t="shared" si="39"/>
        <v>2432639.9249999993</v>
      </c>
      <c r="N128" s="28">
        <f t="shared" si="42"/>
        <v>0</v>
      </c>
      <c r="O128" s="28">
        <f t="shared" si="42"/>
        <v>0.12332278275832378</v>
      </c>
      <c r="P128" s="28">
        <f t="shared" si="42"/>
        <v>0.50480138362441784</v>
      </c>
      <c r="Q128" s="28">
        <f t="shared" si="42"/>
        <v>0</v>
      </c>
      <c r="R128" s="28">
        <f t="shared" si="42"/>
        <v>0</v>
      </c>
      <c r="S128" s="28">
        <f t="shared" si="42"/>
        <v>0</v>
      </c>
      <c r="T128" s="28">
        <f t="shared" si="42"/>
        <v>0</v>
      </c>
      <c r="U128" s="28">
        <f t="shared" si="42"/>
        <v>0</v>
      </c>
      <c r="V128" s="28">
        <f t="shared" si="42"/>
        <v>0</v>
      </c>
      <c r="W128" s="28">
        <f t="shared" si="42"/>
        <v>0</v>
      </c>
      <c r="X128" s="28">
        <f t="shared" si="43"/>
        <v>0</v>
      </c>
      <c r="Y128" s="28">
        <f t="shared" si="43"/>
        <v>0</v>
      </c>
      <c r="Z128" s="28">
        <f t="shared" si="43"/>
        <v>0</v>
      </c>
      <c r="AA128" s="28">
        <f t="shared" si="43"/>
        <v>0</v>
      </c>
      <c r="AB128" s="28">
        <f t="shared" si="43"/>
        <v>0.37187583361725846</v>
      </c>
      <c r="AC128" s="28">
        <f t="shared" si="43"/>
        <v>0</v>
      </c>
      <c r="AD128" s="28">
        <f t="shared" si="43"/>
        <v>0</v>
      </c>
      <c r="AE128" s="28">
        <f t="shared" si="43"/>
        <v>0</v>
      </c>
      <c r="AF128" s="28">
        <f t="shared" si="43"/>
        <v>0</v>
      </c>
      <c r="AG128" s="28">
        <f t="shared" si="43"/>
        <v>0</v>
      </c>
      <c r="AH128" s="28">
        <f t="shared" si="34"/>
        <v>1</v>
      </c>
    </row>
    <row r="129" spans="1:34" ht="10.5" x14ac:dyDescent="0.15">
      <c r="A129" s="895" t="s">
        <v>438</v>
      </c>
      <c r="B129" s="895" t="s">
        <v>439</v>
      </c>
      <c r="C129" s="896"/>
      <c r="D129" s="896"/>
      <c r="E129" s="896"/>
      <c r="F129" s="896"/>
      <c r="G129" s="896"/>
      <c r="H129" s="896"/>
      <c r="I129" s="896">
        <v>166773.5284818848</v>
      </c>
      <c r="J129" s="896">
        <v>166773.5284818848</v>
      </c>
      <c r="K129" s="24">
        <f t="shared" si="33"/>
        <v>2023</v>
      </c>
      <c r="L129" s="66"/>
      <c r="M129" s="33">
        <f t="shared" si="39"/>
        <v>122000.00000000007</v>
      </c>
      <c r="N129" s="28">
        <f t="shared" ref="N129:W138" si="44">IF($M129=0,VLOOKUP(MID($A129,4,5),ProjectSplits,N$2,FALSE),IF(ISNA(VLOOKUP(LEFT($A129,8),Estimates,N$1,FALSE)),VLOOKUP(MID($A129,4,5),ProjectSplits,N$2,FALSE),VLOOKUP(LEFT($A129,8),Estimates,N$1,FALSE)))</f>
        <v>0</v>
      </c>
      <c r="O129" s="28">
        <f t="shared" si="44"/>
        <v>0</v>
      </c>
      <c r="P129" s="28">
        <f t="shared" si="44"/>
        <v>0</v>
      </c>
      <c r="Q129" s="28">
        <f t="shared" si="44"/>
        <v>0</v>
      </c>
      <c r="R129" s="28">
        <f t="shared" si="44"/>
        <v>0</v>
      </c>
      <c r="S129" s="28">
        <f t="shared" si="44"/>
        <v>0</v>
      </c>
      <c r="T129" s="28">
        <f t="shared" si="44"/>
        <v>0</v>
      </c>
      <c r="U129" s="28">
        <f t="shared" si="44"/>
        <v>1</v>
      </c>
      <c r="V129" s="28">
        <f t="shared" si="44"/>
        <v>0</v>
      </c>
      <c r="W129" s="28">
        <f t="shared" si="44"/>
        <v>0</v>
      </c>
      <c r="X129" s="28">
        <f t="shared" ref="X129:AG138" si="45">IF($M129=0,VLOOKUP(MID($A129,4,5),ProjectSplits,X$2,FALSE),IF(ISNA(VLOOKUP(LEFT($A129,8),Estimates,X$1,FALSE)),VLOOKUP(MID($A129,4,5),ProjectSplits,X$2,FALSE),VLOOKUP(LEFT($A129,8),Estimates,X$1,FALSE)))</f>
        <v>0</v>
      </c>
      <c r="Y129" s="28">
        <f t="shared" si="45"/>
        <v>0</v>
      </c>
      <c r="Z129" s="28">
        <f t="shared" si="45"/>
        <v>0</v>
      </c>
      <c r="AA129" s="28">
        <f t="shared" si="45"/>
        <v>0</v>
      </c>
      <c r="AB129" s="28">
        <f t="shared" si="45"/>
        <v>0</v>
      </c>
      <c r="AC129" s="28">
        <f t="shared" si="45"/>
        <v>0</v>
      </c>
      <c r="AD129" s="28">
        <f t="shared" si="45"/>
        <v>0</v>
      </c>
      <c r="AE129" s="28">
        <f t="shared" si="45"/>
        <v>0</v>
      </c>
      <c r="AF129" s="28">
        <f t="shared" si="45"/>
        <v>0</v>
      </c>
      <c r="AG129" s="28">
        <f t="shared" si="45"/>
        <v>0</v>
      </c>
      <c r="AH129" s="28">
        <f t="shared" si="34"/>
        <v>1</v>
      </c>
    </row>
    <row r="130" spans="1:34" ht="10.5" x14ac:dyDescent="0.15">
      <c r="A130" s="895" t="s">
        <v>445</v>
      </c>
      <c r="B130" s="895" t="s">
        <v>2314</v>
      </c>
      <c r="C130" s="896"/>
      <c r="D130" s="896"/>
      <c r="E130" s="896"/>
      <c r="F130" s="896"/>
      <c r="G130" s="896"/>
      <c r="H130" s="896">
        <v>2734488.2294168053</v>
      </c>
      <c r="I130" s="896"/>
      <c r="J130" s="896">
        <v>2734488.2294168053</v>
      </c>
      <c r="K130" s="24">
        <f t="shared" si="33"/>
        <v>2022</v>
      </c>
      <c r="L130" s="66"/>
      <c r="M130" s="33">
        <f t="shared" si="39"/>
        <v>459999.99999999948</v>
      </c>
      <c r="N130" s="28">
        <f t="shared" si="44"/>
        <v>0</v>
      </c>
      <c r="O130" s="28">
        <f t="shared" si="44"/>
        <v>0</v>
      </c>
      <c r="P130" s="28">
        <f t="shared" si="44"/>
        <v>0</v>
      </c>
      <c r="Q130" s="28">
        <f t="shared" si="44"/>
        <v>1</v>
      </c>
      <c r="R130" s="28">
        <f t="shared" si="44"/>
        <v>0</v>
      </c>
      <c r="S130" s="28">
        <f t="shared" si="44"/>
        <v>0</v>
      </c>
      <c r="T130" s="28">
        <f t="shared" si="44"/>
        <v>0</v>
      </c>
      <c r="U130" s="28">
        <f t="shared" si="44"/>
        <v>0</v>
      </c>
      <c r="V130" s="28">
        <f t="shared" si="44"/>
        <v>0</v>
      </c>
      <c r="W130" s="28">
        <f t="shared" si="44"/>
        <v>0</v>
      </c>
      <c r="X130" s="28">
        <f t="shared" si="45"/>
        <v>0</v>
      </c>
      <c r="Y130" s="28">
        <f t="shared" si="45"/>
        <v>0</v>
      </c>
      <c r="Z130" s="28">
        <f t="shared" si="45"/>
        <v>0</v>
      </c>
      <c r="AA130" s="28">
        <f t="shared" si="45"/>
        <v>0</v>
      </c>
      <c r="AB130" s="28">
        <f t="shared" si="45"/>
        <v>0</v>
      </c>
      <c r="AC130" s="28">
        <f t="shared" si="45"/>
        <v>0</v>
      </c>
      <c r="AD130" s="28">
        <f t="shared" si="45"/>
        <v>0</v>
      </c>
      <c r="AE130" s="28">
        <f t="shared" si="45"/>
        <v>0</v>
      </c>
      <c r="AF130" s="28">
        <f t="shared" si="45"/>
        <v>0</v>
      </c>
      <c r="AG130" s="28">
        <f t="shared" si="45"/>
        <v>0</v>
      </c>
      <c r="AH130" s="28">
        <f t="shared" si="34"/>
        <v>1</v>
      </c>
    </row>
    <row r="131" spans="1:34" ht="10.5" x14ac:dyDescent="0.15">
      <c r="A131" s="895" t="s">
        <v>446</v>
      </c>
      <c r="B131" s="895" t="s">
        <v>2315</v>
      </c>
      <c r="C131" s="896"/>
      <c r="D131" s="896"/>
      <c r="E131" s="896"/>
      <c r="F131" s="896"/>
      <c r="G131" s="896"/>
      <c r="H131" s="896"/>
      <c r="I131" s="896">
        <v>2637901.4252041448</v>
      </c>
      <c r="J131" s="896">
        <v>2637901.4252041448</v>
      </c>
      <c r="K131" s="24">
        <f t="shared" si="33"/>
        <v>2023</v>
      </c>
      <c r="L131" s="66"/>
      <c r="M131" s="33">
        <f t="shared" si="39"/>
        <v>432300.00000000058</v>
      </c>
      <c r="N131" s="28">
        <f t="shared" si="44"/>
        <v>0</v>
      </c>
      <c r="O131" s="28">
        <f t="shared" si="44"/>
        <v>0</v>
      </c>
      <c r="P131" s="28">
        <f t="shared" si="44"/>
        <v>0</v>
      </c>
      <c r="Q131" s="28">
        <f t="shared" si="44"/>
        <v>1</v>
      </c>
      <c r="R131" s="28">
        <f t="shared" si="44"/>
        <v>0</v>
      </c>
      <c r="S131" s="28">
        <f t="shared" si="44"/>
        <v>0</v>
      </c>
      <c r="T131" s="28">
        <f t="shared" si="44"/>
        <v>0</v>
      </c>
      <c r="U131" s="28">
        <f t="shared" si="44"/>
        <v>0</v>
      </c>
      <c r="V131" s="28">
        <f t="shared" si="44"/>
        <v>0</v>
      </c>
      <c r="W131" s="28">
        <f t="shared" si="44"/>
        <v>0</v>
      </c>
      <c r="X131" s="28">
        <f t="shared" si="45"/>
        <v>0</v>
      </c>
      <c r="Y131" s="28">
        <f t="shared" si="45"/>
        <v>0</v>
      </c>
      <c r="Z131" s="28">
        <f t="shared" si="45"/>
        <v>0</v>
      </c>
      <c r="AA131" s="28">
        <f t="shared" si="45"/>
        <v>0</v>
      </c>
      <c r="AB131" s="28">
        <f t="shared" si="45"/>
        <v>0</v>
      </c>
      <c r="AC131" s="28">
        <f t="shared" si="45"/>
        <v>0</v>
      </c>
      <c r="AD131" s="28">
        <f t="shared" si="45"/>
        <v>0</v>
      </c>
      <c r="AE131" s="28">
        <f t="shared" si="45"/>
        <v>0</v>
      </c>
      <c r="AF131" s="28">
        <f t="shared" si="45"/>
        <v>0</v>
      </c>
      <c r="AG131" s="28">
        <f t="shared" si="45"/>
        <v>0</v>
      </c>
      <c r="AH131" s="28">
        <f t="shared" si="34"/>
        <v>1</v>
      </c>
    </row>
    <row r="132" spans="1:34" ht="10.5" x14ac:dyDescent="0.15">
      <c r="A132" s="895" t="s">
        <v>447</v>
      </c>
      <c r="B132" s="895" t="s">
        <v>2317</v>
      </c>
      <c r="C132" s="896"/>
      <c r="D132" s="896"/>
      <c r="E132" s="896"/>
      <c r="F132" s="896"/>
      <c r="G132" s="896"/>
      <c r="H132" s="896"/>
      <c r="I132" s="896">
        <v>491912.43466600368</v>
      </c>
      <c r="J132" s="896">
        <v>491912.43466600368</v>
      </c>
      <c r="K132" s="24">
        <f t="shared" si="33"/>
        <v>2023</v>
      </c>
      <c r="L132" s="66"/>
      <c r="M132" s="33">
        <f t="shared" si="39"/>
        <v>80000</v>
      </c>
      <c r="N132" s="28">
        <f t="shared" si="44"/>
        <v>0</v>
      </c>
      <c r="O132" s="28">
        <f t="shared" si="44"/>
        <v>0</v>
      </c>
      <c r="P132" s="28">
        <f t="shared" si="44"/>
        <v>0</v>
      </c>
      <c r="Q132" s="28">
        <f t="shared" si="44"/>
        <v>1</v>
      </c>
      <c r="R132" s="28">
        <f t="shared" si="44"/>
        <v>0</v>
      </c>
      <c r="S132" s="28">
        <f t="shared" si="44"/>
        <v>0</v>
      </c>
      <c r="T132" s="28">
        <f t="shared" si="44"/>
        <v>0</v>
      </c>
      <c r="U132" s="28">
        <f t="shared" si="44"/>
        <v>0</v>
      </c>
      <c r="V132" s="28">
        <f t="shared" si="44"/>
        <v>0</v>
      </c>
      <c r="W132" s="28">
        <f t="shared" si="44"/>
        <v>0</v>
      </c>
      <c r="X132" s="28">
        <f t="shared" si="45"/>
        <v>0</v>
      </c>
      <c r="Y132" s="28">
        <f t="shared" si="45"/>
        <v>0</v>
      </c>
      <c r="Z132" s="28">
        <f t="shared" si="45"/>
        <v>0</v>
      </c>
      <c r="AA132" s="28">
        <f t="shared" si="45"/>
        <v>0</v>
      </c>
      <c r="AB132" s="28">
        <f t="shared" si="45"/>
        <v>0</v>
      </c>
      <c r="AC132" s="28">
        <f t="shared" si="45"/>
        <v>0</v>
      </c>
      <c r="AD132" s="28">
        <f t="shared" si="45"/>
        <v>0</v>
      </c>
      <c r="AE132" s="28">
        <f t="shared" si="45"/>
        <v>0</v>
      </c>
      <c r="AF132" s="28">
        <f t="shared" si="45"/>
        <v>0</v>
      </c>
      <c r="AG132" s="28">
        <f t="shared" si="45"/>
        <v>0</v>
      </c>
      <c r="AH132" s="28">
        <f t="shared" si="34"/>
        <v>1</v>
      </c>
    </row>
    <row r="133" spans="1:34" ht="10.5" x14ac:dyDescent="0.15">
      <c r="A133" s="895" t="s">
        <v>449</v>
      </c>
      <c r="B133" s="895" t="s">
        <v>2318</v>
      </c>
      <c r="C133" s="896"/>
      <c r="D133" s="896"/>
      <c r="E133" s="896"/>
      <c r="F133" s="896"/>
      <c r="G133" s="896"/>
      <c r="H133" s="896"/>
      <c r="I133" s="896">
        <v>1040253.1236457522</v>
      </c>
      <c r="J133" s="896">
        <v>1040253.1236457522</v>
      </c>
      <c r="K133" s="24">
        <f t="shared" si="33"/>
        <v>2023</v>
      </c>
      <c r="L133" s="66"/>
      <c r="M133" s="33">
        <f t="shared" si="39"/>
        <v>160000.00000000009</v>
      </c>
      <c r="N133" s="28">
        <f t="shared" si="44"/>
        <v>0</v>
      </c>
      <c r="O133" s="28">
        <f t="shared" si="44"/>
        <v>0</v>
      </c>
      <c r="P133" s="28">
        <f t="shared" si="44"/>
        <v>0</v>
      </c>
      <c r="Q133" s="28">
        <f t="shared" si="44"/>
        <v>1</v>
      </c>
      <c r="R133" s="28">
        <f t="shared" si="44"/>
        <v>0</v>
      </c>
      <c r="S133" s="28">
        <f t="shared" si="44"/>
        <v>0</v>
      </c>
      <c r="T133" s="28">
        <f t="shared" si="44"/>
        <v>0</v>
      </c>
      <c r="U133" s="28">
        <f t="shared" si="44"/>
        <v>0</v>
      </c>
      <c r="V133" s="28">
        <f t="shared" si="44"/>
        <v>0</v>
      </c>
      <c r="W133" s="28">
        <f t="shared" si="44"/>
        <v>0</v>
      </c>
      <c r="X133" s="28">
        <f t="shared" si="45"/>
        <v>0</v>
      </c>
      <c r="Y133" s="28">
        <f t="shared" si="45"/>
        <v>0</v>
      </c>
      <c r="Z133" s="28">
        <f t="shared" si="45"/>
        <v>0</v>
      </c>
      <c r="AA133" s="28">
        <f t="shared" si="45"/>
        <v>0</v>
      </c>
      <c r="AB133" s="28">
        <f t="shared" si="45"/>
        <v>0</v>
      </c>
      <c r="AC133" s="28">
        <f t="shared" si="45"/>
        <v>0</v>
      </c>
      <c r="AD133" s="28">
        <f t="shared" si="45"/>
        <v>0</v>
      </c>
      <c r="AE133" s="28">
        <f t="shared" si="45"/>
        <v>0</v>
      </c>
      <c r="AF133" s="28">
        <f t="shared" si="45"/>
        <v>0</v>
      </c>
      <c r="AG133" s="28">
        <f t="shared" si="45"/>
        <v>0</v>
      </c>
      <c r="AH133" s="28">
        <f t="shared" si="34"/>
        <v>1</v>
      </c>
    </row>
    <row r="134" spans="1:34" ht="10.5" x14ac:dyDescent="0.15">
      <c r="A134" s="895" t="s">
        <v>3056</v>
      </c>
      <c r="B134" s="895" t="s">
        <v>3057</v>
      </c>
      <c r="C134" s="896"/>
      <c r="D134" s="896">
        <v>1596477.4779012885</v>
      </c>
      <c r="E134" s="896"/>
      <c r="F134" s="896"/>
      <c r="G134" s="896"/>
      <c r="H134" s="896"/>
      <c r="I134" s="896"/>
      <c r="J134" s="896">
        <v>1596477.4779012885</v>
      </c>
      <c r="K134" s="24">
        <f t="shared" si="33"/>
        <v>2018</v>
      </c>
      <c r="L134" s="66"/>
      <c r="M134" s="33">
        <f t="shared" si="39"/>
        <v>0</v>
      </c>
      <c r="N134" s="28">
        <f t="shared" si="44"/>
        <v>0</v>
      </c>
      <c r="O134" s="28">
        <f t="shared" si="44"/>
        <v>0</v>
      </c>
      <c r="P134" s="28">
        <f t="shared" si="44"/>
        <v>0</v>
      </c>
      <c r="Q134" s="28">
        <f t="shared" si="44"/>
        <v>1</v>
      </c>
      <c r="R134" s="28">
        <f t="shared" si="44"/>
        <v>0</v>
      </c>
      <c r="S134" s="28">
        <f t="shared" si="44"/>
        <v>0</v>
      </c>
      <c r="T134" s="28">
        <f t="shared" si="44"/>
        <v>0</v>
      </c>
      <c r="U134" s="28">
        <f t="shared" si="44"/>
        <v>0</v>
      </c>
      <c r="V134" s="28">
        <f t="shared" si="44"/>
        <v>0</v>
      </c>
      <c r="W134" s="28">
        <f t="shared" si="44"/>
        <v>0</v>
      </c>
      <c r="X134" s="28">
        <f t="shared" si="45"/>
        <v>0</v>
      </c>
      <c r="Y134" s="28">
        <f t="shared" si="45"/>
        <v>0</v>
      </c>
      <c r="Z134" s="28">
        <f t="shared" si="45"/>
        <v>0</v>
      </c>
      <c r="AA134" s="28">
        <f t="shared" si="45"/>
        <v>0</v>
      </c>
      <c r="AB134" s="28">
        <f t="shared" si="45"/>
        <v>0</v>
      </c>
      <c r="AC134" s="28">
        <f t="shared" si="45"/>
        <v>0</v>
      </c>
      <c r="AD134" s="28">
        <f t="shared" si="45"/>
        <v>0</v>
      </c>
      <c r="AE134" s="28">
        <f t="shared" si="45"/>
        <v>0</v>
      </c>
      <c r="AF134" s="28">
        <f t="shared" si="45"/>
        <v>0</v>
      </c>
      <c r="AG134" s="28">
        <f t="shared" si="45"/>
        <v>0</v>
      </c>
      <c r="AH134" s="28">
        <f t="shared" si="34"/>
        <v>1</v>
      </c>
    </row>
    <row r="135" spans="1:34" ht="10.5" x14ac:dyDescent="0.15">
      <c r="A135" s="895" t="s">
        <v>454</v>
      </c>
      <c r="B135" s="895" t="s">
        <v>2386</v>
      </c>
      <c r="C135" s="896"/>
      <c r="D135" s="896"/>
      <c r="E135" s="896">
        <v>469872.431356752</v>
      </c>
      <c r="F135" s="896"/>
      <c r="G135" s="896"/>
      <c r="H135" s="896"/>
      <c r="I135" s="896"/>
      <c r="J135" s="896">
        <v>469872.431356752</v>
      </c>
      <c r="K135" s="24">
        <f t="shared" si="33"/>
        <v>2019</v>
      </c>
      <c r="L135" s="66"/>
      <c r="M135" s="33">
        <f t="shared" si="39"/>
        <v>0</v>
      </c>
      <c r="N135" s="28">
        <f t="shared" si="44"/>
        <v>0</v>
      </c>
      <c r="O135" s="28">
        <f t="shared" si="44"/>
        <v>0</v>
      </c>
      <c r="P135" s="28">
        <f t="shared" si="44"/>
        <v>0</v>
      </c>
      <c r="Q135" s="28">
        <f t="shared" si="44"/>
        <v>0</v>
      </c>
      <c r="R135" s="28">
        <f t="shared" si="44"/>
        <v>0</v>
      </c>
      <c r="S135" s="28">
        <f t="shared" si="44"/>
        <v>0</v>
      </c>
      <c r="T135" s="28">
        <f t="shared" si="44"/>
        <v>1</v>
      </c>
      <c r="U135" s="28">
        <f t="shared" si="44"/>
        <v>0</v>
      </c>
      <c r="V135" s="28">
        <f t="shared" si="44"/>
        <v>0</v>
      </c>
      <c r="W135" s="28">
        <f t="shared" si="44"/>
        <v>0</v>
      </c>
      <c r="X135" s="28">
        <f t="shared" si="45"/>
        <v>0</v>
      </c>
      <c r="Y135" s="28">
        <f t="shared" si="45"/>
        <v>0</v>
      </c>
      <c r="Z135" s="28">
        <f t="shared" si="45"/>
        <v>0</v>
      </c>
      <c r="AA135" s="28">
        <f t="shared" si="45"/>
        <v>0</v>
      </c>
      <c r="AB135" s="28">
        <f t="shared" si="45"/>
        <v>0</v>
      </c>
      <c r="AC135" s="28">
        <f t="shared" si="45"/>
        <v>0</v>
      </c>
      <c r="AD135" s="28">
        <f t="shared" si="45"/>
        <v>0</v>
      </c>
      <c r="AE135" s="28">
        <f t="shared" si="45"/>
        <v>0</v>
      </c>
      <c r="AF135" s="28">
        <f t="shared" si="45"/>
        <v>0</v>
      </c>
      <c r="AG135" s="28">
        <f t="shared" si="45"/>
        <v>0</v>
      </c>
      <c r="AH135" s="28">
        <f t="shared" si="34"/>
        <v>1</v>
      </c>
    </row>
    <row r="136" spans="1:34" ht="10.5" x14ac:dyDescent="0.15">
      <c r="A136" s="895" t="s">
        <v>455</v>
      </c>
      <c r="B136" s="895" t="s">
        <v>456</v>
      </c>
      <c r="C136" s="896">
        <v>383956.36539817299</v>
      </c>
      <c r="D136" s="896"/>
      <c r="E136" s="896"/>
      <c r="F136" s="896"/>
      <c r="G136" s="896"/>
      <c r="H136" s="896"/>
      <c r="I136" s="896"/>
      <c r="J136" s="896">
        <v>383956.36539817299</v>
      </c>
      <c r="K136" s="24">
        <f t="shared" si="33"/>
        <v>2017</v>
      </c>
      <c r="L136" s="66"/>
      <c r="M136" s="33">
        <f>IF(K136=2017,0,IF(ISNA(VLOOKUP(LEFT($A136,8),Estimates,72,FALSE)),0,VLOOKUP(LEFT($A136,8),Estimates,72,FALSE)))</f>
        <v>0</v>
      </c>
      <c r="N136" s="28">
        <f t="shared" si="44"/>
        <v>0</v>
      </c>
      <c r="O136" s="28">
        <f t="shared" si="44"/>
        <v>0</v>
      </c>
      <c r="P136" s="28">
        <f t="shared" si="44"/>
        <v>0</v>
      </c>
      <c r="Q136" s="28">
        <f t="shared" si="44"/>
        <v>0</v>
      </c>
      <c r="R136" s="28">
        <f t="shared" si="44"/>
        <v>0</v>
      </c>
      <c r="S136" s="28">
        <f t="shared" si="44"/>
        <v>0</v>
      </c>
      <c r="T136" s="28">
        <f t="shared" si="44"/>
        <v>0</v>
      </c>
      <c r="U136" s="28">
        <f t="shared" si="44"/>
        <v>0</v>
      </c>
      <c r="V136" s="28">
        <f t="shared" si="44"/>
        <v>0</v>
      </c>
      <c r="W136" s="28">
        <f t="shared" si="44"/>
        <v>0</v>
      </c>
      <c r="X136" s="28">
        <f t="shared" si="45"/>
        <v>0</v>
      </c>
      <c r="Y136" s="28">
        <f t="shared" si="45"/>
        <v>0</v>
      </c>
      <c r="Z136" s="28">
        <f t="shared" si="45"/>
        <v>0</v>
      </c>
      <c r="AA136" s="28">
        <f t="shared" si="45"/>
        <v>0</v>
      </c>
      <c r="AB136" s="28">
        <f t="shared" si="45"/>
        <v>1</v>
      </c>
      <c r="AC136" s="28">
        <f t="shared" si="45"/>
        <v>0</v>
      </c>
      <c r="AD136" s="28">
        <f t="shared" si="45"/>
        <v>0</v>
      </c>
      <c r="AE136" s="28">
        <f t="shared" si="45"/>
        <v>0</v>
      </c>
      <c r="AF136" s="28">
        <f t="shared" si="45"/>
        <v>0</v>
      </c>
      <c r="AG136" s="28">
        <f t="shared" si="45"/>
        <v>0</v>
      </c>
      <c r="AH136" s="28">
        <f t="shared" si="34"/>
        <v>1</v>
      </c>
    </row>
    <row r="137" spans="1:34" ht="10.5" x14ac:dyDescent="0.15">
      <c r="A137" s="895" t="s">
        <v>457</v>
      </c>
      <c r="B137" s="895" t="s">
        <v>458</v>
      </c>
      <c r="C137" s="896"/>
      <c r="D137" s="896"/>
      <c r="E137" s="896"/>
      <c r="F137" s="896"/>
      <c r="G137" s="896">
        <v>584228.67586833786</v>
      </c>
      <c r="H137" s="896"/>
      <c r="I137" s="896"/>
      <c r="J137" s="896">
        <v>584228.67586833786</v>
      </c>
      <c r="K137" s="24">
        <f t="shared" si="33"/>
        <v>2021</v>
      </c>
      <c r="L137" s="66"/>
      <c r="M137" s="33">
        <f>IF(ISNA(VLOOKUP(LEFT($A137,8),Estimates,72,FALSE)),0,VLOOKUP(LEFT($A137,8),Estimates,72,FALSE))</f>
        <v>0</v>
      </c>
      <c r="N137" s="28">
        <f t="shared" si="44"/>
        <v>0</v>
      </c>
      <c r="O137" s="28">
        <f t="shared" si="44"/>
        <v>0</v>
      </c>
      <c r="P137" s="28">
        <f t="shared" si="44"/>
        <v>0</v>
      </c>
      <c r="Q137" s="28">
        <f t="shared" si="44"/>
        <v>1</v>
      </c>
      <c r="R137" s="28">
        <f t="shared" si="44"/>
        <v>0</v>
      </c>
      <c r="S137" s="28">
        <f t="shared" si="44"/>
        <v>0</v>
      </c>
      <c r="T137" s="28">
        <f t="shared" si="44"/>
        <v>0</v>
      </c>
      <c r="U137" s="28">
        <f t="shared" si="44"/>
        <v>0</v>
      </c>
      <c r="V137" s="28">
        <f t="shared" si="44"/>
        <v>0</v>
      </c>
      <c r="W137" s="28">
        <f t="shared" si="44"/>
        <v>0</v>
      </c>
      <c r="X137" s="28">
        <f t="shared" si="45"/>
        <v>0</v>
      </c>
      <c r="Y137" s="28">
        <f t="shared" si="45"/>
        <v>0</v>
      </c>
      <c r="Z137" s="28">
        <f t="shared" si="45"/>
        <v>0</v>
      </c>
      <c r="AA137" s="28">
        <f t="shared" si="45"/>
        <v>0</v>
      </c>
      <c r="AB137" s="28">
        <f t="shared" si="45"/>
        <v>0</v>
      </c>
      <c r="AC137" s="28">
        <f t="shared" si="45"/>
        <v>0</v>
      </c>
      <c r="AD137" s="28">
        <f t="shared" si="45"/>
        <v>0</v>
      </c>
      <c r="AE137" s="28">
        <f t="shared" si="45"/>
        <v>0</v>
      </c>
      <c r="AF137" s="28">
        <f t="shared" si="45"/>
        <v>0</v>
      </c>
      <c r="AG137" s="28">
        <f t="shared" si="45"/>
        <v>0</v>
      </c>
      <c r="AH137" s="28">
        <f t="shared" si="34"/>
        <v>1</v>
      </c>
    </row>
    <row r="138" spans="1:34" ht="10.5" x14ac:dyDescent="0.15">
      <c r="A138" s="895" t="s">
        <v>459</v>
      </c>
      <c r="B138" s="895" t="s">
        <v>460</v>
      </c>
      <c r="C138" s="900"/>
      <c r="D138" s="900"/>
      <c r="E138" s="900"/>
      <c r="F138" s="896"/>
      <c r="G138" s="896">
        <v>577473.57171575038</v>
      </c>
      <c r="H138" s="896"/>
      <c r="I138" s="896"/>
      <c r="J138" s="896">
        <v>577473.57171575038</v>
      </c>
      <c r="K138" s="24">
        <f t="shared" si="33"/>
        <v>2021</v>
      </c>
      <c r="L138" s="66"/>
      <c r="M138" s="33">
        <f>IF(ISNA(VLOOKUP(LEFT($A138,8),Estimates,72,FALSE)),0,VLOOKUP(LEFT($A138,8),Estimates,72,FALSE))</f>
        <v>0</v>
      </c>
      <c r="N138" s="28">
        <f t="shared" si="44"/>
        <v>0</v>
      </c>
      <c r="O138" s="28">
        <f t="shared" si="44"/>
        <v>0</v>
      </c>
      <c r="P138" s="28">
        <f t="shared" si="44"/>
        <v>0</v>
      </c>
      <c r="Q138" s="28">
        <f t="shared" si="44"/>
        <v>1</v>
      </c>
      <c r="R138" s="28">
        <f t="shared" si="44"/>
        <v>0</v>
      </c>
      <c r="S138" s="28">
        <f t="shared" si="44"/>
        <v>0</v>
      </c>
      <c r="T138" s="28">
        <f t="shared" si="44"/>
        <v>0</v>
      </c>
      <c r="U138" s="28">
        <f t="shared" si="44"/>
        <v>0</v>
      </c>
      <c r="V138" s="28">
        <f t="shared" si="44"/>
        <v>0</v>
      </c>
      <c r="W138" s="28">
        <f t="shared" si="44"/>
        <v>0</v>
      </c>
      <c r="X138" s="28">
        <f t="shared" si="45"/>
        <v>0</v>
      </c>
      <c r="Y138" s="28">
        <f t="shared" si="45"/>
        <v>0</v>
      </c>
      <c r="Z138" s="28">
        <f t="shared" si="45"/>
        <v>0</v>
      </c>
      <c r="AA138" s="28">
        <f t="shared" si="45"/>
        <v>0</v>
      </c>
      <c r="AB138" s="28">
        <f t="shared" si="45"/>
        <v>0</v>
      </c>
      <c r="AC138" s="28">
        <f t="shared" si="45"/>
        <v>0</v>
      </c>
      <c r="AD138" s="28">
        <f t="shared" si="45"/>
        <v>0</v>
      </c>
      <c r="AE138" s="28">
        <f t="shared" si="45"/>
        <v>0</v>
      </c>
      <c r="AF138" s="28">
        <f t="shared" si="45"/>
        <v>0</v>
      </c>
      <c r="AG138" s="28">
        <f t="shared" si="45"/>
        <v>0</v>
      </c>
      <c r="AH138" s="28">
        <f t="shared" si="34"/>
        <v>1</v>
      </c>
    </row>
    <row r="139" spans="1:34" ht="10.5" x14ac:dyDescent="0.15">
      <c r="A139" s="895" t="s">
        <v>461</v>
      </c>
      <c r="B139" s="895" t="s">
        <v>462</v>
      </c>
      <c r="C139" s="900"/>
      <c r="D139" s="900">
        <v>456527.98565576837</v>
      </c>
      <c r="E139" s="900"/>
      <c r="F139" s="896"/>
      <c r="G139" s="896"/>
      <c r="H139" s="896"/>
      <c r="I139" s="896"/>
      <c r="J139" s="896">
        <v>456527.98565576837</v>
      </c>
      <c r="K139" s="24">
        <f t="shared" si="33"/>
        <v>2018</v>
      </c>
      <c r="L139" s="66"/>
      <c r="M139" s="33">
        <f>IF(ISNA(VLOOKUP(LEFT($A139,8),Estimates,72,FALSE)),0,VLOOKUP(LEFT($A139,8),Estimates,72,FALSE))</f>
        <v>0</v>
      </c>
      <c r="N139" s="28">
        <f t="shared" ref="N139:W148" si="46">IF($M139=0,VLOOKUP(MID($A139,4,5),ProjectSplits,N$2,FALSE),IF(ISNA(VLOOKUP(LEFT($A139,8),Estimates,N$1,FALSE)),VLOOKUP(MID($A139,4,5),ProjectSplits,N$2,FALSE),VLOOKUP(LEFT($A139,8),Estimates,N$1,FALSE)))</f>
        <v>0</v>
      </c>
      <c r="O139" s="28">
        <f t="shared" si="46"/>
        <v>0</v>
      </c>
      <c r="P139" s="28">
        <f t="shared" si="46"/>
        <v>0</v>
      </c>
      <c r="Q139" s="28">
        <f t="shared" si="46"/>
        <v>1</v>
      </c>
      <c r="R139" s="28">
        <f t="shared" si="46"/>
        <v>0</v>
      </c>
      <c r="S139" s="28">
        <f t="shared" si="46"/>
        <v>0</v>
      </c>
      <c r="T139" s="28">
        <f t="shared" si="46"/>
        <v>0</v>
      </c>
      <c r="U139" s="28">
        <f t="shared" si="46"/>
        <v>0</v>
      </c>
      <c r="V139" s="28">
        <f t="shared" si="46"/>
        <v>0</v>
      </c>
      <c r="W139" s="28">
        <f t="shared" si="46"/>
        <v>0</v>
      </c>
      <c r="X139" s="28">
        <f t="shared" ref="X139:AG148" si="47">IF($M139=0,VLOOKUP(MID($A139,4,5),ProjectSplits,X$2,FALSE),IF(ISNA(VLOOKUP(LEFT($A139,8),Estimates,X$1,FALSE)),VLOOKUP(MID($A139,4,5),ProjectSplits,X$2,FALSE),VLOOKUP(LEFT($A139,8),Estimates,X$1,FALSE)))</f>
        <v>0</v>
      </c>
      <c r="Y139" s="28">
        <f t="shared" si="47"/>
        <v>0</v>
      </c>
      <c r="Z139" s="28">
        <f t="shared" si="47"/>
        <v>0</v>
      </c>
      <c r="AA139" s="28">
        <f t="shared" si="47"/>
        <v>0</v>
      </c>
      <c r="AB139" s="28">
        <f t="shared" si="47"/>
        <v>0</v>
      </c>
      <c r="AC139" s="28">
        <f t="shared" si="47"/>
        <v>0</v>
      </c>
      <c r="AD139" s="28">
        <f t="shared" si="47"/>
        <v>0</v>
      </c>
      <c r="AE139" s="28">
        <f t="shared" si="47"/>
        <v>0</v>
      </c>
      <c r="AF139" s="28">
        <f t="shared" si="47"/>
        <v>0</v>
      </c>
      <c r="AG139" s="28">
        <f t="shared" si="47"/>
        <v>0</v>
      </c>
      <c r="AH139" s="28">
        <f t="shared" si="34"/>
        <v>1</v>
      </c>
    </row>
    <row r="140" spans="1:34" ht="10.5" x14ac:dyDescent="0.15">
      <c r="A140" s="895" t="s">
        <v>463</v>
      </c>
      <c r="B140" s="895" t="s">
        <v>464</v>
      </c>
      <c r="C140" s="900"/>
      <c r="D140" s="900"/>
      <c r="E140" s="900"/>
      <c r="F140" s="896"/>
      <c r="G140" s="896"/>
      <c r="H140" s="896"/>
      <c r="I140" s="896">
        <v>1117786.3706130425</v>
      </c>
      <c r="J140" s="896">
        <v>1117786.3706130425</v>
      </c>
      <c r="K140" s="24">
        <f t="shared" si="33"/>
        <v>2023</v>
      </c>
      <c r="L140" s="66"/>
      <c r="M140" s="33">
        <f>IF(ISNA(VLOOKUP(LEFT($A140,8),Estimates,72,FALSE)),0,VLOOKUP(LEFT($A140,8),Estimates,72,FALSE))</f>
        <v>0</v>
      </c>
      <c r="N140" s="28">
        <f t="shared" si="46"/>
        <v>0</v>
      </c>
      <c r="O140" s="28">
        <f t="shared" si="46"/>
        <v>0</v>
      </c>
      <c r="P140" s="28">
        <f t="shared" si="46"/>
        <v>0</v>
      </c>
      <c r="Q140" s="28">
        <f t="shared" si="46"/>
        <v>1</v>
      </c>
      <c r="R140" s="28">
        <f t="shared" si="46"/>
        <v>0</v>
      </c>
      <c r="S140" s="28">
        <f t="shared" si="46"/>
        <v>0</v>
      </c>
      <c r="T140" s="28">
        <f t="shared" si="46"/>
        <v>0</v>
      </c>
      <c r="U140" s="28">
        <f t="shared" si="46"/>
        <v>0</v>
      </c>
      <c r="V140" s="28">
        <f t="shared" si="46"/>
        <v>0</v>
      </c>
      <c r="W140" s="28">
        <f t="shared" si="46"/>
        <v>0</v>
      </c>
      <c r="X140" s="28">
        <f t="shared" si="47"/>
        <v>0</v>
      </c>
      <c r="Y140" s="28">
        <f t="shared" si="47"/>
        <v>0</v>
      </c>
      <c r="Z140" s="28">
        <f t="shared" si="47"/>
        <v>0</v>
      </c>
      <c r="AA140" s="28">
        <f t="shared" si="47"/>
        <v>0</v>
      </c>
      <c r="AB140" s="28">
        <f t="shared" si="47"/>
        <v>0</v>
      </c>
      <c r="AC140" s="28">
        <f t="shared" si="47"/>
        <v>0</v>
      </c>
      <c r="AD140" s="28">
        <f t="shared" si="47"/>
        <v>0</v>
      </c>
      <c r="AE140" s="28">
        <f t="shared" si="47"/>
        <v>0</v>
      </c>
      <c r="AF140" s="28">
        <f t="shared" si="47"/>
        <v>0</v>
      </c>
      <c r="AG140" s="28">
        <f t="shared" si="47"/>
        <v>0</v>
      </c>
      <c r="AH140" s="28">
        <f t="shared" si="34"/>
        <v>1</v>
      </c>
    </row>
    <row r="141" spans="1:34" ht="10.5" x14ac:dyDescent="0.15">
      <c r="A141" s="895" t="s">
        <v>465</v>
      </c>
      <c r="B141" s="895" t="s">
        <v>466</v>
      </c>
      <c r="C141" s="900"/>
      <c r="D141" s="900"/>
      <c r="E141" s="900"/>
      <c r="F141" s="896"/>
      <c r="G141" s="896"/>
      <c r="H141" s="896"/>
      <c r="I141" s="896">
        <v>1855197.0630222005</v>
      </c>
      <c r="J141" s="896">
        <v>1855197.0630222005</v>
      </c>
      <c r="K141" s="24">
        <f t="shared" si="33"/>
        <v>2023</v>
      </c>
      <c r="L141" s="66"/>
      <c r="M141" s="33">
        <v>0</v>
      </c>
      <c r="N141" s="28">
        <f t="shared" si="46"/>
        <v>0</v>
      </c>
      <c r="O141" s="28">
        <f t="shared" si="46"/>
        <v>0</v>
      </c>
      <c r="P141" s="28">
        <f t="shared" si="46"/>
        <v>0</v>
      </c>
      <c r="Q141" s="28">
        <f t="shared" si="46"/>
        <v>0</v>
      </c>
      <c r="R141" s="28">
        <f t="shared" si="46"/>
        <v>0</v>
      </c>
      <c r="S141" s="28">
        <f t="shared" si="46"/>
        <v>0</v>
      </c>
      <c r="T141" s="28">
        <f t="shared" si="46"/>
        <v>1</v>
      </c>
      <c r="U141" s="28">
        <f t="shared" si="46"/>
        <v>0</v>
      </c>
      <c r="V141" s="28">
        <f t="shared" si="46"/>
        <v>0</v>
      </c>
      <c r="W141" s="28">
        <f t="shared" si="46"/>
        <v>0</v>
      </c>
      <c r="X141" s="28">
        <f t="shared" si="47"/>
        <v>0</v>
      </c>
      <c r="Y141" s="28">
        <f t="shared" si="47"/>
        <v>0</v>
      </c>
      <c r="Z141" s="28">
        <f t="shared" si="47"/>
        <v>0</v>
      </c>
      <c r="AA141" s="28">
        <f t="shared" si="47"/>
        <v>0</v>
      </c>
      <c r="AB141" s="28">
        <f t="shared" si="47"/>
        <v>0</v>
      </c>
      <c r="AC141" s="28">
        <f t="shared" si="47"/>
        <v>0</v>
      </c>
      <c r="AD141" s="28">
        <f t="shared" si="47"/>
        <v>0</v>
      </c>
      <c r="AE141" s="28">
        <f t="shared" si="47"/>
        <v>0</v>
      </c>
      <c r="AF141" s="28">
        <f t="shared" si="47"/>
        <v>0</v>
      </c>
      <c r="AG141" s="28">
        <f t="shared" si="47"/>
        <v>0</v>
      </c>
      <c r="AH141" s="28">
        <f t="shared" si="34"/>
        <v>1</v>
      </c>
    </row>
    <row r="142" spans="1:34" ht="10.5" x14ac:dyDescent="0.15">
      <c r="A142" s="895" t="s">
        <v>467</v>
      </c>
      <c r="B142" s="895" t="s">
        <v>2319</v>
      </c>
      <c r="C142" s="900"/>
      <c r="D142" s="900">
        <v>266392.91927159246</v>
      </c>
      <c r="E142" s="900"/>
      <c r="F142" s="896"/>
      <c r="G142" s="896"/>
      <c r="H142" s="896"/>
      <c r="I142" s="896"/>
      <c r="J142" s="896">
        <v>266392.91927159246</v>
      </c>
      <c r="K142" s="24">
        <f t="shared" si="33"/>
        <v>2018</v>
      </c>
      <c r="L142" s="66"/>
      <c r="M142" s="33">
        <f t="shared" ref="M142:M150" si="48">IF(ISNA(VLOOKUP(LEFT($A142,8),Estimates,72,FALSE)),0,VLOOKUP(LEFT($A142,8),Estimates,72,FALSE))</f>
        <v>0</v>
      </c>
      <c r="N142" s="28">
        <f t="shared" si="46"/>
        <v>0</v>
      </c>
      <c r="O142" s="28">
        <f t="shared" si="46"/>
        <v>0</v>
      </c>
      <c r="P142" s="28">
        <f t="shared" si="46"/>
        <v>0</v>
      </c>
      <c r="Q142" s="28">
        <f t="shared" si="46"/>
        <v>1</v>
      </c>
      <c r="R142" s="28">
        <f t="shared" si="46"/>
        <v>0</v>
      </c>
      <c r="S142" s="28">
        <f t="shared" si="46"/>
        <v>0</v>
      </c>
      <c r="T142" s="28">
        <f t="shared" si="46"/>
        <v>0</v>
      </c>
      <c r="U142" s="28">
        <f t="shared" si="46"/>
        <v>0</v>
      </c>
      <c r="V142" s="28">
        <f t="shared" si="46"/>
        <v>0</v>
      </c>
      <c r="W142" s="28">
        <f t="shared" si="46"/>
        <v>0</v>
      </c>
      <c r="X142" s="28">
        <f t="shared" si="47"/>
        <v>0</v>
      </c>
      <c r="Y142" s="28">
        <f t="shared" si="47"/>
        <v>0</v>
      </c>
      <c r="Z142" s="28">
        <f t="shared" si="47"/>
        <v>0</v>
      </c>
      <c r="AA142" s="28">
        <f t="shared" si="47"/>
        <v>0</v>
      </c>
      <c r="AB142" s="28">
        <f t="shared" si="47"/>
        <v>0</v>
      </c>
      <c r="AC142" s="28">
        <f t="shared" si="47"/>
        <v>0</v>
      </c>
      <c r="AD142" s="28">
        <f t="shared" si="47"/>
        <v>0</v>
      </c>
      <c r="AE142" s="28">
        <f t="shared" si="47"/>
        <v>0</v>
      </c>
      <c r="AF142" s="28">
        <f t="shared" si="47"/>
        <v>0</v>
      </c>
      <c r="AG142" s="28">
        <f t="shared" si="47"/>
        <v>0</v>
      </c>
      <c r="AH142" s="28">
        <f t="shared" si="34"/>
        <v>1</v>
      </c>
    </row>
    <row r="143" spans="1:34" ht="10.5" x14ac:dyDescent="0.15">
      <c r="A143" s="895" t="s">
        <v>468</v>
      </c>
      <c r="B143" s="895" t="s">
        <v>469</v>
      </c>
      <c r="C143" s="900"/>
      <c r="D143" s="900">
        <v>1943060.2068476218</v>
      </c>
      <c r="E143" s="900"/>
      <c r="F143" s="896"/>
      <c r="G143" s="896"/>
      <c r="H143" s="896"/>
      <c r="I143" s="896"/>
      <c r="J143" s="896">
        <v>1943060.2068476218</v>
      </c>
      <c r="K143" s="24">
        <f t="shared" si="33"/>
        <v>2018</v>
      </c>
      <c r="L143" s="66"/>
      <c r="M143" s="33">
        <f t="shared" si="48"/>
        <v>0</v>
      </c>
      <c r="N143" s="28">
        <f t="shared" si="46"/>
        <v>0</v>
      </c>
      <c r="O143" s="28">
        <f t="shared" si="46"/>
        <v>0</v>
      </c>
      <c r="P143" s="28">
        <f t="shared" si="46"/>
        <v>0</v>
      </c>
      <c r="Q143" s="28">
        <f t="shared" si="46"/>
        <v>1</v>
      </c>
      <c r="R143" s="28">
        <f t="shared" si="46"/>
        <v>0</v>
      </c>
      <c r="S143" s="28">
        <f t="shared" si="46"/>
        <v>0</v>
      </c>
      <c r="T143" s="28">
        <f t="shared" si="46"/>
        <v>0</v>
      </c>
      <c r="U143" s="28">
        <f t="shared" si="46"/>
        <v>0</v>
      </c>
      <c r="V143" s="28">
        <f t="shared" si="46"/>
        <v>0</v>
      </c>
      <c r="W143" s="28">
        <f t="shared" si="46"/>
        <v>0</v>
      </c>
      <c r="X143" s="28">
        <f t="shared" si="47"/>
        <v>0</v>
      </c>
      <c r="Y143" s="28">
        <f t="shared" si="47"/>
        <v>0</v>
      </c>
      <c r="Z143" s="28">
        <f t="shared" si="47"/>
        <v>0</v>
      </c>
      <c r="AA143" s="28">
        <f t="shared" si="47"/>
        <v>0</v>
      </c>
      <c r="AB143" s="28">
        <f t="shared" si="47"/>
        <v>0</v>
      </c>
      <c r="AC143" s="28">
        <f t="shared" si="47"/>
        <v>0</v>
      </c>
      <c r="AD143" s="28">
        <f t="shared" si="47"/>
        <v>0</v>
      </c>
      <c r="AE143" s="28">
        <f t="shared" si="47"/>
        <v>0</v>
      </c>
      <c r="AF143" s="28">
        <f t="shared" si="47"/>
        <v>0</v>
      </c>
      <c r="AG143" s="28">
        <f t="shared" si="47"/>
        <v>0</v>
      </c>
      <c r="AH143" s="28">
        <f t="shared" si="34"/>
        <v>1</v>
      </c>
    </row>
    <row r="144" spans="1:34" ht="10.5" x14ac:dyDescent="0.15">
      <c r="A144" s="895" t="s">
        <v>470</v>
      </c>
      <c r="B144" s="895" t="s">
        <v>471</v>
      </c>
      <c r="C144" s="900"/>
      <c r="D144" s="900"/>
      <c r="E144" s="900"/>
      <c r="F144" s="896">
        <v>1013272.4575489634</v>
      </c>
      <c r="G144" s="896"/>
      <c r="H144" s="896"/>
      <c r="I144" s="896"/>
      <c r="J144" s="896">
        <v>1013272.4575489634</v>
      </c>
      <c r="K144" s="24">
        <f t="shared" si="33"/>
        <v>2020</v>
      </c>
      <c r="L144" s="66"/>
      <c r="M144" s="33">
        <f t="shared" si="48"/>
        <v>0</v>
      </c>
      <c r="N144" s="28">
        <f t="shared" si="46"/>
        <v>0</v>
      </c>
      <c r="O144" s="28">
        <f t="shared" si="46"/>
        <v>0</v>
      </c>
      <c r="P144" s="28">
        <f t="shared" si="46"/>
        <v>0</v>
      </c>
      <c r="Q144" s="28">
        <f t="shared" si="46"/>
        <v>1</v>
      </c>
      <c r="R144" s="28">
        <f t="shared" si="46"/>
        <v>0</v>
      </c>
      <c r="S144" s="28">
        <f t="shared" si="46"/>
        <v>0</v>
      </c>
      <c r="T144" s="28">
        <f t="shared" si="46"/>
        <v>0</v>
      </c>
      <c r="U144" s="28">
        <f t="shared" si="46"/>
        <v>0</v>
      </c>
      <c r="V144" s="28">
        <f t="shared" si="46"/>
        <v>0</v>
      </c>
      <c r="W144" s="28">
        <f t="shared" si="46"/>
        <v>0</v>
      </c>
      <c r="X144" s="28">
        <f t="shared" si="47"/>
        <v>0</v>
      </c>
      <c r="Y144" s="28">
        <f t="shared" si="47"/>
        <v>0</v>
      </c>
      <c r="Z144" s="28">
        <f t="shared" si="47"/>
        <v>0</v>
      </c>
      <c r="AA144" s="28">
        <f t="shared" si="47"/>
        <v>0</v>
      </c>
      <c r="AB144" s="28">
        <f t="shared" si="47"/>
        <v>0</v>
      </c>
      <c r="AC144" s="28">
        <f t="shared" si="47"/>
        <v>0</v>
      </c>
      <c r="AD144" s="28">
        <f t="shared" si="47"/>
        <v>0</v>
      </c>
      <c r="AE144" s="28">
        <f t="shared" si="47"/>
        <v>0</v>
      </c>
      <c r="AF144" s="28">
        <f t="shared" si="47"/>
        <v>0</v>
      </c>
      <c r="AG144" s="28">
        <f t="shared" si="47"/>
        <v>0</v>
      </c>
      <c r="AH144" s="28">
        <f t="shared" si="34"/>
        <v>1</v>
      </c>
    </row>
    <row r="145" spans="1:34" ht="10.5" x14ac:dyDescent="0.15">
      <c r="A145" s="895" t="s">
        <v>472</v>
      </c>
      <c r="B145" s="895" t="s">
        <v>2320</v>
      </c>
      <c r="C145" s="900"/>
      <c r="D145" s="900">
        <v>672190.23334869521</v>
      </c>
      <c r="E145" s="900"/>
      <c r="F145" s="896"/>
      <c r="G145" s="896"/>
      <c r="H145" s="896"/>
      <c r="I145" s="896"/>
      <c r="J145" s="896">
        <v>672190.23334869521</v>
      </c>
      <c r="K145" s="24">
        <f t="shared" si="33"/>
        <v>2018</v>
      </c>
      <c r="L145" s="66"/>
      <c r="M145" s="33">
        <f t="shared" si="48"/>
        <v>0</v>
      </c>
      <c r="N145" s="28">
        <f t="shared" si="46"/>
        <v>0</v>
      </c>
      <c r="O145" s="28">
        <f t="shared" si="46"/>
        <v>0</v>
      </c>
      <c r="P145" s="28">
        <f t="shared" si="46"/>
        <v>0</v>
      </c>
      <c r="Q145" s="28">
        <f t="shared" si="46"/>
        <v>1</v>
      </c>
      <c r="R145" s="28">
        <f t="shared" si="46"/>
        <v>0</v>
      </c>
      <c r="S145" s="28">
        <f t="shared" si="46"/>
        <v>0</v>
      </c>
      <c r="T145" s="28">
        <f t="shared" si="46"/>
        <v>0</v>
      </c>
      <c r="U145" s="28">
        <f t="shared" si="46"/>
        <v>0</v>
      </c>
      <c r="V145" s="28">
        <f t="shared" si="46"/>
        <v>0</v>
      </c>
      <c r="W145" s="28">
        <f t="shared" si="46"/>
        <v>0</v>
      </c>
      <c r="X145" s="28">
        <f t="shared" si="47"/>
        <v>0</v>
      </c>
      <c r="Y145" s="28">
        <f t="shared" si="47"/>
        <v>0</v>
      </c>
      <c r="Z145" s="28">
        <f t="shared" si="47"/>
        <v>0</v>
      </c>
      <c r="AA145" s="28">
        <f t="shared" si="47"/>
        <v>0</v>
      </c>
      <c r="AB145" s="28">
        <f t="shared" si="47"/>
        <v>0</v>
      </c>
      <c r="AC145" s="28">
        <f t="shared" si="47"/>
        <v>0</v>
      </c>
      <c r="AD145" s="28">
        <f t="shared" si="47"/>
        <v>0</v>
      </c>
      <c r="AE145" s="28">
        <f t="shared" si="47"/>
        <v>0</v>
      </c>
      <c r="AF145" s="28">
        <f t="shared" si="47"/>
        <v>0</v>
      </c>
      <c r="AG145" s="28">
        <f t="shared" si="47"/>
        <v>0</v>
      </c>
      <c r="AH145" s="28">
        <f t="shared" si="34"/>
        <v>1</v>
      </c>
    </row>
    <row r="146" spans="1:34" ht="10.5" x14ac:dyDescent="0.15">
      <c r="A146" s="895" t="s">
        <v>473</v>
      </c>
      <c r="B146" s="895" t="s">
        <v>474</v>
      </c>
      <c r="C146" s="900"/>
      <c r="D146" s="900"/>
      <c r="E146" s="900"/>
      <c r="F146" s="896">
        <v>561071.26800878544</v>
      </c>
      <c r="G146" s="896"/>
      <c r="H146" s="896"/>
      <c r="I146" s="896"/>
      <c r="J146" s="896">
        <v>561071.26800878544</v>
      </c>
      <c r="K146" s="24">
        <f t="shared" si="33"/>
        <v>2020</v>
      </c>
      <c r="L146" s="66"/>
      <c r="M146" s="33">
        <f t="shared" si="48"/>
        <v>25000</v>
      </c>
      <c r="N146" s="28">
        <f t="shared" si="46"/>
        <v>0</v>
      </c>
      <c r="O146" s="28">
        <f t="shared" si="46"/>
        <v>0</v>
      </c>
      <c r="P146" s="28">
        <f t="shared" si="46"/>
        <v>0</v>
      </c>
      <c r="Q146" s="28">
        <f t="shared" si="46"/>
        <v>1</v>
      </c>
      <c r="R146" s="28">
        <f t="shared" si="46"/>
        <v>0</v>
      </c>
      <c r="S146" s="28">
        <f t="shared" si="46"/>
        <v>0</v>
      </c>
      <c r="T146" s="28">
        <f t="shared" si="46"/>
        <v>0</v>
      </c>
      <c r="U146" s="28">
        <f t="shared" si="46"/>
        <v>0</v>
      </c>
      <c r="V146" s="28">
        <f t="shared" si="46"/>
        <v>0</v>
      </c>
      <c r="W146" s="28">
        <f t="shared" si="46"/>
        <v>0</v>
      </c>
      <c r="X146" s="28">
        <f t="shared" si="47"/>
        <v>0</v>
      </c>
      <c r="Y146" s="28">
        <f t="shared" si="47"/>
        <v>0</v>
      </c>
      <c r="Z146" s="28">
        <f t="shared" si="47"/>
        <v>0</v>
      </c>
      <c r="AA146" s="28">
        <f t="shared" si="47"/>
        <v>0</v>
      </c>
      <c r="AB146" s="28">
        <f t="shared" si="47"/>
        <v>0</v>
      </c>
      <c r="AC146" s="28">
        <f t="shared" si="47"/>
        <v>0</v>
      </c>
      <c r="AD146" s="28">
        <f t="shared" si="47"/>
        <v>0</v>
      </c>
      <c r="AE146" s="28">
        <f t="shared" si="47"/>
        <v>0</v>
      </c>
      <c r="AF146" s="28">
        <f t="shared" si="47"/>
        <v>0</v>
      </c>
      <c r="AG146" s="28">
        <f t="shared" si="47"/>
        <v>0</v>
      </c>
      <c r="AH146" s="28">
        <f t="shared" si="34"/>
        <v>1</v>
      </c>
    </row>
    <row r="147" spans="1:34" ht="10.5" x14ac:dyDescent="0.15">
      <c r="A147" s="895" t="s">
        <v>479</v>
      </c>
      <c r="B147" s="895" t="s">
        <v>480</v>
      </c>
      <c r="C147" s="900"/>
      <c r="D147" s="900"/>
      <c r="E147" s="900">
        <v>725945.39317255956</v>
      </c>
      <c r="F147" s="896"/>
      <c r="G147" s="896"/>
      <c r="H147" s="896"/>
      <c r="I147" s="896"/>
      <c r="J147" s="896">
        <v>725945.39317255956</v>
      </c>
      <c r="K147" s="24">
        <f t="shared" si="33"/>
        <v>2019</v>
      </c>
      <c r="L147" s="66"/>
      <c r="M147" s="33">
        <f t="shared" si="48"/>
        <v>0</v>
      </c>
      <c r="N147" s="28">
        <f t="shared" si="46"/>
        <v>0</v>
      </c>
      <c r="O147" s="28">
        <f t="shared" si="46"/>
        <v>0</v>
      </c>
      <c r="P147" s="28">
        <f t="shared" si="46"/>
        <v>0</v>
      </c>
      <c r="Q147" s="28">
        <f t="shared" si="46"/>
        <v>1</v>
      </c>
      <c r="R147" s="28">
        <f t="shared" si="46"/>
        <v>0</v>
      </c>
      <c r="S147" s="28">
        <f t="shared" si="46"/>
        <v>0</v>
      </c>
      <c r="T147" s="28">
        <f t="shared" si="46"/>
        <v>0</v>
      </c>
      <c r="U147" s="28">
        <f t="shared" si="46"/>
        <v>0</v>
      </c>
      <c r="V147" s="28">
        <f t="shared" si="46"/>
        <v>0</v>
      </c>
      <c r="W147" s="28">
        <f t="shared" si="46"/>
        <v>0</v>
      </c>
      <c r="X147" s="28">
        <f t="shared" si="47"/>
        <v>0</v>
      </c>
      <c r="Y147" s="28">
        <f t="shared" si="47"/>
        <v>0</v>
      </c>
      <c r="Z147" s="28">
        <f t="shared" si="47"/>
        <v>0</v>
      </c>
      <c r="AA147" s="28">
        <f t="shared" si="47"/>
        <v>0</v>
      </c>
      <c r="AB147" s="28">
        <f t="shared" si="47"/>
        <v>0</v>
      </c>
      <c r="AC147" s="28">
        <f t="shared" si="47"/>
        <v>0</v>
      </c>
      <c r="AD147" s="28">
        <f t="shared" si="47"/>
        <v>0</v>
      </c>
      <c r="AE147" s="28">
        <f t="shared" si="47"/>
        <v>0</v>
      </c>
      <c r="AF147" s="28">
        <f t="shared" si="47"/>
        <v>0</v>
      </c>
      <c r="AG147" s="28">
        <f t="shared" si="47"/>
        <v>0</v>
      </c>
      <c r="AH147" s="28">
        <f t="shared" si="34"/>
        <v>1</v>
      </c>
    </row>
    <row r="148" spans="1:34" ht="10.5" x14ac:dyDescent="0.15">
      <c r="A148" s="895" t="s">
        <v>481</v>
      </c>
      <c r="B148" s="895" t="s">
        <v>482</v>
      </c>
      <c r="C148" s="900"/>
      <c r="D148" s="900"/>
      <c r="E148" s="900"/>
      <c r="F148" s="896"/>
      <c r="G148" s="896">
        <v>2481290.357593514</v>
      </c>
      <c r="H148" s="896"/>
      <c r="I148" s="896"/>
      <c r="J148" s="896">
        <v>2481290.357593514</v>
      </c>
      <c r="K148" s="24">
        <f t="shared" ref="K148:K211" si="49">INDEX($C$18:$I$18,1,MATCH(J148,$C148:$I148,0))</f>
        <v>2021</v>
      </c>
      <c r="L148" s="66"/>
      <c r="M148" s="33">
        <f t="shared" si="48"/>
        <v>2094357.9999999995</v>
      </c>
      <c r="N148" s="28">
        <f t="shared" si="46"/>
        <v>0</v>
      </c>
      <c r="O148" s="28">
        <f t="shared" si="46"/>
        <v>0</v>
      </c>
      <c r="P148" s="28">
        <f t="shared" si="46"/>
        <v>0</v>
      </c>
      <c r="Q148" s="28">
        <f t="shared" si="46"/>
        <v>0</v>
      </c>
      <c r="R148" s="28">
        <f t="shared" si="46"/>
        <v>0</v>
      </c>
      <c r="S148" s="28">
        <f t="shared" si="46"/>
        <v>0</v>
      </c>
      <c r="T148" s="28">
        <f t="shared" si="46"/>
        <v>0</v>
      </c>
      <c r="U148" s="28">
        <f t="shared" si="46"/>
        <v>0</v>
      </c>
      <c r="V148" s="28">
        <f t="shared" si="46"/>
        <v>0</v>
      </c>
      <c r="W148" s="28">
        <f t="shared" si="46"/>
        <v>1</v>
      </c>
      <c r="X148" s="28">
        <f t="shared" si="47"/>
        <v>0</v>
      </c>
      <c r="Y148" s="28">
        <f t="shared" si="47"/>
        <v>0</v>
      </c>
      <c r="Z148" s="28">
        <f t="shared" si="47"/>
        <v>0</v>
      </c>
      <c r="AA148" s="28">
        <f t="shared" si="47"/>
        <v>0</v>
      </c>
      <c r="AB148" s="28">
        <f t="shared" si="47"/>
        <v>0</v>
      </c>
      <c r="AC148" s="28">
        <f t="shared" si="47"/>
        <v>0</v>
      </c>
      <c r="AD148" s="28">
        <f t="shared" si="47"/>
        <v>0</v>
      </c>
      <c r="AE148" s="28">
        <f t="shared" si="47"/>
        <v>0</v>
      </c>
      <c r="AF148" s="28">
        <f t="shared" si="47"/>
        <v>0</v>
      </c>
      <c r="AG148" s="28">
        <f t="shared" si="47"/>
        <v>0</v>
      </c>
      <c r="AH148" s="28">
        <f t="shared" ref="AH148:AH211" si="50">SUM(N148:AF148)</f>
        <v>1</v>
      </c>
    </row>
    <row r="149" spans="1:34" ht="10.5" x14ac:dyDescent="0.15">
      <c r="A149" s="895" t="s">
        <v>483</v>
      </c>
      <c r="B149" s="895" t="s">
        <v>484</v>
      </c>
      <c r="C149" s="900"/>
      <c r="D149" s="900"/>
      <c r="E149" s="900"/>
      <c r="F149" s="896"/>
      <c r="G149" s="896"/>
      <c r="H149" s="896">
        <v>2546728.7216132446</v>
      </c>
      <c r="I149" s="896"/>
      <c r="J149" s="896">
        <v>2546728.7216132446</v>
      </c>
      <c r="K149" s="24">
        <f t="shared" si="49"/>
        <v>2022</v>
      </c>
      <c r="L149" s="66"/>
      <c r="M149" s="33">
        <f t="shared" si="48"/>
        <v>2094358.0000000005</v>
      </c>
      <c r="N149" s="28">
        <f t="shared" ref="N149:W158" si="51">IF($M149=0,VLOOKUP(MID($A149,4,5),ProjectSplits,N$2,FALSE),IF(ISNA(VLOOKUP(LEFT($A149,8),Estimates,N$1,FALSE)),VLOOKUP(MID($A149,4,5),ProjectSplits,N$2,FALSE),VLOOKUP(LEFT($A149,8),Estimates,N$1,FALSE)))</f>
        <v>0</v>
      </c>
      <c r="O149" s="28">
        <f t="shared" si="51"/>
        <v>0</v>
      </c>
      <c r="P149" s="28">
        <f t="shared" si="51"/>
        <v>0</v>
      </c>
      <c r="Q149" s="28">
        <f t="shared" si="51"/>
        <v>0</v>
      </c>
      <c r="R149" s="28">
        <f t="shared" si="51"/>
        <v>0</v>
      </c>
      <c r="S149" s="28">
        <f t="shared" si="51"/>
        <v>0</v>
      </c>
      <c r="T149" s="28">
        <f t="shared" si="51"/>
        <v>0</v>
      </c>
      <c r="U149" s="28">
        <f t="shared" si="51"/>
        <v>0</v>
      </c>
      <c r="V149" s="28">
        <f t="shared" si="51"/>
        <v>0</v>
      </c>
      <c r="W149" s="28">
        <f t="shared" si="51"/>
        <v>1</v>
      </c>
      <c r="X149" s="28">
        <f t="shared" ref="X149:AG158" si="52">IF($M149=0,VLOOKUP(MID($A149,4,5),ProjectSplits,X$2,FALSE),IF(ISNA(VLOOKUP(LEFT($A149,8),Estimates,X$1,FALSE)),VLOOKUP(MID($A149,4,5),ProjectSplits,X$2,FALSE),VLOOKUP(LEFT($A149,8),Estimates,X$1,FALSE)))</f>
        <v>0</v>
      </c>
      <c r="Y149" s="28">
        <f t="shared" si="52"/>
        <v>0</v>
      </c>
      <c r="Z149" s="28">
        <f t="shared" si="52"/>
        <v>0</v>
      </c>
      <c r="AA149" s="28">
        <f t="shared" si="52"/>
        <v>0</v>
      </c>
      <c r="AB149" s="28">
        <f t="shared" si="52"/>
        <v>0</v>
      </c>
      <c r="AC149" s="28">
        <f t="shared" si="52"/>
        <v>0</v>
      </c>
      <c r="AD149" s="28">
        <f t="shared" si="52"/>
        <v>0</v>
      </c>
      <c r="AE149" s="28">
        <f t="shared" si="52"/>
        <v>0</v>
      </c>
      <c r="AF149" s="28">
        <f t="shared" si="52"/>
        <v>0</v>
      </c>
      <c r="AG149" s="28">
        <f t="shared" si="52"/>
        <v>0</v>
      </c>
      <c r="AH149" s="28">
        <f t="shared" si="50"/>
        <v>1</v>
      </c>
    </row>
    <row r="150" spans="1:34" ht="10.5" x14ac:dyDescent="0.15">
      <c r="A150" s="895" t="s">
        <v>485</v>
      </c>
      <c r="B150" s="895" t="s">
        <v>486</v>
      </c>
      <c r="C150" s="900"/>
      <c r="D150" s="900"/>
      <c r="E150" s="900"/>
      <c r="F150" s="896"/>
      <c r="G150" s="896"/>
      <c r="H150" s="896"/>
      <c r="I150" s="896">
        <v>2612414.5679240176</v>
      </c>
      <c r="J150" s="896">
        <v>2612414.5679240176</v>
      </c>
      <c r="K150" s="24">
        <f t="shared" si="49"/>
        <v>2023</v>
      </c>
      <c r="L150" s="66"/>
      <c r="M150" s="33">
        <f t="shared" si="48"/>
        <v>2094358</v>
      </c>
      <c r="N150" s="28">
        <f t="shared" si="51"/>
        <v>0</v>
      </c>
      <c r="O150" s="28">
        <f t="shared" si="51"/>
        <v>0</v>
      </c>
      <c r="P150" s="28">
        <f t="shared" si="51"/>
        <v>0</v>
      </c>
      <c r="Q150" s="28">
        <f t="shared" si="51"/>
        <v>0</v>
      </c>
      <c r="R150" s="28">
        <f t="shared" si="51"/>
        <v>0</v>
      </c>
      <c r="S150" s="28">
        <f t="shared" si="51"/>
        <v>0</v>
      </c>
      <c r="T150" s="28">
        <f t="shared" si="51"/>
        <v>0</v>
      </c>
      <c r="U150" s="28">
        <f t="shared" si="51"/>
        <v>0</v>
      </c>
      <c r="V150" s="28">
        <f t="shared" si="51"/>
        <v>0</v>
      </c>
      <c r="W150" s="28">
        <f t="shared" si="51"/>
        <v>1</v>
      </c>
      <c r="X150" s="28">
        <f t="shared" si="52"/>
        <v>0</v>
      </c>
      <c r="Y150" s="28">
        <f t="shared" si="52"/>
        <v>0</v>
      </c>
      <c r="Z150" s="28">
        <f t="shared" si="52"/>
        <v>0</v>
      </c>
      <c r="AA150" s="28">
        <f t="shared" si="52"/>
        <v>0</v>
      </c>
      <c r="AB150" s="28">
        <f t="shared" si="52"/>
        <v>0</v>
      </c>
      <c r="AC150" s="28">
        <f t="shared" si="52"/>
        <v>0</v>
      </c>
      <c r="AD150" s="28">
        <f t="shared" si="52"/>
        <v>0</v>
      </c>
      <c r="AE150" s="28">
        <f t="shared" si="52"/>
        <v>0</v>
      </c>
      <c r="AF150" s="28">
        <f t="shared" si="52"/>
        <v>0</v>
      </c>
      <c r="AG150" s="28">
        <f t="shared" si="52"/>
        <v>0</v>
      </c>
      <c r="AH150" s="28">
        <f t="shared" si="50"/>
        <v>1</v>
      </c>
    </row>
    <row r="151" spans="1:34" ht="10.5" x14ac:dyDescent="0.15">
      <c r="A151" s="895" t="s">
        <v>487</v>
      </c>
      <c r="B151" s="895" t="s">
        <v>488</v>
      </c>
      <c r="C151" s="900">
        <v>87117.550536044349</v>
      </c>
      <c r="D151" s="900"/>
      <c r="E151" s="900"/>
      <c r="F151" s="896"/>
      <c r="G151" s="896"/>
      <c r="H151" s="896"/>
      <c r="I151" s="896"/>
      <c r="J151" s="896">
        <v>87117.550536044349</v>
      </c>
      <c r="K151" s="24">
        <f t="shared" si="49"/>
        <v>2017</v>
      </c>
      <c r="L151" s="66"/>
      <c r="M151" s="33">
        <f>IF(K151=2017,0,IF(ISNA(VLOOKUP(LEFT($A151,8),Estimates,72,FALSE)),0,VLOOKUP(LEFT($A151,8),Estimates,72,FALSE)))</f>
        <v>0</v>
      </c>
      <c r="N151" s="28">
        <f t="shared" si="51"/>
        <v>0.94610002385945868</v>
      </c>
      <c r="O151" s="28">
        <f t="shared" si="51"/>
        <v>0</v>
      </c>
      <c r="P151" s="28">
        <f t="shared" si="51"/>
        <v>0</v>
      </c>
      <c r="Q151" s="28">
        <f t="shared" si="51"/>
        <v>1.9999901207826222E-2</v>
      </c>
      <c r="R151" s="28">
        <f t="shared" si="51"/>
        <v>0</v>
      </c>
      <c r="S151" s="28">
        <f t="shared" si="51"/>
        <v>0</v>
      </c>
      <c r="T151" s="28">
        <f t="shared" si="51"/>
        <v>0</v>
      </c>
      <c r="U151" s="28">
        <f t="shared" si="51"/>
        <v>3.390007493271506E-2</v>
      </c>
      <c r="V151" s="28">
        <f t="shared" si="51"/>
        <v>0</v>
      </c>
      <c r="W151" s="28">
        <f t="shared" si="51"/>
        <v>0</v>
      </c>
      <c r="X151" s="28">
        <f t="shared" si="52"/>
        <v>0</v>
      </c>
      <c r="Y151" s="28">
        <f t="shared" si="52"/>
        <v>0</v>
      </c>
      <c r="Z151" s="28">
        <f t="shared" si="52"/>
        <v>0</v>
      </c>
      <c r="AA151" s="28">
        <f t="shared" si="52"/>
        <v>0</v>
      </c>
      <c r="AB151" s="28">
        <f t="shared" si="52"/>
        <v>0</v>
      </c>
      <c r="AC151" s="28">
        <f t="shared" si="52"/>
        <v>0</v>
      </c>
      <c r="AD151" s="28">
        <f t="shared" si="52"/>
        <v>0</v>
      </c>
      <c r="AE151" s="28">
        <f t="shared" si="52"/>
        <v>0</v>
      </c>
      <c r="AF151" s="28">
        <f t="shared" si="52"/>
        <v>0</v>
      </c>
      <c r="AG151" s="28">
        <f t="shared" si="52"/>
        <v>0</v>
      </c>
      <c r="AH151" s="28">
        <f t="shared" si="50"/>
        <v>1</v>
      </c>
    </row>
    <row r="152" spans="1:34" ht="10.5" x14ac:dyDescent="0.15">
      <c r="A152" s="895" t="s">
        <v>489</v>
      </c>
      <c r="B152" s="895" t="s">
        <v>490</v>
      </c>
      <c r="C152" s="900"/>
      <c r="D152" s="900">
        <v>1397400.6359117138</v>
      </c>
      <c r="E152" s="900"/>
      <c r="F152" s="896"/>
      <c r="G152" s="896"/>
      <c r="H152" s="896"/>
      <c r="I152" s="896"/>
      <c r="J152" s="896">
        <v>1397400.6359117138</v>
      </c>
      <c r="K152" s="24">
        <f t="shared" si="49"/>
        <v>2018</v>
      </c>
      <c r="L152" s="66"/>
      <c r="M152" s="33">
        <f t="shared" ref="M152:M157" si="53">IF(ISNA(VLOOKUP(LEFT($A152,8),Estimates,72,FALSE)),0,VLOOKUP(LEFT($A152,8),Estimates,72,FALSE))</f>
        <v>0</v>
      </c>
      <c r="N152" s="28">
        <f t="shared" si="51"/>
        <v>0</v>
      </c>
      <c r="O152" s="28">
        <f t="shared" si="51"/>
        <v>0</v>
      </c>
      <c r="P152" s="28">
        <f t="shared" si="51"/>
        <v>0</v>
      </c>
      <c r="Q152" s="28">
        <f t="shared" si="51"/>
        <v>0</v>
      </c>
      <c r="R152" s="28">
        <f t="shared" si="51"/>
        <v>0</v>
      </c>
      <c r="S152" s="28">
        <f t="shared" si="51"/>
        <v>0</v>
      </c>
      <c r="T152" s="28">
        <f t="shared" si="51"/>
        <v>0</v>
      </c>
      <c r="U152" s="28">
        <f t="shared" si="51"/>
        <v>1</v>
      </c>
      <c r="V152" s="28">
        <f t="shared" si="51"/>
        <v>0</v>
      </c>
      <c r="W152" s="28">
        <f t="shared" si="51"/>
        <v>0</v>
      </c>
      <c r="X152" s="28">
        <f t="shared" si="52"/>
        <v>0</v>
      </c>
      <c r="Y152" s="28">
        <f t="shared" si="52"/>
        <v>0</v>
      </c>
      <c r="Z152" s="28">
        <f t="shared" si="52"/>
        <v>0</v>
      </c>
      <c r="AA152" s="28">
        <f t="shared" si="52"/>
        <v>0</v>
      </c>
      <c r="AB152" s="28">
        <f t="shared" si="52"/>
        <v>0</v>
      </c>
      <c r="AC152" s="28">
        <f t="shared" si="52"/>
        <v>0</v>
      </c>
      <c r="AD152" s="28">
        <f t="shared" si="52"/>
        <v>0</v>
      </c>
      <c r="AE152" s="28">
        <f t="shared" si="52"/>
        <v>0</v>
      </c>
      <c r="AF152" s="28">
        <f t="shared" si="52"/>
        <v>0</v>
      </c>
      <c r="AG152" s="28">
        <f t="shared" si="52"/>
        <v>0</v>
      </c>
      <c r="AH152" s="28">
        <f t="shared" si="50"/>
        <v>1</v>
      </c>
    </row>
    <row r="153" spans="1:34" ht="10.5" x14ac:dyDescent="0.15">
      <c r="A153" s="895" t="s">
        <v>491</v>
      </c>
      <c r="B153" s="895" t="s">
        <v>492</v>
      </c>
      <c r="C153" s="900"/>
      <c r="D153" s="900"/>
      <c r="E153" s="900"/>
      <c r="F153" s="896"/>
      <c r="G153" s="896"/>
      <c r="H153" s="896"/>
      <c r="I153" s="896">
        <v>33655727.478899583</v>
      </c>
      <c r="J153" s="896">
        <v>33655727.478899583</v>
      </c>
      <c r="K153" s="24">
        <f t="shared" si="49"/>
        <v>2023</v>
      </c>
      <c r="L153" s="66"/>
      <c r="M153" s="33">
        <f t="shared" si="53"/>
        <v>15248999.999999996</v>
      </c>
      <c r="N153" s="28">
        <f t="shared" si="51"/>
        <v>0</v>
      </c>
      <c r="O153" s="28">
        <f t="shared" si="51"/>
        <v>0</v>
      </c>
      <c r="P153" s="28">
        <f t="shared" si="51"/>
        <v>1.9988195947275238E-2</v>
      </c>
      <c r="Q153" s="28">
        <f t="shared" si="51"/>
        <v>0</v>
      </c>
      <c r="R153" s="28">
        <f t="shared" si="51"/>
        <v>0</v>
      </c>
      <c r="S153" s="28">
        <f t="shared" si="51"/>
        <v>0</v>
      </c>
      <c r="T153" s="28">
        <f t="shared" si="51"/>
        <v>0</v>
      </c>
      <c r="U153" s="28">
        <f t="shared" si="51"/>
        <v>0</v>
      </c>
      <c r="V153" s="28">
        <f t="shared" si="51"/>
        <v>0</v>
      </c>
      <c r="W153" s="28">
        <f t="shared" si="51"/>
        <v>0</v>
      </c>
      <c r="X153" s="28">
        <f t="shared" si="52"/>
        <v>0</v>
      </c>
      <c r="Y153" s="28">
        <f t="shared" si="52"/>
        <v>0</v>
      </c>
      <c r="Z153" s="28">
        <f t="shared" si="52"/>
        <v>0</v>
      </c>
      <c r="AA153" s="28">
        <f t="shared" si="52"/>
        <v>0</v>
      </c>
      <c r="AB153" s="28">
        <f t="shared" si="52"/>
        <v>0.98001180405272481</v>
      </c>
      <c r="AC153" s="28">
        <f t="shared" si="52"/>
        <v>0</v>
      </c>
      <c r="AD153" s="28">
        <f t="shared" si="52"/>
        <v>0</v>
      </c>
      <c r="AE153" s="28">
        <f t="shared" si="52"/>
        <v>0</v>
      </c>
      <c r="AF153" s="28">
        <f t="shared" si="52"/>
        <v>0</v>
      </c>
      <c r="AG153" s="28">
        <f t="shared" si="52"/>
        <v>0</v>
      </c>
      <c r="AH153" s="28">
        <f t="shared" si="50"/>
        <v>1</v>
      </c>
    </row>
    <row r="154" spans="1:34" ht="10.5" x14ac:dyDescent="0.15">
      <c r="A154" s="895" t="s">
        <v>493</v>
      </c>
      <c r="B154" s="895" t="s">
        <v>494</v>
      </c>
      <c r="C154" s="900"/>
      <c r="D154" s="900"/>
      <c r="E154" s="900"/>
      <c r="F154" s="896"/>
      <c r="G154" s="896"/>
      <c r="H154" s="896"/>
      <c r="I154" s="896">
        <v>5473390.7867289651</v>
      </c>
      <c r="J154" s="896">
        <v>5473390.7867289651</v>
      </c>
      <c r="K154" s="24">
        <f t="shared" si="49"/>
        <v>2023</v>
      </c>
      <c r="L154" s="66"/>
      <c r="M154" s="33">
        <f t="shared" si="53"/>
        <v>2221795.109677894</v>
      </c>
      <c r="N154" s="28">
        <f t="shared" si="51"/>
        <v>0</v>
      </c>
      <c r="O154" s="28">
        <f t="shared" si="51"/>
        <v>0</v>
      </c>
      <c r="P154" s="28">
        <f t="shared" si="51"/>
        <v>0</v>
      </c>
      <c r="Q154" s="28">
        <f t="shared" si="51"/>
        <v>0</v>
      </c>
      <c r="R154" s="28">
        <f t="shared" si="51"/>
        <v>0</v>
      </c>
      <c r="S154" s="28">
        <f t="shared" si="51"/>
        <v>0</v>
      </c>
      <c r="T154" s="28">
        <f t="shared" si="51"/>
        <v>0</v>
      </c>
      <c r="U154" s="28">
        <f t="shared" si="51"/>
        <v>0</v>
      </c>
      <c r="V154" s="28">
        <f t="shared" si="51"/>
        <v>0</v>
      </c>
      <c r="W154" s="28">
        <f t="shared" si="51"/>
        <v>0.89952951762853728</v>
      </c>
      <c r="X154" s="28">
        <f t="shared" si="52"/>
        <v>0</v>
      </c>
      <c r="Y154" s="28">
        <f t="shared" si="52"/>
        <v>6.3563388804275991E-2</v>
      </c>
      <c r="Z154" s="28">
        <f t="shared" si="52"/>
        <v>0</v>
      </c>
      <c r="AA154" s="28">
        <f t="shared" si="52"/>
        <v>0</v>
      </c>
      <c r="AB154" s="28">
        <f t="shared" si="52"/>
        <v>3.6907093567186758E-2</v>
      </c>
      <c r="AC154" s="28">
        <f t="shared" si="52"/>
        <v>0</v>
      </c>
      <c r="AD154" s="28">
        <f t="shared" si="52"/>
        <v>0</v>
      </c>
      <c r="AE154" s="28">
        <f t="shared" si="52"/>
        <v>0</v>
      </c>
      <c r="AF154" s="28">
        <f t="shared" si="52"/>
        <v>0</v>
      </c>
      <c r="AG154" s="28">
        <f t="shared" si="52"/>
        <v>0</v>
      </c>
      <c r="AH154" s="28">
        <f t="shared" si="50"/>
        <v>1</v>
      </c>
    </row>
    <row r="155" spans="1:34" ht="10.5" x14ac:dyDescent="0.15">
      <c r="A155" s="895" t="s">
        <v>495</v>
      </c>
      <c r="B155" s="895" t="s">
        <v>496</v>
      </c>
      <c r="C155" s="900"/>
      <c r="D155" s="900"/>
      <c r="E155" s="900"/>
      <c r="F155" s="896"/>
      <c r="G155" s="896"/>
      <c r="H155" s="896"/>
      <c r="I155" s="896">
        <v>5555222.892518444</v>
      </c>
      <c r="J155" s="896">
        <v>5555222.892518444</v>
      </c>
      <c r="K155" s="24">
        <f t="shared" si="49"/>
        <v>2023</v>
      </c>
      <c r="L155" s="66"/>
      <c r="M155" s="33">
        <f t="shared" si="53"/>
        <v>3058550.1401999989</v>
      </c>
      <c r="N155" s="28">
        <f t="shared" si="51"/>
        <v>0</v>
      </c>
      <c r="O155" s="28">
        <f t="shared" si="51"/>
        <v>0</v>
      </c>
      <c r="P155" s="28">
        <f t="shared" si="51"/>
        <v>0</v>
      </c>
      <c r="Q155" s="28">
        <f t="shared" si="51"/>
        <v>0</v>
      </c>
      <c r="R155" s="28">
        <f t="shared" si="51"/>
        <v>0</v>
      </c>
      <c r="S155" s="28">
        <f t="shared" si="51"/>
        <v>0</v>
      </c>
      <c r="T155" s="28">
        <f t="shared" si="51"/>
        <v>0</v>
      </c>
      <c r="U155" s="28">
        <f t="shared" si="51"/>
        <v>0</v>
      </c>
      <c r="V155" s="28">
        <f t="shared" si="51"/>
        <v>0</v>
      </c>
      <c r="W155" s="28">
        <f t="shared" si="51"/>
        <v>0.89892446125477488</v>
      </c>
      <c r="X155" s="28">
        <f t="shared" si="52"/>
        <v>0</v>
      </c>
      <c r="Y155" s="28">
        <f t="shared" si="52"/>
        <v>2.2606986980922152E-2</v>
      </c>
      <c r="Z155" s="28">
        <f t="shared" si="52"/>
        <v>0</v>
      </c>
      <c r="AA155" s="28">
        <f t="shared" si="52"/>
        <v>0</v>
      </c>
      <c r="AB155" s="28">
        <f t="shared" si="52"/>
        <v>7.8468551764303077E-2</v>
      </c>
      <c r="AC155" s="28">
        <f t="shared" si="52"/>
        <v>0</v>
      </c>
      <c r="AD155" s="28">
        <f t="shared" si="52"/>
        <v>0</v>
      </c>
      <c r="AE155" s="28">
        <f t="shared" si="52"/>
        <v>0</v>
      </c>
      <c r="AF155" s="28">
        <f t="shared" si="52"/>
        <v>0</v>
      </c>
      <c r="AG155" s="28">
        <f t="shared" si="52"/>
        <v>0</v>
      </c>
      <c r="AH155" s="28">
        <f t="shared" si="50"/>
        <v>1</v>
      </c>
    </row>
    <row r="156" spans="1:34" ht="10.5" x14ac:dyDescent="0.15">
      <c r="A156" s="895" t="s">
        <v>497</v>
      </c>
      <c r="B156" s="895" t="s">
        <v>498</v>
      </c>
      <c r="C156" s="900"/>
      <c r="D156" s="900"/>
      <c r="E156" s="900"/>
      <c r="F156" s="896"/>
      <c r="G156" s="896"/>
      <c r="H156" s="896"/>
      <c r="I156" s="896">
        <v>12534703.614851907</v>
      </c>
      <c r="J156" s="896">
        <v>12534703.614851907</v>
      </c>
      <c r="K156" s="24">
        <f t="shared" si="49"/>
        <v>2023</v>
      </c>
      <c r="L156" s="66"/>
      <c r="M156" s="33">
        <f t="shared" si="53"/>
        <v>7361640.7495999988</v>
      </c>
      <c r="N156" s="28">
        <f t="shared" si="51"/>
        <v>0</v>
      </c>
      <c r="O156" s="28">
        <f t="shared" si="51"/>
        <v>0</v>
      </c>
      <c r="P156" s="28">
        <f t="shared" si="51"/>
        <v>0</v>
      </c>
      <c r="Q156" s="28">
        <f t="shared" si="51"/>
        <v>0</v>
      </c>
      <c r="R156" s="28">
        <f t="shared" si="51"/>
        <v>0</v>
      </c>
      <c r="S156" s="28">
        <f t="shared" si="51"/>
        <v>0</v>
      </c>
      <c r="T156" s="28">
        <f t="shared" si="51"/>
        <v>0</v>
      </c>
      <c r="U156" s="28">
        <f t="shared" si="51"/>
        <v>0</v>
      </c>
      <c r="V156" s="28">
        <f t="shared" si="51"/>
        <v>0</v>
      </c>
      <c r="W156" s="28">
        <f t="shared" si="51"/>
        <v>0.89724490948011804</v>
      </c>
      <c r="X156" s="28">
        <f t="shared" si="52"/>
        <v>0</v>
      </c>
      <c r="Y156" s="28">
        <f t="shared" si="52"/>
        <v>3.4292091965193609E-2</v>
      </c>
      <c r="Z156" s="28">
        <f t="shared" si="52"/>
        <v>0</v>
      </c>
      <c r="AA156" s="28">
        <f t="shared" si="52"/>
        <v>0</v>
      </c>
      <c r="AB156" s="28">
        <f t="shared" si="52"/>
        <v>6.8462998554688417E-2</v>
      </c>
      <c r="AC156" s="28">
        <f t="shared" si="52"/>
        <v>0</v>
      </c>
      <c r="AD156" s="28">
        <f t="shared" si="52"/>
        <v>0</v>
      </c>
      <c r="AE156" s="28">
        <f t="shared" si="52"/>
        <v>0</v>
      </c>
      <c r="AF156" s="28">
        <f t="shared" si="52"/>
        <v>0</v>
      </c>
      <c r="AG156" s="28">
        <f t="shared" si="52"/>
        <v>0</v>
      </c>
      <c r="AH156" s="28">
        <f t="shared" si="50"/>
        <v>1</v>
      </c>
    </row>
    <row r="157" spans="1:34" ht="10.5" x14ac:dyDescent="0.15">
      <c r="A157" s="895" t="s">
        <v>500</v>
      </c>
      <c r="B157" s="895" t="s">
        <v>3166</v>
      </c>
      <c r="C157" s="896"/>
      <c r="D157" s="896">
        <v>3841147.8688753825</v>
      </c>
      <c r="E157" s="896"/>
      <c r="F157" s="896"/>
      <c r="G157" s="896"/>
      <c r="H157" s="896"/>
      <c r="I157" s="896"/>
      <c r="J157" s="896">
        <v>3841147.8688753825</v>
      </c>
      <c r="K157" s="24">
        <f t="shared" si="49"/>
        <v>2018</v>
      </c>
      <c r="L157" s="66"/>
      <c r="M157" s="33">
        <f t="shared" si="53"/>
        <v>0</v>
      </c>
      <c r="N157" s="28">
        <f t="shared" si="51"/>
        <v>0</v>
      </c>
      <c r="O157" s="28">
        <f t="shared" si="51"/>
        <v>0</v>
      </c>
      <c r="P157" s="28">
        <f t="shared" si="51"/>
        <v>0</v>
      </c>
      <c r="Q157" s="28">
        <f t="shared" si="51"/>
        <v>0</v>
      </c>
      <c r="R157" s="28">
        <f t="shared" si="51"/>
        <v>0</v>
      </c>
      <c r="S157" s="28">
        <f t="shared" si="51"/>
        <v>0</v>
      </c>
      <c r="T157" s="28">
        <f t="shared" si="51"/>
        <v>0</v>
      </c>
      <c r="U157" s="28">
        <f t="shared" si="51"/>
        <v>0</v>
      </c>
      <c r="V157" s="28">
        <f t="shared" si="51"/>
        <v>0</v>
      </c>
      <c r="W157" s="28">
        <f t="shared" si="51"/>
        <v>0</v>
      </c>
      <c r="X157" s="28">
        <f t="shared" si="52"/>
        <v>0</v>
      </c>
      <c r="Y157" s="28">
        <f t="shared" si="52"/>
        <v>0</v>
      </c>
      <c r="Z157" s="28">
        <f t="shared" si="52"/>
        <v>0</v>
      </c>
      <c r="AA157" s="28">
        <f t="shared" si="52"/>
        <v>0</v>
      </c>
      <c r="AB157" s="28">
        <f t="shared" si="52"/>
        <v>0</v>
      </c>
      <c r="AC157" s="28">
        <f t="shared" si="52"/>
        <v>0</v>
      </c>
      <c r="AD157" s="28">
        <f t="shared" si="52"/>
        <v>0</v>
      </c>
      <c r="AE157" s="28">
        <f t="shared" si="52"/>
        <v>0</v>
      </c>
      <c r="AF157" s="28">
        <f t="shared" si="52"/>
        <v>1</v>
      </c>
      <c r="AG157" s="28">
        <f t="shared" si="52"/>
        <v>0</v>
      </c>
      <c r="AH157" s="28">
        <f t="shared" si="50"/>
        <v>1</v>
      </c>
    </row>
    <row r="158" spans="1:34" ht="10.5" x14ac:dyDescent="0.15">
      <c r="A158" s="895" t="s">
        <v>502</v>
      </c>
      <c r="B158" s="895" t="s">
        <v>503</v>
      </c>
      <c r="C158" s="896">
        <v>2311633.2123567429</v>
      </c>
      <c r="D158" s="896"/>
      <c r="E158" s="896"/>
      <c r="F158" s="896"/>
      <c r="G158" s="896"/>
      <c r="H158" s="896"/>
      <c r="I158" s="896"/>
      <c r="J158" s="896">
        <v>2311633.2123567429</v>
      </c>
      <c r="K158" s="24">
        <f t="shared" si="49"/>
        <v>2017</v>
      </c>
      <c r="L158" s="66"/>
      <c r="M158" s="33">
        <f>IF(K158=2017,0,IF(ISNA(VLOOKUP(LEFT($A158,8),Estimates,72,FALSE)),0,VLOOKUP(LEFT($A158,8),Estimates,72,FALSE)))</f>
        <v>0</v>
      </c>
      <c r="N158" s="28">
        <f t="shared" si="51"/>
        <v>0</v>
      </c>
      <c r="O158" s="28">
        <f t="shared" si="51"/>
        <v>0</v>
      </c>
      <c r="P158" s="28">
        <f t="shared" si="51"/>
        <v>0</v>
      </c>
      <c r="Q158" s="28">
        <f t="shared" si="51"/>
        <v>0</v>
      </c>
      <c r="R158" s="28">
        <f t="shared" si="51"/>
        <v>0</v>
      </c>
      <c r="S158" s="28">
        <f t="shared" si="51"/>
        <v>0</v>
      </c>
      <c r="T158" s="28">
        <f t="shared" si="51"/>
        <v>0</v>
      </c>
      <c r="U158" s="28">
        <f t="shared" si="51"/>
        <v>0</v>
      </c>
      <c r="V158" s="28">
        <f t="shared" si="51"/>
        <v>0</v>
      </c>
      <c r="W158" s="28">
        <f t="shared" si="51"/>
        <v>0</v>
      </c>
      <c r="X158" s="28">
        <f t="shared" si="52"/>
        <v>0</v>
      </c>
      <c r="Y158" s="28">
        <f t="shared" si="52"/>
        <v>0</v>
      </c>
      <c r="Z158" s="28">
        <f t="shared" si="52"/>
        <v>0</v>
      </c>
      <c r="AA158" s="28">
        <f t="shared" si="52"/>
        <v>0</v>
      </c>
      <c r="AB158" s="28">
        <f t="shared" si="52"/>
        <v>0</v>
      </c>
      <c r="AC158" s="28">
        <f t="shared" si="52"/>
        <v>0</v>
      </c>
      <c r="AD158" s="28">
        <f t="shared" si="52"/>
        <v>0</v>
      </c>
      <c r="AE158" s="28">
        <f t="shared" si="52"/>
        <v>0</v>
      </c>
      <c r="AF158" s="28">
        <f t="shared" si="52"/>
        <v>1</v>
      </c>
      <c r="AG158" s="28">
        <f t="shared" si="52"/>
        <v>0</v>
      </c>
      <c r="AH158" s="28">
        <f t="shared" si="50"/>
        <v>1</v>
      </c>
    </row>
    <row r="159" spans="1:34" ht="10.5" x14ac:dyDescent="0.15">
      <c r="A159" s="895" t="s">
        <v>504</v>
      </c>
      <c r="B159" s="895" t="s">
        <v>505</v>
      </c>
      <c r="C159" s="896">
        <v>1775103.4694084986</v>
      </c>
      <c r="D159" s="896"/>
      <c r="E159" s="896"/>
      <c r="F159" s="896"/>
      <c r="G159" s="896"/>
      <c r="H159" s="896"/>
      <c r="I159" s="896"/>
      <c r="J159" s="896">
        <v>1775103.4694084986</v>
      </c>
      <c r="K159" s="24">
        <f t="shared" si="49"/>
        <v>2017</v>
      </c>
      <c r="L159" s="66"/>
      <c r="M159" s="33">
        <f>IF(K159=2017,0,IF(ISNA(VLOOKUP(LEFT($A159,8),Estimates,72,FALSE)),0,VLOOKUP(LEFT($A159,8),Estimates,72,FALSE)))</f>
        <v>0</v>
      </c>
      <c r="N159" s="28">
        <f t="shared" ref="N159:W168" si="54">IF($M159=0,VLOOKUP(MID($A159,4,5),ProjectSplits,N$2,FALSE),IF(ISNA(VLOOKUP(LEFT($A159,8),Estimates,N$1,FALSE)),VLOOKUP(MID($A159,4,5),ProjectSplits,N$2,FALSE),VLOOKUP(LEFT($A159,8),Estimates,N$1,FALSE)))</f>
        <v>0</v>
      </c>
      <c r="O159" s="28">
        <f t="shared" si="54"/>
        <v>0</v>
      </c>
      <c r="P159" s="28">
        <f t="shared" si="54"/>
        <v>0</v>
      </c>
      <c r="Q159" s="28">
        <f t="shared" si="54"/>
        <v>0</v>
      </c>
      <c r="R159" s="28">
        <f t="shared" si="54"/>
        <v>0</v>
      </c>
      <c r="S159" s="28">
        <f t="shared" si="54"/>
        <v>0</v>
      </c>
      <c r="T159" s="28">
        <f t="shared" si="54"/>
        <v>0</v>
      </c>
      <c r="U159" s="28">
        <f t="shared" si="54"/>
        <v>0</v>
      </c>
      <c r="V159" s="28">
        <f t="shared" si="54"/>
        <v>0</v>
      </c>
      <c r="W159" s="28">
        <f t="shared" si="54"/>
        <v>0</v>
      </c>
      <c r="X159" s="28">
        <f t="shared" ref="X159:AG168" si="55">IF($M159=0,VLOOKUP(MID($A159,4,5),ProjectSplits,X$2,FALSE),IF(ISNA(VLOOKUP(LEFT($A159,8),Estimates,X$1,FALSE)),VLOOKUP(MID($A159,4,5),ProjectSplits,X$2,FALSE),VLOOKUP(LEFT($A159,8),Estimates,X$1,FALSE)))</f>
        <v>0</v>
      </c>
      <c r="Y159" s="28">
        <f t="shared" si="55"/>
        <v>0</v>
      </c>
      <c r="Z159" s="28">
        <f t="shared" si="55"/>
        <v>0</v>
      </c>
      <c r="AA159" s="28">
        <f t="shared" si="55"/>
        <v>0</v>
      </c>
      <c r="AB159" s="28">
        <f t="shared" si="55"/>
        <v>0</v>
      </c>
      <c r="AC159" s="28">
        <f t="shared" si="55"/>
        <v>0</v>
      </c>
      <c r="AD159" s="28">
        <f t="shared" si="55"/>
        <v>0</v>
      </c>
      <c r="AE159" s="28">
        <f t="shared" si="55"/>
        <v>0</v>
      </c>
      <c r="AF159" s="28">
        <f t="shared" si="55"/>
        <v>1</v>
      </c>
      <c r="AG159" s="28">
        <f t="shared" si="55"/>
        <v>0</v>
      </c>
      <c r="AH159" s="28">
        <f t="shared" si="50"/>
        <v>1</v>
      </c>
    </row>
    <row r="160" spans="1:34" ht="10.5" x14ac:dyDescent="0.15">
      <c r="A160" s="895" t="s">
        <v>508</v>
      </c>
      <c r="B160" s="895" t="s">
        <v>2387</v>
      </c>
      <c r="C160" s="896"/>
      <c r="D160" s="896"/>
      <c r="E160" s="896"/>
      <c r="F160" s="896"/>
      <c r="G160" s="896">
        <v>1748818.7456796041</v>
      </c>
      <c r="H160" s="896"/>
      <c r="I160" s="896"/>
      <c r="J160" s="896">
        <v>1748818.7456796041</v>
      </c>
      <c r="K160" s="24">
        <f t="shared" si="49"/>
        <v>2021</v>
      </c>
      <c r="L160" s="66"/>
      <c r="M160" s="33">
        <f t="shared" ref="M160:M165" si="56">IF(ISNA(VLOOKUP(LEFT($A160,8),Estimates,72,FALSE)),0,VLOOKUP(LEFT($A160,8),Estimates,72,FALSE))</f>
        <v>868848.25439436187</v>
      </c>
      <c r="N160" s="28">
        <f t="shared" si="54"/>
        <v>0</v>
      </c>
      <c r="O160" s="28">
        <f t="shared" si="54"/>
        <v>0</v>
      </c>
      <c r="P160" s="28">
        <f t="shared" si="54"/>
        <v>0</v>
      </c>
      <c r="Q160" s="28">
        <f t="shared" si="54"/>
        <v>0</v>
      </c>
      <c r="R160" s="28">
        <f t="shared" si="54"/>
        <v>0</v>
      </c>
      <c r="S160" s="28">
        <f t="shared" si="54"/>
        <v>0</v>
      </c>
      <c r="T160" s="28">
        <f t="shared" si="54"/>
        <v>0</v>
      </c>
      <c r="U160" s="28">
        <f t="shared" si="54"/>
        <v>0</v>
      </c>
      <c r="V160" s="28">
        <f t="shared" si="54"/>
        <v>0</v>
      </c>
      <c r="W160" s="28">
        <f t="shared" si="54"/>
        <v>0.50097729632133636</v>
      </c>
      <c r="X160" s="28">
        <f t="shared" si="55"/>
        <v>0</v>
      </c>
      <c r="Y160" s="28">
        <f t="shared" si="55"/>
        <v>8.2609362025849176E-2</v>
      </c>
      <c r="Z160" s="28">
        <f t="shared" si="55"/>
        <v>0</v>
      </c>
      <c r="AA160" s="28">
        <f t="shared" si="55"/>
        <v>0</v>
      </c>
      <c r="AB160" s="28">
        <f t="shared" si="55"/>
        <v>0.35886589335316527</v>
      </c>
      <c r="AC160" s="28">
        <f t="shared" si="55"/>
        <v>5.754744829964923E-2</v>
      </c>
      <c r="AD160" s="28">
        <f t="shared" si="55"/>
        <v>0</v>
      </c>
      <c r="AE160" s="28">
        <f t="shared" si="55"/>
        <v>0</v>
      </c>
      <c r="AF160" s="28">
        <f t="shared" si="55"/>
        <v>0</v>
      </c>
      <c r="AG160" s="28">
        <f t="shared" si="55"/>
        <v>0</v>
      </c>
      <c r="AH160" s="28">
        <f t="shared" si="50"/>
        <v>1</v>
      </c>
    </row>
    <row r="161" spans="1:34" ht="10.5" x14ac:dyDescent="0.15">
      <c r="A161" s="895" t="s">
        <v>510</v>
      </c>
      <c r="B161" s="895" t="s">
        <v>511</v>
      </c>
      <c r="C161" s="896"/>
      <c r="D161" s="896"/>
      <c r="E161" s="896"/>
      <c r="F161" s="896"/>
      <c r="G161" s="896"/>
      <c r="H161" s="896">
        <v>1212085.0625734997</v>
      </c>
      <c r="I161" s="896"/>
      <c r="J161" s="896">
        <v>1212085.0625734997</v>
      </c>
      <c r="K161" s="24">
        <f t="shared" si="49"/>
        <v>2022</v>
      </c>
      <c r="L161" s="66"/>
      <c r="M161" s="33">
        <f t="shared" si="56"/>
        <v>542544.99999999907</v>
      </c>
      <c r="N161" s="28">
        <f t="shared" si="54"/>
        <v>0</v>
      </c>
      <c r="O161" s="28">
        <f t="shared" si="54"/>
        <v>0</v>
      </c>
      <c r="P161" s="28">
        <f t="shared" si="54"/>
        <v>0</v>
      </c>
      <c r="Q161" s="28">
        <f t="shared" si="54"/>
        <v>0</v>
      </c>
      <c r="R161" s="28">
        <f t="shared" si="54"/>
        <v>0</v>
      </c>
      <c r="S161" s="28">
        <f t="shared" si="54"/>
        <v>0</v>
      </c>
      <c r="T161" s="28">
        <f t="shared" si="54"/>
        <v>0</v>
      </c>
      <c r="U161" s="28">
        <f t="shared" si="54"/>
        <v>0</v>
      </c>
      <c r="V161" s="28">
        <f t="shared" si="54"/>
        <v>0</v>
      </c>
      <c r="W161" s="28">
        <f t="shared" si="54"/>
        <v>0.15924946317816957</v>
      </c>
      <c r="X161" s="28">
        <f t="shared" si="55"/>
        <v>0</v>
      </c>
      <c r="Y161" s="28">
        <f t="shared" si="55"/>
        <v>0</v>
      </c>
      <c r="Z161" s="28">
        <f t="shared" si="55"/>
        <v>0</v>
      </c>
      <c r="AA161" s="28">
        <f t="shared" si="55"/>
        <v>0</v>
      </c>
      <c r="AB161" s="28">
        <f t="shared" si="55"/>
        <v>0.84075053682183043</v>
      </c>
      <c r="AC161" s="28">
        <f t="shared" si="55"/>
        <v>0</v>
      </c>
      <c r="AD161" s="28">
        <f t="shared" si="55"/>
        <v>0</v>
      </c>
      <c r="AE161" s="28">
        <f t="shared" si="55"/>
        <v>0</v>
      </c>
      <c r="AF161" s="28">
        <f t="shared" si="55"/>
        <v>0</v>
      </c>
      <c r="AG161" s="28">
        <f t="shared" si="55"/>
        <v>0</v>
      </c>
      <c r="AH161" s="28">
        <f t="shared" si="50"/>
        <v>1</v>
      </c>
    </row>
    <row r="162" spans="1:34" ht="10.5" x14ac:dyDescent="0.15">
      <c r="A162" s="895" t="s">
        <v>512</v>
      </c>
      <c r="B162" s="895" t="s">
        <v>513</v>
      </c>
      <c r="C162" s="896"/>
      <c r="D162" s="896"/>
      <c r="E162" s="896"/>
      <c r="F162" s="896"/>
      <c r="G162" s="896">
        <v>10402185.743323641</v>
      </c>
      <c r="H162" s="896"/>
      <c r="I162" s="896"/>
      <c r="J162" s="896">
        <v>10402185.743323641</v>
      </c>
      <c r="K162" s="24">
        <f t="shared" si="49"/>
        <v>2021</v>
      </c>
      <c r="L162" s="66"/>
      <c r="M162" s="33">
        <f t="shared" si="56"/>
        <v>5026557.317995986</v>
      </c>
      <c r="N162" s="28">
        <f t="shared" si="54"/>
        <v>0</v>
      </c>
      <c r="O162" s="28">
        <f t="shared" si="54"/>
        <v>0</v>
      </c>
      <c r="P162" s="28">
        <f t="shared" si="54"/>
        <v>0</v>
      </c>
      <c r="Q162" s="28">
        <f t="shared" si="54"/>
        <v>0</v>
      </c>
      <c r="R162" s="28">
        <f t="shared" si="54"/>
        <v>0</v>
      </c>
      <c r="S162" s="28">
        <f t="shared" si="54"/>
        <v>0</v>
      </c>
      <c r="T162" s="28">
        <f t="shared" si="54"/>
        <v>0</v>
      </c>
      <c r="U162" s="28">
        <f t="shared" si="54"/>
        <v>0</v>
      </c>
      <c r="V162" s="28">
        <f t="shared" si="54"/>
        <v>0</v>
      </c>
      <c r="W162" s="28">
        <f t="shared" si="54"/>
        <v>0.25864201435552758</v>
      </c>
      <c r="X162" s="28">
        <f t="shared" si="55"/>
        <v>2.1247146556947979E-2</v>
      </c>
      <c r="Y162" s="28">
        <f t="shared" si="55"/>
        <v>0.68708624800095996</v>
      </c>
      <c r="Z162" s="28">
        <f t="shared" si="55"/>
        <v>0</v>
      </c>
      <c r="AA162" s="28">
        <f t="shared" si="55"/>
        <v>0</v>
      </c>
      <c r="AB162" s="28">
        <f t="shared" si="55"/>
        <v>3.3024591086564484E-2</v>
      </c>
      <c r="AC162" s="28">
        <f t="shared" si="55"/>
        <v>0</v>
      </c>
      <c r="AD162" s="28">
        <f t="shared" si="55"/>
        <v>0</v>
      </c>
      <c r="AE162" s="28">
        <f t="shared" si="55"/>
        <v>0</v>
      </c>
      <c r="AF162" s="28">
        <f t="shared" si="55"/>
        <v>0</v>
      </c>
      <c r="AG162" s="28">
        <f t="shared" si="55"/>
        <v>0</v>
      </c>
      <c r="AH162" s="28">
        <f t="shared" si="50"/>
        <v>1</v>
      </c>
    </row>
    <row r="163" spans="1:34" ht="10.5" x14ac:dyDescent="0.15">
      <c r="A163" s="895" t="s">
        <v>514</v>
      </c>
      <c r="B163" s="895" t="s">
        <v>515</v>
      </c>
      <c r="C163" s="896"/>
      <c r="D163" s="896"/>
      <c r="E163" s="896"/>
      <c r="F163" s="896"/>
      <c r="G163" s="896">
        <v>8892479.2534988672</v>
      </c>
      <c r="H163" s="896"/>
      <c r="I163" s="896"/>
      <c r="J163" s="896">
        <v>8892479.2534988672</v>
      </c>
      <c r="K163" s="24">
        <f t="shared" si="49"/>
        <v>2021</v>
      </c>
      <c r="L163" s="66"/>
      <c r="M163" s="33">
        <f t="shared" si="56"/>
        <v>3844158.4000000013</v>
      </c>
      <c r="N163" s="28">
        <f t="shared" si="54"/>
        <v>0</v>
      </c>
      <c r="O163" s="28">
        <f t="shared" si="54"/>
        <v>0</v>
      </c>
      <c r="P163" s="28">
        <f t="shared" si="54"/>
        <v>0</v>
      </c>
      <c r="Q163" s="28">
        <f t="shared" si="54"/>
        <v>0</v>
      </c>
      <c r="R163" s="28">
        <f t="shared" si="54"/>
        <v>0</v>
      </c>
      <c r="S163" s="28">
        <f t="shared" si="54"/>
        <v>0</v>
      </c>
      <c r="T163" s="28">
        <f t="shared" si="54"/>
        <v>0</v>
      </c>
      <c r="U163" s="28">
        <f t="shared" si="54"/>
        <v>0</v>
      </c>
      <c r="V163" s="28">
        <f t="shared" si="54"/>
        <v>0</v>
      </c>
      <c r="W163" s="28">
        <f t="shared" si="54"/>
        <v>0.96626699877923861</v>
      </c>
      <c r="X163" s="28">
        <f t="shared" si="55"/>
        <v>0</v>
      </c>
      <c r="Y163" s="28">
        <f t="shared" si="55"/>
        <v>3.3733001220761359E-2</v>
      </c>
      <c r="Z163" s="28">
        <f t="shared" si="55"/>
        <v>0</v>
      </c>
      <c r="AA163" s="28">
        <f t="shared" si="55"/>
        <v>0</v>
      </c>
      <c r="AB163" s="28">
        <f t="shared" si="55"/>
        <v>0</v>
      </c>
      <c r="AC163" s="28">
        <f t="shared" si="55"/>
        <v>0</v>
      </c>
      <c r="AD163" s="28">
        <f t="shared" si="55"/>
        <v>0</v>
      </c>
      <c r="AE163" s="28">
        <f t="shared" si="55"/>
        <v>0</v>
      </c>
      <c r="AF163" s="28">
        <f t="shared" si="55"/>
        <v>0</v>
      </c>
      <c r="AG163" s="28">
        <f t="shared" si="55"/>
        <v>0</v>
      </c>
      <c r="AH163" s="28">
        <f t="shared" si="50"/>
        <v>1</v>
      </c>
    </row>
    <row r="164" spans="1:34" ht="10.5" x14ac:dyDescent="0.15">
      <c r="A164" s="895" t="s">
        <v>518</v>
      </c>
      <c r="B164" s="895" t="s">
        <v>2388</v>
      </c>
      <c r="C164" s="896"/>
      <c r="D164" s="896"/>
      <c r="E164" s="896"/>
      <c r="F164" s="896">
        <v>3010936.6390693318</v>
      </c>
      <c r="G164" s="896"/>
      <c r="H164" s="896"/>
      <c r="I164" s="896"/>
      <c r="J164" s="896">
        <v>3010936.6390693318</v>
      </c>
      <c r="K164" s="24">
        <f t="shared" si="49"/>
        <v>2020</v>
      </c>
      <c r="L164" s="66"/>
      <c r="M164" s="33">
        <f t="shared" si="56"/>
        <v>1565826.1946773399</v>
      </c>
      <c r="N164" s="28">
        <f t="shared" si="54"/>
        <v>0</v>
      </c>
      <c r="O164" s="28">
        <f t="shared" si="54"/>
        <v>0</v>
      </c>
      <c r="P164" s="28">
        <f t="shared" si="54"/>
        <v>0</v>
      </c>
      <c r="Q164" s="28">
        <f t="shared" si="54"/>
        <v>0</v>
      </c>
      <c r="R164" s="28">
        <f t="shared" si="54"/>
        <v>0</v>
      </c>
      <c r="S164" s="28">
        <f t="shared" si="54"/>
        <v>0</v>
      </c>
      <c r="T164" s="28">
        <f t="shared" si="54"/>
        <v>0</v>
      </c>
      <c r="U164" s="28">
        <f t="shared" si="54"/>
        <v>0</v>
      </c>
      <c r="V164" s="28">
        <f t="shared" si="54"/>
        <v>0</v>
      </c>
      <c r="W164" s="28">
        <f t="shared" si="54"/>
        <v>0.69836818000366996</v>
      </c>
      <c r="X164" s="28">
        <f t="shared" si="55"/>
        <v>0</v>
      </c>
      <c r="Y164" s="28">
        <f t="shared" si="55"/>
        <v>0.12108815175037685</v>
      </c>
      <c r="Z164" s="28">
        <f t="shared" si="55"/>
        <v>0</v>
      </c>
      <c r="AA164" s="28">
        <f t="shared" si="55"/>
        <v>0</v>
      </c>
      <c r="AB164" s="28">
        <f t="shared" si="55"/>
        <v>0.18054366824595322</v>
      </c>
      <c r="AC164" s="28">
        <f t="shared" si="55"/>
        <v>0</v>
      </c>
      <c r="AD164" s="28">
        <f t="shared" si="55"/>
        <v>0</v>
      </c>
      <c r="AE164" s="28">
        <f t="shared" si="55"/>
        <v>0</v>
      </c>
      <c r="AF164" s="28">
        <f t="shared" si="55"/>
        <v>0</v>
      </c>
      <c r="AG164" s="28">
        <f t="shared" si="55"/>
        <v>0</v>
      </c>
      <c r="AH164" s="28">
        <f t="shared" si="50"/>
        <v>1</v>
      </c>
    </row>
    <row r="165" spans="1:34" ht="10.5" x14ac:dyDescent="0.15">
      <c r="A165" s="895" t="s">
        <v>520</v>
      </c>
      <c r="B165" s="895" t="s">
        <v>521</v>
      </c>
      <c r="C165" s="896"/>
      <c r="D165" s="896"/>
      <c r="E165" s="896">
        <v>1029654.8569362205</v>
      </c>
      <c r="F165" s="896"/>
      <c r="G165" s="896"/>
      <c r="H165" s="896"/>
      <c r="I165" s="896"/>
      <c r="J165" s="896">
        <v>1029654.8569362205</v>
      </c>
      <c r="K165" s="24">
        <f t="shared" si="49"/>
        <v>2019</v>
      </c>
      <c r="L165" s="66"/>
      <c r="M165" s="33">
        <f t="shared" si="56"/>
        <v>200000.00000000035</v>
      </c>
      <c r="N165" s="28">
        <f t="shared" si="54"/>
        <v>0</v>
      </c>
      <c r="O165" s="28">
        <f t="shared" si="54"/>
        <v>0</v>
      </c>
      <c r="P165" s="28">
        <f t="shared" si="54"/>
        <v>0</v>
      </c>
      <c r="Q165" s="28">
        <f t="shared" si="54"/>
        <v>1</v>
      </c>
      <c r="R165" s="28">
        <f t="shared" si="54"/>
        <v>0</v>
      </c>
      <c r="S165" s="28">
        <f t="shared" si="54"/>
        <v>0</v>
      </c>
      <c r="T165" s="28">
        <f t="shared" si="54"/>
        <v>0</v>
      </c>
      <c r="U165" s="28">
        <f t="shared" si="54"/>
        <v>0</v>
      </c>
      <c r="V165" s="28">
        <f t="shared" si="54"/>
        <v>0</v>
      </c>
      <c r="W165" s="28">
        <f t="shared" si="54"/>
        <v>0</v>
      </c>
      <c r="X165" s="28">
        <f t="shared" si="55"/>
        <v>0</v>
      </c>
      <c r="Y165" s="28">
        <f t="shared" si="55"/>
        <v>0</v>
      </c>
      <c r="Z165" s="28">
        <f t="shared" si="55"/>
        <v>0</v>
      </c>
      <c r="AA165" s="28">
        <f t="shared" si="55"/>
        <v>0</v>
      </c>
      <c r="AB165" s="28">
        <f t="shared" si="55"/>
        <v>0</v>
      </c>
      <c r="AC165" s="28">
        <f t="shared" si="55"/>
        <v>0</v>
      </c>
      <c r="AD165" s="28">
        <f t="shared" si="55"/>
        <v>0</v>
      </c>
      <c r="AE165" s="28">
        <f t="shared" si="55"/>
        <v>0</v>
      </c>
      <c r="AF165" s="28">
        <f t="shared" si="55"/>
        <v>0</v>
      </c>
      <c r="AG165" s="28">
        <f t="shared" si="55"/>
        <v>0</v>
      </c>
      <c r="AH165" s="28">
        <f t="shared" si="50"/>
        <v>1</v>
      </c>
    </row>
    <row r="166" spans="1:34" ht="10.5" x14ac:dyDescent="0.15">
      <c r="A166" s="895" t="s">
        <v>523</v>
      </c>
      <c r="B166" s="895" t="s">
        <v>524</v>
      </c>
      <c r="C166" s="896">
        <v>316861.92801293818</v>
      </c>
      <c r="D166" s="896"/>
      <c r="E166" s="896"/>
      <c r="F166" s="896"/>
      <c r="G166" s="896"/>
      <c r="H166" s="896"/>
      <c r="I166" s="896"/>
      <c r="J166" s="896">
        <v>316861.92801293818</v>
      </c>
      <c r="K166" s="24">
        <f t="shared" si="49"/>
        <v>2017</v>
      </c>
      <c r="L166" s="66"/>
      <c r="M166" s="33">
        <f>IF(K166=2017,0,IF(ISNA(VLOOKUP(LEFT($A166,8),Estimates,72,FALSE)),0,VLOOKUP(LEFT($A166,8),Estimates,72,FALSE)))</f>
        <v>0</v>
      </c>
      <c r="N166" s="28">
        <f t="shared" si="54"/>
        <v>0</v>
      </c>
      <c r="O166" s="28">
        <f t="shared" si="54"/>
        <v>0</v>
      </c>
      <c r="P166" s="28">
        <f t="shared" si="54"/>
        <v>0</v>
      </c>
      <c r="Q166" s="28">
        <f t="shared" si="54"/>
        <v>1</v>
      </c>
      <c r="R166" s="28">
        <f t="shared" si="54"/>
        <v>0</v>
      </c>
      <c r="S166" s="28">
        <f t="shared" si="54"/>
        <v>0</v>
      </c>
      <c r="T166" s="28">
        <f t="shared" si="54"/>
        <v>0</v>
      </c>
      <c r="U166" s="28">
        <f t="shared" si="54"/>
        <v>0</v>
      </c>
      <c r="V166" s="28">
        <f t="shared" si="54"/>
        <v>0</v>
      </c>
      <c r="W166" s="28">
        <f t="shared" si="54"/>
        <v>0</v>
      </c>
      <c r="X166" s="28">
        <f t="shared" si="55"/>
        <v>0</v>
      </c>
      <c r="Y166" s="28">
        <f t="shared" si="55"/>
        <v>0</v>
      </c>
      <c r="Z166" s="28">
        <f t="shared" si="55"/>
        <v>0</v>
      </c>
      <c r="AA166" s="28">
        <f t="shared" si="55"/>
        <v>0</v>
      </c>
      <c r="AB166" s="28">
        <f t="shared" si="55"/>
        <v>0</v>
      </c>
      <c r="AC166" s="28">
        <f t="shared" si="55"/>
        <v>0</v>
      </c>
      <c r="AD166" s="28">
        <f t="shared" si="55"/>
        <v>0</v>
      </c>
      <c r="AE166" s="28">
        <f t="shared" si="55"/>
        <v>0</v>
      </c>
      <c r="AF166" s="28">
        <f t="shared" si="55"/>
        <v>0</v>
      </c>
      <c r="AG166" s="28">
        <f t="shared" si="55"/>
        <v>0</v>
      </c>
      <c r="AH166" s="28">
        <f t="shared" si="50"/>
        <v>1</v>
      </c>
    </row>
    <row r="167" spans="1:34" ht="10.5" x14ac:dyDescent="0.15">
      <c r="A167" s="895" t="s">
        <v>2772</v>
      </c>
      <c r="B167" s="895" t="s">
        <v>2773</v>
      </c>
      <c r="C167" s="896"/>
      <c r="D167" s="896"/>
      <c r="E167" s="896"/>
      <c r="F167" s="896"/>
      <c r="G167" s="896"/>
      <c r="H167" s="896"/>
      <c r="I167" s="896">
        <v>1625167.5057745681</v>
      </c>
      <c r="J167" s="896">
        <v>1625167.5057745681</v>
      </c>
      <c r="K167" s="24">
        <f t="shared" si="49"/>
        <v>2023</v>
      </c>
      <c r="L167" s="66"/>
      <c r="M167" s="33">
        <f>IF(ISNA(VLOOKUP(LEFT($A167,8),Estimates,72,FALSE)),0,VLOOKUP(LEFT($A167,8),Estimates,72,FALSE))</f>
        <v>762637.11005793454</v>
      </c>
      <c r="N167" s="28">
        <f t="shared" si="54"/>
        <v>0</v>
      </c>
      <c r="O167" s="28">
        <f t="shared" si="54"/>
        <v>0</v>
      </c>
      <c r="P167" s="28">
        <f t="shared" si="54"/>
        <v>0</v>
      </c>
      <c r="Q167" s="28">
        <f t="shared" si="54"/>
        <v>0</v>
      </c>
      <c r="R167" s="28">
        <f t="shared" si="54"/>
        <v>0</v>
      </c>
      <c r="S167" s="28">
        <f t="shared" si="54"/>
        <v>0</v>
      </c>
      <c r="T167" s="28">
        <f t="shared" si="54"/>
        <v>0</v>
      </c>
      <c r="U167" s="28">
        <f t="shared" si="54"/>
        <v>0</v>
      </c>
      <c r="V167" s="28">
        <f t="shared" si="54"/>
        <v>0</v>
      </c>
      <c r="W167" s="28">
        <f t="shared" si="54"/>
        <v>0.41987652027118744</v>
      </c>
      <c r="X167" s="28">
        <f t="shared" si="55"/>
        <v>0</v>
      </c>
      <c r="Y167" s="28">
        <f t="shared" si="55"/>
        <v>0.31764697261628599</v>
      </c>
      <c r="Z167" s="28">
        <f t="shared" si="55"/>
        <v>3.0289635387983141E-2</v>
      </c>
      <c r="AA167" s="28">
        <f t="shared" si="55"/>
        <v>0</v>
      </c>
      <c r="AB167" s="28">
        <f t="shared" si="55"/>
        <v>0.16298709211082793</v>
      </c>
      <c r="AC167" s="28">
        <f t="shared" si="55"/>
        <v>0</v>
      </c>
      <c r="AD167" s="28">
        <f t="shared" si="55"/>
        <v>6.9199779613715567E-2</v>
      </c>
      <c r="AE167" s="28">
        <f t="shared" si="55"/>
        <v>0</v>
      </c>
      <c r="AF167" s="28">
        <f t="shared" si="55"/>
        <v>0</v>
      </c>
      <c r="AG167" s="28">
        <f t="shared" si="55"/>
        <v>0</v>
      </c>
      <c r="AH167" s="28">
        <f t="shared" si="50"/>
        <v>1</v>
      </c>
    </row>
    <row r="168" spans="1:34" ht="10.5" x14ac:dyDescent="0.15">
      <c r="A168" s="895" t="s">
        <v>526</v>
      </c>
      <c r="B168" s="895" t="s">
        <v>527</v>
      </c>
      <c r="C168" s="896"/>
      <c r="D168" s="896"/>
      <c r="E168" s="896">
        <v>4977988.9794589123</v>
      </c>
      <c r="F168" s="896"/>
      <c r="G168" s="896"/>
      <c r="H168" s="896"/>
      <c r="I168" s="896"/>
      <c r="J168" s="896">
        <v>4977988.9794589123</v>
      </c>
      <c r="K168" s="24">
        <f t="shared" si="49"/>
        <v>2019</v>
      </c>
      <c r="L168" s="66"/>
      <c r="M168" s="33">
        <f>IF(ISNA(VLOOKUP(LEFT($A168,8),Estimates,72,FALSE)),0,VLOOKUP(LEFT($A168,8),Estimates,72,FALSE))</f>
        <v>3030390.7715632175</v>
      </c>
      <c r="N168" s="28">
        <f t="shared" si="54"/>
        <v>0</v>
      </c>
      <c r="O168" s="28">
        <f t="shared" si="54"/>
        <v>0</v>
      </c>
      <c r="P168" s="28">
        <f t="shared" si="54"/>
        <v>9.8997133515637617E-3</v>
      </c>
      <c r="Q168" s="28">
        <f t="shared" si="54"/>
        <v>0</v>
      </c>
      <c r="R168" s="28">
        <f t="shared" si="54"/>
        <v>0</v>
      </c>
      <c r="S168" s="28">
        <f t="shared" si="54"/>
        <v>0</v>
      </c>
      <c r="T168" s="28">
        <f t="shared" si="54"/>
        <v>0</v>
      </c>
      <c r="U168" s="28">
        <f t="shared" si="54"/>
        <v>0</v>
      </c>
      <c r="V168" s="28">
        <f t="shared" si="54"/>
        <v>0</v>
      </c>
      <c r="W168" s="28">
        <f t="shared" si="54"/>
        <v>0.79697883928314239</v>
      </c>
      <c r="X168" s="28">
        <f t="shared" si="55"/>
        <v>0</v>
      </c>
      <c r="Y168" s="28">
        <f t="shared" si="55"/>
        <v>0.1331291827838956</v>
      </c>
      <c r="Z168" s="28">
        <f t="shared" si="55"/>
        <v>0</v>
      </c>
      <c r="AA168" s="28">
        <f t="shared" si="55"/>
        <v>0</v>
      </c>
      <c r="AB168" s="28">
        <f t="shared" si="55"/>
        <v>5.0092551223795662E-2</v>
      </c>
      <c r="AC168" s="28">
        <f t="shared" si="55"/>
        <v>6.5998089050683904E-3</v>
      </c>
      <c r="AD168" s="28">
        <f t="shared" si="55"/>
        <v>3.2999044525341952E-3</v>
      </c>
      <c r="AE168" s="28">
        <f t="shared" si="55"/>
        <v>0</v>
      </c>
      <c r="AF168" s="28">
        <f t="shared" si="55"/>
        <v>0</v>
      </c>
      <c r="AG168" s="28">
        <f t="shared" si="55"/>
        <v>0</v>
      </c>
      <c r="AH168" s="28">
        <f t="shared" si="50"/>
        <v>1</v>
      </c>
    </row>
    <row r="169" spans="1:34" ht="10.5" x14ac:dyDescent="0.15">
      <c r="A169" s="895" t="s">
        <v>532</v>
      </c>
      <c r="B169" s="895" t="s">
        <v>2389</v>
      </c>
      <c r="C169" s="896">
        <v>143096.69512938967</v>
      </c>
      <c r="D169" s="896"/>
      <c r="E169" s="896"/>
      <c r="F169" s="896"/>
      <c r="G169" s="896"/>
      <c r="H169" s="896"/>
      <c r="I169" s="896"/>
      <c r="J169" s="896">
        <v>143096.69512938967</v>
      </c>
      <c r="K169" s="24">
        <f t="shared" si="49"/>
        <v>2017</v>
      </c>
      <c r="L169" s="66"/>
      <c r="M169" s="33">
        <f>IF(K169=2017,0,IF(ISNA(VLOOKUP(LEFT($A169,8),Estimates,72,FALSE)),0,VLOOKUP(LEFT($A169,8),Estimates,72,FALSE)))</f>
        <v>0</v>
      </c>
      <c r="N169" s="28">
        <f t="shared" ref="N169:W178" si="57">IF($M169=0,VLOOKUP(MID($A169,4,5),ProjectSplits,N$2,FALSE),IF(ISNA(VLOOKUP(LEFT($A169,8),Estimates,N$1,FALSE)),VLOOKUP(MID($A169,4,5),ProjectSplits,N$2,FALSE),VLOOKUP(LEFT($A169,8),Estimates,N$1,FALSE)))</f>
        <v>1</v>
      </c>
      <c r="O169" s="28">
        <f t="shared" si="57"/>
        <v>0</v>
      </c>
      <c r="P169" s="28">
        <f t="shared" si="57"/>
        <v>0</v>
      </c>
      <c r="Q169" s="28">
        <f t="shared" si="57"/>
        <v>0</v>
      </c>
      <c r="R169" s="28">
        <f t="shared" si="57"/>
        <v>0</v>
      </c>
      <c r="S169" s="28">
        <f t="shared" si="57"/>
        <v>0</v>
      </c>
      <c r="T169" s="28">
        <f t="shared" si="57"/>
        <v>0</v>
      </c>
      <c r="U169" s="28">
        <f t="shared" si="57"/>
        <v>0</v>
      </c>
      <c r="V169" s="28">
        <f t="shared" si="57"/>
        <v>0</v>
      </c>
      <c r="W169" s="28">
        <f t="shared" si="57"/>
        <v>0</v>
      </c>
      <c r="X169" s="28">
        <f t="shared" ref="X169:AG178" si="58">IF($M169=0,VLOOKUP(MID($A169,4,5),ProjectSplits,X$2,FALSE),IF(ISNA(VLOOKUP(LEFT($A169,8),Estimates,X$1,FALSE)),VLOOKUP(MID($A169,4,5),ProjectSplits,X$2,FALSE),VLOOKUP(LEFT($A169,8),Estimates,X$1,FALSE)))</f>
        <v>0</v>
      </c>
      <c r="Y169" s="28">
        <f t="shared" si="58"/>
        <v>0</v>
      </c>
      <c r="Z169" s="28">
        <f t="shared" si="58"/>
        <v>0</v>
      </c>
      <c r="AA169" s="28">
        <f t="shared" si="58"/>
        <v>0</v>
      </c>
      <c r="AB169" s="28">
        <f t="shared" si="58"/>
        <v>0</v>
      </c>
      <c r="AC169" s="28">
        <f t="shared" si="58"/>
        <v>0</v>
      </c>
      <c r="AD169" s="28">
        <f t="shared" si="58"/>
        <v>0</v>
      </c>
      <c r="AE169" s="28">
        <f t="shared" si="58"/>
        <v>0</v>
      </c>
      <c r="AF169" s="28">
        <f t="shared" si="58"/>
        <v>0</v>
      </c>
      <c r="AG169" s="28">
        <f t="shared" si="58"/>
        <v>0</v>
      </c>
      <c r="AH169" s="28">
        <f t="shared" si="50"/>
        <v>1</v>
      </c>
    </row>
    <row r="170" spans="1:34" ht="10.5" x14ac:dyDescent="0.15">
      <c r="A170" s="895" t="s">
        <v>534</v>
      </c>
      <c r="B170" s="895" t="s">
        <v>535</v>
      </c>
      <c r="C170" s="896"/>
      <c r="D170" s="896"/>
      <c r="E170" s="896"/>
      <c r="F170" s="896">
        <v>570039.75361581391</v>
      </c>
      <c r="G170" s="896"/>
      <c r="H170" s="896"/>
      <c r="I170" s="896"/>
      <c r="J170" s="896">
        <v>570039.75361581391</v>
      </c>
      <c r="K170" s="24">
        <f t="shared" si="49"/>
        <v>2020</v>
      </c>
      <c r="L170" s="66"/>
      <c r="M170" s="33">
        <f t="shared" ref="M170:M209" si="59">IF(ISNA(VLOOKUP(LEFT($A170,8),Estimates,72,FALSE)),0,VLOOKUP(LEFT($A170,8),Estimates,72,FALSE))</f>
        <v>383000.00000000029</v>
      </c>
      <c r="N170" s="28">
        <f t="shared" si="57"/>
        <v>0.69973890339425593</v>
      </c>
      <c r="O170" s="28">
        <f t="shared" si="57"/>
        <v>0</v>
      </c>
      <c r="P170" s="28">
        <f t="shared" si="57"/>
        <v>0</v>
      </c>
      <c r="Q170" s="28">
        <f t="shared" si="57"/>
        <v>0</v>
      </c>
      <c r="R170" s="28">
        <f t="shared" si="57"/>
        <v>0</v>
      </c>
      <c r="S170" s="28">
        <f t="shared" si="57"/>
        <v>0</v>
      </c>
      <c r="T170" s="28">
        <f t="shared" si="57"/>
        <v>0</v>
      </c>
      <c r="U170" s="28">
        <f t="shared" si="57"/>
        <v>0.30026109660574407</v>
      </c>
      <c r="V170" s="28">
        <f t="shared" si="57"/>
        <v>0</v>
      </c>
      <c r="W170" s="28">
        <f t="shared" si="57"/>
        <v>0</v>
      </c>
      <c r="X170" s="28">
        <f t="shared" si="58"/>
        <v>0</v>
      </c>
      <c r="Y170" s="28">
        <f t="shared" si="58"/>
        <v>0</v>
      </c>
      <c r="Z170" s="28">
        <f t="shared" si="58"/>
        <v>0</v>
      </c>
      <c r="AA170" s="28">
        <f t="shared" si="58"/>
        <v>0</v>
      </c>
      <c r="AB170" s="28">
        <f t="shared" si="58"/>
        <v>0</v>
      </c>
      <c r="AC170" s="28">
        <f t="shared" si="58"/>
        <v>0</v>
      </c>
      <c r="AD170" s="28">
        <f t="shared" si="58"/>
        <v>0</v>
      </c>
      <c r="AE170" s="28">
        <f t="shared" si="58"/>
        <v>0</v>
      </c>
      <c r="AF170" s="28">
        <f t="shared" si="58"/>
        <v>0</v>
      </c>
      <c r="AG170" s="28">
        <f t="shared" si="58"/>
        <v>0</v>
      </c>
      <c r="AH170" s="28">
        <f t="shared" si="50"/>
        <v>1</v>
      </c>
    </row>
    <row r="171" spans="1:34" ht="10.5" x14ac:dyDescent="0.15">
      <c r="A171" s="895" t="s">
        <v>536</v>
      </c>
      <c r="B171" s="895" t="s">
        <v>537</v>
      </c>
      <c r="C171" s="896"/>
      <c r="D171" s="896"/>
      <c r="E171" s="896"/>
      <c r="F171" s="896"/>
      <c r="G171" s="896">
        <v>586785.18716278439</v>
      </c>
      <c r="H171" s="896"/>
      <c r="I171" s="896"/>
      <c r="J171" s="896">
        <v>586785.18716278439</v>
      </c>
      <c r="K171" s="24">
        <f t="shared" si="49"/>
        <v>2021</v>
      </c>
      <c r="L171" s="66"/>
      <c r="M171" s="33">
        <f t="shared" si="59"/>
        <v>383000.00000000017</v>
      </c>
      <c r="N171" s="28">
        <f t="shared" si="57"/>
        <v>0.69973890339425582</v>
      </c>
      <c r="O171" s="28">
        <f t="shared" si="57"/>
        <v>0</v>
      </c>
      <c r="P171" s="28">
        <f t="shared" si="57"/>
        <v>0</v>
      </c>
      <c r="Q171" s="28">
        <f t="shared" si="57"/>
        <v>0</v>
      </c>
      <c r="R171" s="28">
        <f t="shared" si="57"/>
        <v>0</v>
      </c>
      <c r="S171" s="28">
        <f t="shared" si="57"/>
        <v>0</v>
      </c>
      <c r="T171" s="28">
        <f t="shared" si="57"/>
        <v>0</v>
      </c>
      <c r="U171" s="28">
        <f t="shared" si="57"/>
        <v>0.30026109660574413</v>
      </c>
      <c r="V171" s="28">
        <f t="shared" si="57"/>
        <v>0</v>
      </c>
      <c r="W171" s="28">
        <f t="shared" si="57"/>
        <v>0</v>
      </c>
      <c r="X171" s="28">
        <f t="shared" si="58"/>
        <v>0</v>
      </c>
      <c r="Y171" s="28">
        <f t="shared" si="58"/>
        <v>0</v>
      </c>
      <c r="Z171" s="28">
        <f t="shared" si="58"/>
        <v>0</v>
      </c>
      <c r="AA171" s="28">
        <f t="shared" si="58"/>
        <v>0</v>
      </c>
      <c r="AB171" s="28">
        <f t="shared" si="58"/>
        <v>0</v>
      </c>
      <c r="AC171" s="28">
        <f t="shared" si="58"/>
        <v>0</v>
      </c>
      <c r="AD171" s="28">
        <f t="shared" si="58"/>
        <v>0</v>
      </c>
      <c r="AE171" s="28">
        <f t="shared" si="58"/>
        <v>0</v>
      </c>
      <c r="AF171" s="28">
        <f t="shared" si="58"/>
        <v>0</v>
      </c>
      <c r="AG171" s="28">
        <f t="shared" si="58"/>
        <v>0</v>
      </c>
      <c r="AH171" s="28">
        <f t="shared" si="50"/>
        <v>1</v>
      </c>
    </row>
    <row r="172" spans="1:34" ht="10.5" x14ac:dyDescent="0.15">
      <c r="A172" s="895" t="s">
        <v>538</v>
      </c>
      <c r="B172" s="895" t="s">
        <v>539</v>
      </c>
      <c r="C172" s="896"/>
      <c r="D172" s="896"/>
      <c r="E172" s="896"/>
      <c r="F172" s="896"/>
      <c r="G172" s="896"/>
      <c r="H172" s="896">
        <v>598104.92691490368</v>
      </c>
      <c r="I172" s="896"/>
      <c r="J172" s="896">
        <v>598104.92691490368</v>
      </c>
      <c r="K172" s="24">
        <f t="shared" si="49"/>
        <v>2022</v>
      </c>
      <c r="L172" s="66"/>
      <c r="M172" s="33">
        <f t="shared" si="59"/>
        <v>383000.00000000058</v>
      </c>
      <c r="N172" s="28">
        <f t="shared" si="57"/>
        <v>0.69973890339425593</v>
      </c>
      <c r="O172" s="28">
        <f t="shared" si="57"/>
        <v>0</v>
      </c>
      <c r="P172" s="28">
        <f t="shared" si="57"/>
        <v>0</v>
      </c>
      <c r="Q172" s="28">
        <f t="shared" si="57"/>
        <v>0</v>
      </c>
      <c r="R172" s="28">
        <f t="shared" si="57"/>
        <v>0</v>
      </c>
      <c r="S172" s="28">
        <f t="shared" si="57"/>
        <v>0</v>
      </c>
      <c r="T172" s="28">
        <f t="shared" si="57"/>
        <v>0</v>
      </c>
      <c r="U172" s="28">
        <f t="shared" si="57"/>
        <v>0.30026109660574407</v>
      </c>
      <c r="V172" s="28">
        <f t="shared" si="57"/>
        <v>0</v>
      </c>
      <c r="W172" s="28">
        <f t="shared" si="57"/>
        <v>0</v>
      </c>
      <c r="X172" s="28">
        <f t="shared" si="58"/>
        <v>0</v>
      </c>
      <c r="Y172" s="28">
        <f t="shared" si="58"/>
        <v>0</v>
      </c>
      <c r="Z172" s="28">
        <f t="shared" si="58"/>
        <v>0</v>
      </c>
      <c r="AA172" s="28">
        <f t="shared" si="58"/>
        <v>0</v>
      </c>
      <c r="AB172" s="28">
        <f t="shared" si="58"/>
        <v>0</v>
      </c>
      <c r="AC172" s="28">
        <f t="shared" si="58"/>
        <v>0</v>
      </c>
      <c r="AD172" s="28">
        <f t="shared" si="58"/>
        <v>0</v>
      </c>
      <c r="AE172" s="28">
        <f t="shared" si="58"/>
        <v>0</v>
      </c>
      <c r="AF172" s="28">
        <f t="shared" si="58"/>
        <v>0</v>
      </c>
      <c r="AG172" s="28">
        <f t="shared" si="58"/>
        <v>0</v>
      </c>
      <c r="AH172" s="28">
        <f t="shared" si="50"/>
        <v>1</v>
      </c>
    </row>
    <row r="173" spans="1:34" ht="10.5" x14ac:dyDescent="0.15">
      <c r="A173" s="895" t="s">
        <v>541</v>
      </c>
      <c r="B173" s="895" t="s">
        <v>542</v>
      </c>
      <c r="C173" s="896"/>
      <c r="D173" s="896"/>
      <c r="E173" s="896"/>
      <c r="F173" s="896">
        <v>1441929.3336524027</v>
      </c>
      <c r="G173" s="896"/>
      <c r="H173" s="896"/>
      <c r="I173" s="896"/>
      <c r="J173" s="896">
        <v>1441929.3336524027</v>
      </c>
      <c r="K173" s="24">
        <f t="shared" si="49"/>
        <v>2020</v>
      </c>
      <c r="L173" s="66"/>
      <c r="M173" s="33">
        <f t="shared" si="59"/>
        <v>749999.96250000002</v>
      </c>
      <c r="N173" s="28">
        <f t="shared" si="57"/>
        <v>0</v>
      </c>
      <c r="O173" s="28">
        <f t="shared" si="57"/>
        <v>0.29999996499999831</v>
      </c>
      <c r="P173" s="28">
        <f t="shared" si="57"/>
        <v>0.60000003000000146</v>
      </c>
      <c r="Q173" s="28">
        <f t="shared" si="57"/>
        <v>0</v>
      </c>
      <c r="R173" s="28">
        <f t="shared" si="57"/>
        <v>0</v>
      </c>
      <c r="S173" s="28">
        <f t="shared" si="57"/>
        <v>0</v>
      </c>
      <c r="T173" s="28">
        <f t="shared" si="57"/>
        <v>0</v>
      </c>
      <c r="U173" s="28">
        <f t="shared" si="57"/>
        <v>0</v>
      </c>
      <c r="V173" s="28">
        <f t="shared" si="57"/>
        <v>0</v>
      </c>
      <c r="W173" s="28">
        <f t="shared" si="57"/>
        <v>0</v>
      </c>
      <c r="X173" s="28">
        <f t="shared" si="58"/>
        <v>0</v>
      </c>
      <c r="Y173" s="28">
        <f t="shared" si="58"/>
        <v>0</v>
      </c>
      <c r="Z173" s="28">
        <f t="shared" si="58"/>
        <v>0</v>
      </c>
      <c r="AA173" s="28">
        <f t="shared" si="58"/>
        <v>0</v>
      </c>
      <c r="AB173" s="28">
        <f t="shared" si="58"/>
        <v>0</v>
      </c>
      <c r="AC173" s="28">
        <f t="shared" si="58"/>
        <v>0.10000000500000025</v>
      </c>
      <c r="AD173" s="28">
        <f t="shared" si="58"/>
        <v>0</v>
      </c>
      <c r="AE173" s="28">
        <f t="shared" si="58"/>
        <v>0</v>
      </c>
      <c r="AF173" s="28">
        <f t="shared" si="58"/>
        <v>0</v>
      </c>
      <c r="AG173" s="28">
        <f t="shared" si="58"/>
        <v>0</v>
      </c>
      <c r="AH173" s="28">
        <f t="shared" si="50"/>
        <v>1</v>
      </c>
    </row>
    <row r="174" spans="1:34" ht="10.5" x14ac:dyDescent="0.15">
      <c r="A174" s="895" t="s">
        <v>543</v>
      </c>
      <c r="B174" s="895" t="s">
        <v>544</v>
      </c>
      <c r="C174" s="896"/>
      <c r="D174" s="896"/>
      <c r="E174" s="896"/>
      <c r="F174" s="896"/>
      <c r="G174" s="896"/>
      <c r="H174" s="896"/>
      <c r="I174" s="896">
        <v>134574.99865764257</v>
      </c>
      <c r="J174" s="896">
        <v>134574.99865764257</v>
      </c>
      <c r="K174" s="24">
        <f t="shared" si="49"/>
        <v>2023</v>
      </c>
      <c r="L174" s="66"/>
      <c r="M174" s="33">
        <f t="shared" si="59"/>
        <v>84000.000000000044</v>
      </c>
      <c r="N174" s="28">
        <f t="shared" si="57"/>
        <v>1</v>
      </c>
      <c r="O174" s="28">
        <f t="shared" si="57"/>
        <v>0</v>
      </c>
      <c r="P174" s="28">
        <f t="shared" si="57"/>
        <v>0</v>
      </c>
      <c r="Q174" s="28">
        <f t="shared" si="57"/>
        <v>0</v>
      </c>
      <c r="R174" s="28">
        <f t="shared" si="57"/>
        <v>0</v>
      </c>
      <c r="S174" s="28">
        <f t="shared" si="57"/>
        <v>0</v>
      </c>
      <c r="T174" s="28">
        <f t="shared" si="57"/>
        <v>0</v>
      </c>
      <c r="U174" s="28">
        <f t="shared" si="57"/>
        <v>0</v>
      </c>
      <c r="V174" s="28">
        <f t="shared" si="57"/>
        <v>0</v>
      </c>
      <c r="W174" s="28">
        <f t="shared" si="57"/>
        <v>0</v>
      </c>
      <c r="X174" s="28">
        <f t="shared" si="58"/>
        <v>0</v>
      </c>
      <c r="Y174" s="28">
        <f t="shared" si="58"/>
        <v>0</v>
      </c>
      <c r="Z174" s="28">
        <f t="shared" si="58"/>
        <v>0</v>
      </c>
      <c r="AA174" s="28">
        <f t="shared" si="58"/>
        <v>0</v>
      </c>
      <c r="AB174" s="28">
        <f t="shared" si="58"/>
        <v>0</v>
      </c>
      <c r="AC174" s="28">
        <f t="shared" si="58"/>
        <v>0</v>
      </c>
      <c r="AD174" s="28">
        <f t="shared" si="58"/>
        <v>0</v>
      </c>
      <c r="AE174" s="28">
        <f t="shared" si="58"/>
        <v>0</v>
      </c>
      <c r="AF174" s="28">
        <f t="shared" si="58"/>
        <v>0</v>
      </c>
      <c r="AG174" s="28">
        <f t="shared" si="58"/>
        <v>0</v>
      </c>
      <c r="AH174" s="28">
        <f t="shared" si="50"/>
        <v>1</v>
      </c>
    </row>
    <row r="175" spans="1:34" ht="10.5" x14ac:dyDescent="0.15">
      <c r="A175" s="895" t="s">
        <v>545</v>
      </c>
      <c r="B175" s="895" t="s">
        <v>546</v>
      </c>
      <c r="C175" s="896"/>
      <c r="D175" s="896">
        <v>887463.17836673756</v>
      </c>
      <c r="E175" s="896"/>
      <c r="F175" s="896"/>
      <c r="G175" s="896"/>
      <c r="H175" s="896"/>
      <c r="I175" s="896"/>
      <c r="J175" s="896">
        <v>887463.17836673756</v>
      </c>
      <c r="K175" s="24">
        <f t="shared" si="49"/>
        <v>2018</v>
      </c>
      <c r="L175" s="66"/>
      <c r="M175" s="33">
        <f t="shared" si="59"/>
        <v>379700.01500794443</v>
      </c>
      <c r="N175" s="28">
        <f t="shared" si="57"/>
        <v>0</v>
      </c>
      <c r="O175" s="28">
        <f t="shared" si="57"/>
        <v>0</v>
      </c>
      <c r="P175" s="28">
        <f t="shared" si="57"/>
        <v>7.9009741412236476E-2</v>
      </c>
      <c r="Q175" s="28">
        <f t="shared" si="57"/>
        <v>0</v>
      </c>
      <c r="R175" s="28">
        <f t="shared" si="57"/>
        <v>0</v>
      </c>
      <c r="S175" s="28">
        <f t="shared" si="57"/>
        <v>0</v>
      </c>
      <c r="T175" s="28">
        <f t="shared" si="57"/>
        <v>0</v>
      </c>
      <c r="U175" s="28">
        <f t="shared" si="57"/>
        <v>0</v>
      </c>
      <c r="V175" s="28">
        <f t="shared" si="57"/>
        <v>0</v>
      </c>
      <c r="W175" s="28">
        <f t="shared" si="57"/>
        <v>0</v>
      </c>
      <c r="X175" s="28">
        <f t="shared" si="58"/>
        <v>0</v>
      </c>
      <c r="Y175" s="28">
        <f t="shared" si="58"/>
        <v>0</v>
      </c>
      <c r="Z175" s="28">
        <f t="shared" si="58"/>
        <v>0</v>
      </c>
      <c r="AA175" s="28">
        <f t="shared" si="58"/>
        <v>0</v>
      </c>
      <c r="AB175" s="28">
        <f t="shared" si="58"/>
        <v>0.92099025858776351</v>
      </c>
      <c r="AC175" s="28">
        <f t="shared" si="58"/>
        <v>0</v>
      </c>
      <c r="AD175" s="28">
        <f t="shared" si="58"/>
        <v>0</v>
      </c>
      <c r="AE175" s="28">
        <f t="shared" si="58"/>
        <v>0</v>
      </c>
      <c r="AF175" s="28">
        <f t="shared" si="58"/>
        <v>0</v>
      </c>
      <c r="AG175" s="28">
        <f t="shared" si="58"/>
        <v>0</v>
      </c>
      <c r="AH175" s="28">
        <f t="shared" si="50"/>
        <v>1</v>
      </c>
    </row>
    <row r="176" spans="1:34" ht="10.5" x14ac:dyDescent="0.15">
      <c r="A176" s="895" t="s">
        <v>547</v>
      </c>
      <c r="B176" s="895" t="s">
        <v>548</v>
      </c>
      <c r="C176" s="896"/>
      <c r="D176" s="896"/>
      <c r="E176" s="896"/>
      <c r="F176" s="896"/>
      <c r="G176" s="896"/>
      <c r="H176" s="896"/>
      <c r="I176" s="896">
        <v>2059426.4372597237</v>
      </c>
      <c r="J176" s="896">
        <v>2059426.4372597237</v>
      </c>
      <c r="K176" s="24">
        <f t="shared" si="49"/>
        <v>2023</v>
      </c>
      <c r="L176" s="66"/>
      <c r="M176" s="33">
        <f t="shared" si="59"/>
        <v>1086032.6174999999</v>
      </c>
      <c r="N176" s="28">
        <f t="shared" si="57"/>
        <v>0</v>
      </c>
      <c r="O176" s="28">
        <f t="shared" si="57"/>
        <v>2.7623472828153802E-2</v>
      </c>
      <c r="P176" s="28">
        <f t="shared" si="57"/>
        <v>0.97237652717184631</v>
      </c>
      <c r="Q176" s="28">
        <f t="shared" si="57"/>
        <v>0</v>
      </c>
      <c r="R176" s="28">
        <f t="shared" si="57"/>
        <v>0</v>
      </c>
      <c r="S176" s="28">
        <f t="shared" si="57"/>
        <v>0</v>
      </c>
      <c r="T176" s="28">
        <f t="shared" si="57"/>
        <v>0</v>
      </c>
      <c r="U176" s="28">
        <f t="shared" si="57"/>
        <v>0</v>
      </c>
      <c r="V176" s="28">
        <f t="shared" si="57"/>
        <v>0</v>
      </c>
      <c r="W176" s="28">
        <f t="shared" si="57"/>
        <v>0</v>
      </c>
      <c r="X176" s="28">
        <f t="shared" si="58"/>
        <v>0</v>
      </c>
      <c r="Y176" s="28">
        <f t="shared" si="58"/>
        <v>0</v>
      </c>
      <c r="Z176" s="28">
        <f t="shared" si="58"/>
        <v>0</v>
      </c>
      <c r="AA176" s="28">
        <f t="shared" si="58"/>
        <v>0</v>
      </c>
      <c r="AB176" s="28">
        <f t="shared" si="58"/>
        <v>0</v>
      </c>
      <c r="AC176" s="28">
        <f t="shared" si="58"/>
        <v>0</v>
      </c>
      <c r="AD176" s="28">
        <f t="shared" si="58"/>
        <v>0</v>
      </c>
      <c r="AE176" s="28">
        <f t="shared" si="58"/>
        <v>0</v>
      </c>
      <c r="AF176" s="28">
        <f t="shared" si="58"/>
        <v>0</v>
      </c>
      <c r="AG176" s="28">
        <f t="shared" si="58"/>
        <v>0</v>
      </c>
      <c r="AH176" s="28">
        <f t="shared" si="50"/>
        <v>1</v>
      </c>
    </row>
    <row r="177" spans="1:34" ht="10.5" x14ac:dyDescent="0.15">
      <c r="A177" s="895" t="s">
        <v>549</v>
      </c>
      <c r="B177" s="895" t="s">
        <v>224</v>
      </c>
      <c r="C177" s="896"/>
      <c r="D177" s="896"/>
      <c r="E177" s="896"/>
      <c r="F177" s="896"/>
      <c r="G177" s="896">
        <v>3727388.619736582</v>
      </c>
      <c r="H177" s="896"/>
      <c r="I177" s="896"/>
      <c r="J177" s="896">
        <v>3727388.619736582</v>
      </c>
      <c r="K177" s="24">
        <f t="shared" si="49"/>
        <v>2021</v>
      </c>
      <c r="L177" s="66"/>
      <c r="M177" s="33">
        <f t="shared" si="59"/>
        <v>1785000.0000000007</v>
      </c>
      <c r="N177" s="28">
        <f t="shared" si="57"/>
        <v>0</v>
      </c>
      <c r="O177" s="28">
        <f t="shared" si="57"/>
        <v>0</v>
      </c>
      <c r="P177" s="28">
        <f t="shared" si="57"/>
        <v>0</v>
      </c>
      <c r="Q177" s="28">
        <f t="shared" si="57"/>
        <v>0</v>
      </c>
      <c r="R177" s="28">
        <f t="shared" si="57"/>
        <v>0</v>
      </c>
      <c r="S177" s="28">
        <f t="shared" si="57"/>
        <v>0</v>
      </c>
      <c r="T177" s="28">
        <f t="shared" si="57"/>
        <v>0</v>
      </c>
      <c r="U177" s="28">
        <f t="shared" si="57"/>
        <v>0</v>
      </c>
      <c r="V177" s="28">
        <f t="shared" si="57"/>
        <v>0</v>
      </c>
      <c r="W177" s="28">
        <f t="shared" si="57"/>
        <v>0</v>
      </c>
      <c r="X177" s="28">
        <f t="shared" si="58"/>
        <v>0</v>
      </c>
      <c r="Y177" s="28">
        <f t="shared" si="58"/>
        <v>0</v>
      </c>
      <c r="Z177" s="28">
        <f t="shared" si="58"/>
        <v>0</v>
      </c>
      <c r="AA177" s="28">
        <f t="shared" si="58"/>
        <v>0</v>
      </c>
      <c r="AB177" s="28">
        <f t="shared" si="58"/>
        <v>1</v>
      </c>
      <c r="AC177" s="28">
        <f t="shared" si="58"/>
        <v>0</v>
      </c>
      <c r="AD177" s="28">
        <f t="shared" si="58"/>
        <v>0</v>
      </c>
      <c r="AE177" s="28">
        <f t="shared" si="58"/>
        <v>0</v>
      </c>
      <c r="AF177" s="28">
        <f t="shared" si="58"/>
        <v>0</v>
      </c>
      <c r="AG177" s="28">
        <f t="shared" si="58"/>
        <v>0</v>
      </c>
      <c r="AH177" s="28">
        <f t="shared" si="50"/>
        <v>1</v>
      </c>
    </row>
    <row r="178" spans="1:34" ht="10.5" x14ac:dyDescent="0.15">
      <c r="A178" s="895" t="s">
        <v>550</v>
      </c>
      <c r="B178" s="895" t="s">
        <v>551</v>
      </c>
      <c r="C178" s="896"/>
      <c r="D178" s="896"/>
      <c r="E178" s="896"/>
      <c r="F178" s="896">
        <v>7246092.7695263159</v>
      </c>
      <c r="G178" s="896"/>
      <c r="H178" s="896"/>
      <c r="I178" s="896"/>
      <c r="J178" s="896">
        <v>7246092.7695263159</v>
      </c>
      <c r="K178" s="24">
        <f t="shared" si="49"/>
        <v>2020</v>
      </c>
      <c r="L178" s="66"/>
      <c r="M178" s="33">
        <f t="shared" si="59"/>
        <v>3888801.5634900387</v>
      </c>
      <c r="N178" s="28">
        <f t="shared" si="57"/>
        <v>0</v>
      </c>
      <c r="O178" s="28">
        <f t="shared" si="57"/>
        <v>0</v>
      </c>
      <c r="P178" s="28">
        <f t="shared" si="57"/>
        <v>0</v>
      </c>
      <c r="Q178" s="28">
        <f t="shared" si="57"/>
        <v>0</v>
      </c>
      <c r="R178" s="28">
        <f t="shared" si="57"/>
        <v>0</v>
      </c>
      <c r="S178" s="28">
        <f t="shared" si="57"/>
        <v>1.5428917886504976E-2</v>
      </c>
      <c r="T178" s="28">
        <f t="shared" si="57"/>
        <v>0</v>
      </c>
      <c r="U178" s="28">
        <f t="shared" si="57"/>
        <v>0</v>
      </c>
      <c r="V178" s="28">
        <f t="shared" si="57"/>
        <v>0</v>
      </c>
      <c r="W178" s="28">
        <f t="shared" si="57"/>
        <v>0.40789629806647021</v>
      </c>
      <c r="X178" s="28">
        <f t="shared" si="58"/>
        <v>0</v>
      </c>
      <c r="Y178" s="28">
        <f t="shared" si="58"/>
        <v>0.39913936504313302</v>
      </c>
      <c r="Z178" s="28">
        <f t="shared" si="58"/>
        <v>3.08578357702456E-2</v>
      </c>
      <c r="AA178" s="28">
        <f t="shared" si="58"/>
        <v>0</v>
      </c>
      <c r="AB178" s="28">
        <f t="shared" si="58"/>
        <v>0.13382015166155883</v>
      </c>
      <c r="AC178" s="28">
        <f t="shared" si="58"/>
        <v>1.2857431572087477E-2</v>
      </c>
      <c r="AD178" s="28">
        <f t="shared" si="58"/>
        <v>0</v>
      </c>
      <c r="AE178" s="28">
        <f t="shared" si="58"/>
        <v>0</v>
      </c>
      <c r="AF178" s="28">
        <f t="shared" si="58"/>
        <v>0</v>
      </c>
      <c r="AG178" s="28">
        <f t="shared" si="58"/>
        <v>0</v>
      </c>
      <c r="AH178" s="28">
        <f t="shared" si="50"/>
        <v>1</v>
      </c>
    </row>
    <row r="179" spans="1:34" ht="10.5" x14ac:dyDescent="0.15">
      <c r="A179" s="895" t="s">
        <v>554</v>
      </c>
      <c r="B179" s="895" t="s">
        <v>555</v>
      </c>
      <c r="C179" s="896"/>
      <c r="D179" s="896"/>
      <c r="E179" s="896"/>
      <c r="F179" s="896"/>
      <c r="G179" s="896"/>
      <c r="H179" s="896"/>
      <c r="I179" s="896">
        <v>966671.91523736564</v>
      </c>
      <c r="J179" s="896">
        <v>966671.91523736564</v>
      </c>
      <c r="K179" s="24">
        <f t="shared" si="49"/>
        <v>2023</v>
      </c>
      <c r="L179" s="66"/>
      <c r="M179" s="33">
        <f t="shared" si="59"/>
        <v>135493.10353250001</v>
      </c>
      <c r="N179" s="28">
        <f t="shared" ref="N179:W188" si="60">IF($M179=0,VLOOKUP(MID($A179,4,5),ProjectSplits,N$2,FALSE),IF(ISNA(VLOOKUP(LEFT($A179,8),Estimates,N$1,FALSE)),VLOOKUP(MID($A179,4,5),ProjectSplits,N$2,FALSE),VLOOKUP(LEFT($A179,8),Estimates,N$1,FALSE)))</f>
        <v>0</v>
      </c>
      <c r="O179" s="28">
        <f t="shared" si="60"/>
        <v>0</v>
      </c>
      <c r="P179" s="28">
        <f t="shared" si="60"/>
        <v>0</v>
      </c>
      <c r="Q179" s="28">
        <f t="shared" si="60"/>
        <v>0</v>
      </c>
      <c r="R179" s="28">
        <f t="shared" si="60"/>
        <v>0</v>
      </c>
      <c r="S179" s="28">
        <f t="shared" si="60"/>
        <v>0</v>
      </c>
      <c r="T179" s="28">
        <f t="shared" si="60"/>
        <v>0</v>
      </c>
      <c r="U179" s="28">
        <f t="shared" si="60"/>
        <v>0</v>
      </c>
      <c r="V179" s="28">
        <f t="shared" si="60"/>
        <v>0</v>
      </c>
      <c r="W179" s="28">
        <f t="shared" si="60"/>
        <v>0.66377548122534002</v>
      </c>
      <c r="X179" s="28">
        <f t="shared" ref="X179:AG188" si="61">IF($M179=0,VLOOKUP(MID($A179,4,5),ProjectSplits,X$2,FALSE),IF(ISNA(VLOOKUP(LEFT($A179,8),Estimates,X$1,FALSE)),VLOOKUP(MID($A179,4,5),ProjectSplits,X$2,FALSE),VLOOKUP(LEFT($A179,8),Estimates,X$1,FALSE)))</f>
        <v>0</v>
      </c>
      <c r="Y179" s="28">
        <f t="shared" si="61"/>
        <v>0.14391876406700388</v>
      </c>
      <c r="Z179" s="28">
        <f t="shared" si="61"/>
        <v>0</v>
      </c>
      <c r="AA179" s="28">
        <f t="shared" si="61"/>
        <v>0</v>
      </c>
      <c r="AB179" s="28">
        <f t="shared" si="61"/>
        <v>5.84531595595216E-2</v>
      </c>
      <c r="AC179" s="28">
        <f t="shared" si="61"/>
        <v>0.13385259514813455</v>
      </c>
      <c r="AD179" s="28">
        <f t="shared" si="61"/>
        <v>0</v>
      </c>
      <c r="AE179" s="28">
        <f t="shared" si="61"/>
        <v>0</v>
      </c>
      <c r="AF179" s="28">
        <f t="shared" si="61"/>
        <v>0</v>
      </c>
      <c r="AG179" s="28">
        <f t="shared" si="61"/>
        <v>0</v>
      </c>
      <c r="AH179" s="28">
        <f t="shared" si="50"/>
        <v>1</v>
      </c>
    </row>
    <row r="180" spans="1:34" ht="10.5" x14ac:dyDescent="0.15">
      <c r="A180" s="895" t="s">
        <v>556</v>
      </c>
      <c r="B180" s="895" t="s">
        <v>557</v>
      </c>
      <c r="C180" s="896"/>
      <c r="D180" s="896"/>
      <c r="E180" s="896"/>
      <c r="F180" s="896"/>
      <c r="G180" s="896"/>
      <c r="H180" s="896">
        <v>1369278.604423037</v>
      </c>
      <c r="I180" s="896"/>
      <c r="J180" s="896">
        <v>1369278.604423037</v>
      </c>
      <c r="K180" s="24">
        <f t="shared" si="49"/>
        <v>2022</v>
      </c>
      <c r="L180" s="66"/>
      <c r="M180" s="33">
        <f t="shared" si="59"/>
        <v>629369.3399999988</v>
      </c>
      <c r="N180" s="28">
        <f t="shared" si="60"/>
        <v>0</v>
      </c>
      <c r="O180" s="28">
        <f t="shared" si="60"/>
        <v>0</v>
      </c>
      <c r="P180" s="28">
        <f t="shared" si="60"/>
        <v>0</v>
      </c>
      <c r="Q180" s="28">
        <f t="shared" si="60"/>
        <v>0</v>
      </c>
      <c r="R180" s="28">
        <f t="shared" si="60"/>
        <v>0</v>
      </c>
      <c r="S180" s="28">
        <f t="shared" si="60"/>
        <v>0</v>
      </c>
      <c r="T180" s="28">
        <f t="shared" si="60"/>
        <v>0</v>
      </c>
      <c r="U180" s="28">
        <f t="shared" si="60"/>
        <v>0</v>
      </c>
      <c r="V180" s="28">
        <f t="shared" si="60"/>
        <v>0</v>
      </c>
      <c r="W180" s="28">
        <f t="shared" si="60"/>
        <v>0</v>
      </c>
      <c r="X180" s="28">
        <f t="shared" si="61"/>
        <v>0.61092902936771587</v>
      </c>
      <c r="Y180" s="28">
        <f t="shared" si="61"/>
        <v>4.934701776225707E-2</v>
      </c>
      <c r="Z180" s="28">
        <f t="shared" si="61"/>
        <v>0</v>
      </c>
      <c r="AA180" s="28">
        <f t="shared" si="61"/>
        <v>0</v>
      </c>
      <c r="AB180" s="28">
        <f t="shared" si="61"/>
        <v>0.3397239528700271</v>
      </c>
      <c r="AC180" s="28">
        <f t="shared" si="61"/>
        <v>0</v>
      </c>
      <c r="AD180" s="28">
        <f t="shared" si="61"/>
        <v>0</v>
      </c>
      <c r="AE180" s="28">
        <f t="shared" si="61"/>
        <v>0</v>
      </c>
      <c r="AF180" s="28">
        <f t="shared" si="61"/>
        <v>0</v>
      </c>
      <c r="AG180" s="28">
        <f t="shared" si="61"/>
        <v>0</v>
      </c>
      <c r="AH180" s="28">
        <f t="shared" si="50"/>
        <v>1</v>
      </c>
    </row>
    <row r="181" spans="1:34" ht="10.5" x14ac:dyDescent="0.15">
      <c r="A181" s="895" t="s">
        <v>558</v>
      </c>
      <c r="B181" s="901" t="s">
        <v>559</v>
      </c>
      <c r="C181" s="896"/>
      <c r="D181" s="896"/>
      <c r="E181" s="896"/>
      <c r="F181" s="896"/>
      <c r="G181" s="896"/>
      <c r="H181" s="896"/>
      <c r="I181" s="896">
        <v>9970192.9418136459</v>
      </c>
      <c r="J181" s="896">
        <v>9970192.9418136459</v>
      </c>
      <c r="K181" s="24">
        <f t="shared" si="49"/>
        <v>2023</v>
      </c>
      <c r="L181" s="66"/>
      <c r="M181" s="33">
        <f t="shared" si="59"/>
        <v>2994494.56300034</v>
      </c>
      <c r="N181" s="28">
        <f t="shared" si="60"/>
        <v>0</v>
      </c>
      <c r="O181" s="28">
        <f t="shared" si="60"/>
        <v>0</v>
      </c>
      <c r="P181" s="28">
        <f t="shared" si="60"/>
        <v>0</v>
      </c>
      <c r="Q181" s="28">
        <f t="shared" si="60"/>
        <v>0</v>
      </c>
      <c r="R181" s="28">
        <f t="shared" si="60"/>
        <v>0</v>
      </c>
      <c r="S181" s="28">
        <f t="shared" si="60"/>
        <v>0</v>
      </c>
      <c r="T181" s="28">
        <f t="shared" si="60"/>
        <v>0</v>
      </c>
      <c r="U181" s="28">
        <f t="shared" si="60"/>
        <v>0</v>
      </c>
      <c r="V181" s="28">
        <f t="shared" si="60"/>
        <v>0</v>
      </c>
      <c r="W181" s="28">
        <f t="shared" si="60"/>
        <v>0</v>
      </c>
      <c r="X181" s="28">
        <f t="shared" si="61"/>
        <v>0</v>
      </c>
      <c r="Y181" s="28">
        <f t="shared" si="61"/>
        <v>0</v>
      </c>
      <c r="Z181" s="28">
        <f t="shared" si="61"/>
        <v>0</v>
      </c>
      <c r="AA181" s="28">
        <f t="shared" si="61"/>
        <v>0</v>
      </c>
      <c r="AB181" s="28">
        <f t="shared" si="61"/>
        <v>0</v>
      </c>
      <c r="AC181" s="28">
        <f t="shared" si="61"/>
        <v>0</v>
      </c>
      <c r="AD181" s="28">
        <f t="shared" si="61"/>
        <v>0</v>
      </c>
      <c r="AE181" s="28">
        <f t="shared" si="61"/>
        <v>0</v>
      </c>
      <c r="AF181" s="28">
        <f t="shared" si="61"/>
        <v>0</v>
      </c>
      <c r="AG181" s="28">
        <f t="shared" si="61"/>
        <v>1</v>
      </c>
      <c r="AH181" s="28">
        <f t="shared" si="50"/>
        <v>0</v>
      </c>
    </row>
    <row r="182" spans="1:34" ht="10.5" x14ac:dyDescent="0.15">
      <c r="A182" s="895" t="s">
        <v>560</v>
      </c>
      <c r="B182" s="895" t="s">
        <v>561</v>
      </c>
      <c r="C182" s="896"/>
      <c r="D182" s="896"/>
      <c r="E182" s="896"/>
      <c r="F182" s="896"/>
      <c r="G182" s="896"/>
      <c r="H182" s="896">
        <v>3021816.2875327324</v>
      </c>
      <c r="I182" s="896"/>
      <c r="J182" s="896">
        <v>3021816.2875327324</v>
      </c>
      <c r="K182" s="24">
        <f t="shared" si="49"/>
        <v>2022</v>
      </c>
      <c r="L182" s="66"/>
      <c r="M182" s="33">
        <f t="shared" si="59"/>
        <v>2145445.3497671089</v>
      </c>
      <c r="N182" s="28">
        <f t="shared" si="60"/>
        <v>0</v>
      </c>
      <c r="O182" s="28">
        <f t="shared" si="60"/>
        <v>0</v>
      </c>
      <c r="P182" s="28">
        <f t="shared" si="60"/>
        <v>0</v>
      </c>
      <c r="Q182" s="28">
        <f t="shared" si="60"/>
        <v>0</v>
      </c>
      <c r="R182" s="28">
        <f t="shared" si="60"/>
        <v>0</v>
      </c>
      <c r="S182" s="28">
        <f t="shared" si="60"/>
        <v>0</v>
      </c>
      <c r="T182" s="28">
        <f t="shared" si="60"/>
        <v>0</v>
      </c>
      <c r="U182" s="28">
        <f t="shared" si="60"/>
        <v>0</v>
      </c>
      <c r="V182" s="28">
        <f t="shared" si="60"/>
        <v>0</v>
      </c>
      <c r="W182" s="28">
        <f t="shared" si="60"/>
        <v>0.91754625676654367</v>
      </c>
      <c r="X182" s="28">
        <f t="shared" si="61"/>
        <v>0</v>
      </c>
      <c r="Y182" s="28">
        <f t="shared" si="61"/>
        <v>6.3809595525689169E-2</v>
      </c>
      <c r="Z182" s="28">
        <f t="shared" si="61"/>
        <v>0</v>
      </c>
      <c r="AA182" s="28">
        <f t="shared" si="61"/>
        <v>0</v>
      </c>
      <c r="AB182" s="28">
        <f t="shared" si="61"/>
        <v>1.3983110780825307E-2</v>
      </c>
      <c r="AC182" s="28">
        <f t="shared" si="61"/>
        <v>0</v>
      </c>
      <c r="AD182" s="28">
        <f t="shared" si="61"/>
        <v>4.6610369269417693E-3</v>
      </c>
      <c r="AE182" s="28">
        <f t="shared" si="61"/>
        <v>0</v>
      </c>
      <c r="AF182" s="28">
        <f t="shared" si="61"/>
        <v>0</v>
      </c>
      <c r="AG182" s="28">
        <f t="shared" si="61"/>
        <v>0</v>
      </c>
      <c r="AH182" s="28">
        <f t="shared" si="50"/>
        <v>0.99999999999999989</v>
      </c>
    </row>
    <row r="183" spans="1:34" ht="10.5" x14ac:dyDescent="0.15">
      <c r="A183" s="895" t="s">
        <v>563</v>
      </c>
      <c r="B183" s="895" t="s">
        <v>564</v>
      </c>
      <c r="C183" s="896"/>
      <c r="D183" s="896"/>
      <c r="E183" s="896"/>
      <c r="F183" s="896"/>
      <c r="G183" s="896"/>
      <c r="H183" s="896">
        <v>1504451.2962507827</v>
      </c>
      <c r="I183" s="896"/>
      <c r="J183" s="896">
        <v>1504451.2962507827</v>
      </c>
      <c r="K183" s="24">
        <f t="shared" si="49"/>
        <v>2022</v>
      </c>
      <c r="L183" s="66"/>
      <c r="M183" s="33">
        <f t="shared" si="59"/>
        <v>1027459.5999990082</v>
      </c>
      <c r="N183" s="28">
        <f t="shared" si="60"/>
        <v>0</v>
      </c>
      <c r="O183" s="28">
        <f t="shared" si="60"/>
        <v>0</v>
      </c>
      <c r="P183" s="28">
        <f t="shared" si="60"/>
        <v>0</v>
      </c>
      <c r="Q183" s="28">
        <f t="shared" si="60"/>
        <v>0</v>
      </c>
      <c r="R183" s="28">
        <f t="shared" si="60"/>
        <v>0</v>
      </c>
      <c r="S183" s="28">
        <f t="shared" si="60"/>
        <v>0</v>
      </c>
      <c r="T183" s="28">
        <f t="shared" si="60"/>
        <v>0</v>
      </c>
      <c r="U183" s="28">
        <f t="shared" si="60"/>
        <v>0</v>
      </c>
      <c r="V183" s="28">
        <f t="shared" si="60"/>
        <v>0</v>
      </c>
      <c r="W183" s="28">
        <f t="shared" si="60"/>
        <v>0</v>
      </c>
      <c r="X183" s="28">
        <f t="shared" si="61"/>
        <v>0.9508983126936974</v>
      </c>
      <c r="Y183" s="28">
        <f t="shared" si="61"/>
        <v>1.0706017054121249E-2</v>
      </c>
      <c r="Z183" s="28">
        <f t="shared" si="61"/>
        <v>3.839567025218122E-2</v>
      </c>
      <c r="AA183" s="28">
        <f t="shared" si="61"/>
        <v>0</v>
      </c>
      <c r="AB183" s="28">
        <f t="shared" si="61"/>
        <v>0</v>
      </c>
      <c r="AC183" s="28">
        <f t="shared" si="61"/>
        <v>0</v>
      </c>
      <c r="AD183" s="28">
        <f t="shared" si="61"/>
        <v>0</v>
      </c>
      <c r="AE183" s="28">
        <f t="shared" si="61"/>
        <v>0</v>
      </c>
      <c r="AF183" s="28">
        <f t="shared" si="61"/>
        <v>0</v>
      </c>
      <c r="AG183" s="28">
        <f t="shared" si="61"/>
        <v>0</v>
      </c>
      <c r="AH183" s="28">
        <f t="shared" si="50"/>
        <v>0.99999999999999989</v>
      </c>
    </row>
    <row r="184" spans="1:34" ht="10.5" x14ac:dyDescent="0.15">
      <c r="A184" s="895" t="s">
        <v>565</v>
      </c>
      <c r="B184" s="895" t="s">
        <v>566</v>
      </c>
      <c r="C184" s="896"/>
      <c r="D184" s="896"/>
      <c r="E184" s="896"/>
      <c r="F184" s="896"/>
      <c r="G184" s="896">
        <v>4398707.3607735345</v>
      </c>
      <c r="H184" s="896"/>
      <c r="I184" s="896"/>
      <c r="J184" s="896">
        <v>4398707.3607735345</v>
      </c>
      <c r="K184" s="24">
        <f t="shared" si="49"/>
        <v>2021</v>
      </c>
      <c r="L184" s="66"/>
      <c r="M184" s="33">
        <f t="shared" si="59"/>
        <v>2152747.9141771351</v>
      </c>
      <c r="N184" s="28">
        <f t="shared" si="60"/>
        <v>0</v>
      </c>
      <c r="O184" s="28">
        <f t="shared" si="60"/>
        <v>0</v>
      </c>
      <c r="P184" s="28">
        <f t="shared" si="60"/>
        <v>0</v>
      </c>
      <c r="Q184" s="28">
        <f t="shared" si="60"/>
        <v>0</v>
      </c>
      <c r="R184" s="28">
        <f t="shared" si="60"/>
        <v>0</v>
      </c>
      <c r="S184" s="28">
        <f t="shared" si="60"/>
        <v>9.8711046751252304E-3</v>
      </c>
      <c r="T184" s="28">
        <f t="shared" si="60"/>
        <v>0</v>
      </c>
      <c r="U184" s="28">
        <f t="shared" si="60"/>
        <v>0</v>
      </c>
      <c r="V184" s="28">
        <f t="shared" si="60"/>
        <v>0</v>
      </c>
      <c r="W184" s="28">
        <f t="shared" si="60"/>
        <v>0</v>
      </c>
      <c r="X184" s="28">
        <f t="shared" si="61"/>
        <v>0</v>
      </c>
      <c r="Y184" s="28">
        <f t="shared" si="61"/>
        <v>0.2708504374340589</v>
      </c>
      <c r="Z184" s="28">
        <f t="shared" si="61"/>
        <v>0.7192784578908159</v>
      </c>
      <c r="AA184" s="28">
        <f t="shared" si="61"/>
        <v>0</v>
      </c>
      <c r="AB184" s="28">
        <f t="shared" si="61"/>
        <v>0</v>
      </c>
      <c r="AC184" s="28">
        <f t="shared" si="61"/>
        <v>0</v>
      </c>
      <c r="AD184" s="28">
        <f t="shared" si="61"/>
        <v>0</v>
      </c>
      <c r="AE184" s="28">
        <f t="shared" si="61"/>
        <v>0</v>
      </c>
      <c r="AF184" s="28">
        <f t="shared" si="61"/>
        <v>0</v>
      </c>
      <c r="AG184" s="28">
        <f t="shared" si="61"/>
        <v>0</v>
      </c>
      <c r="AH184" s="28">
        <f t="shared" si="50"/>
        <v>1</v>
      </c>
    </row>
    <row r="185" spans="1:34" ht="10.5" x14ac:dyDescent="0.15">
      <c r="A185" s="895" t="s">
        <v>567</v>
      </c>
      <c r="B185" s="895" t="s">
        <v>568</v>
      </c>
      <c r="C185" s="896"/>
      <c r="D185" s="896"/>
      <c r="E185" s="896">
        <v>2974817.2989782053</v>
      </c>
      <c r="F185" s="896"/>
      <c r="G185" s="896"/>
      <c r="H185" s="896"/>
      <c r="I185" s="896"/>
      <c r="J185" s="896">
        <v>2974817.2989782053</v>
      </c>
      <c r="K185" s="24">
        <f t="shared" si="49"/>
        <v>2019</v>
      </c>
      <c r="L185" s="66"/>
      <c r="M185" s="33">
        <f t="shared" si="59"/>
        <v>0</v>
      </c>
      <c r="N185" s="28">
        <f t="shared" si="60"/>
        <v>0</v>
      </c>
      <c r="O185" s="28">
        <f t="shared" si="60"/>
        <v>0</v>
      </c>
      <c r="P185" s="28">
        <f t="shared" si="60"/>
        <v>0</v>
      </c>
      <c r="Q185" s="28">
        <f t="shared" si="60"/>
        <v>0</v>
      </c>
      <c r="R185" s="28">
        <f t="shared" si="60"/>
        <v>0</v>
      </c>
      <c r="S185" s="28">
        <f t="shared" si="60"/>
        <v>0</v>
      </c>
      <c r="T185" s="28">
        <f t="shared" si="60"/>
        <v>0</v>
      </c>
      <c r="U185" s="28">
        <f t="shared" si="60"/>
        <v>0</v>
      </c>
      <c r="V185" s="28">
        <f t="shared" si="60"/>
        <v>0</v>
      </c>
      <c r="W185" s="28">
        <f t="shared" si="60"/>
        <v>0</v>
      </c>
      <c r="X185" s="28">
        <f t="shared" si="61"/>
        <v>0</v>
      </c>
      <c r="Y185" s="28">
        <f t="shared" si="61"/>
        <v>0</v>
      </c>
      <c r="Z185" s="28">
        <f t="shared" si="61"/>
        <v>0</v>
      </c>
      <c r="AA185" s="28">
        <f t="shared" si="61"/>
        <v>0</v>
      </c>
      <c r="AB185" s="28">
        <f t="shared" si="61"/>
        <v>0</v>
      </c>
      <c r="AC185" s="28">
        <f t="shared" si="61"/>
        <v>0</v>
      </c>
      <c r="AD185" s="28">
        <f t="shared" si="61"/>
        <v>0</v>
      </c>
      <c r="AE185" s="28">
        <f t="shared" si="61"/>
        <v>0</v>
      </c>
      <c r="AF185" s="28">
        <f t="shared" si="61"/>
        <v>0</v>
      </c>
      <c r="AG185" s="28">
        <f t="shared" si="61"/>
        <v>1</v>
      </c>
      <c r="AH185" s="28">
        <f t="shared" si="50"/>
        <v>0</v>
      </c>
    </row>
    <row r="186" spans="1:34" ht="10.5" x14ac:dyDescent="0.15">
      <c r="A186" s="904" t="s">
        <v>2750</v>
      </c>
      <c r="B186" s="904" t="s">
        <v>568</v>
      </c>
      <c r="C186" s="902"/>
      <c r="D186" s="902"/>
      <c r="E186" s="902"/>
      <c r="F186" s="902">
        <v>10525019.867078457</v>
      </c>
      <c r="G186" s="902"/>
      <c r="H186" s="902"/>
      <c r="I186" s="902"/>
      <c r="J186" s="902">
        <v>10525019.867078457</v>
      </c>
      <c r="K186" s="24">
        <f t="shared" si="49"/>
        <v>2020</v>
      </c>
      <c r="L186" s="66"/>
      <c r="M186" s="33">
        <f t="shared" si="59"/>
        <v>0</v>
      </c>
      <c r="N186" s="28">
        <f t="shared" si="60"/>
        <v>0</v>
      </c>
      <c r="O186" s="28">
        <f t="shared" si="60"/>
        <v>0</v>
      </c>
      <c r="P186" s="28">
        <f t="shared" si="60"/>
        <v>0</v>
      </c>
      <c r="Q186" s="28">
        <f t="shared" si="60"/>
        <v>0</v>
      </c>
      <c r="R186" s="28">
        <f t="shared" si="60"/>
        <v>0</v>
      </c>
      <c r="S186" s="28">
        <f t="shared" si="60"/>
        <v>0</v>
      </c>
      <c r="T186" s="28">
        <f t="shared" si="60"/>
        <v>0</v>
      </c>
      <c r="U186" s="28">
        <f t="shared" si="60"/>
        <v>0</v>
      </c>
      <c r="V186" s="28">
        <f t="shared" si="60"/>
        <v>0</v>
      </c>
      <c r="W186" s="28">
        <f t="shared" si="60"/>
        <v>0</v>
      </c>
      <c r="X186" s="28">
        <f t="shared" si="61"/>
        <v>0</v>
      </c>
      <c r="Y186" s="28">
        <f t="shared" si="61"/>
        <v>0</v>
      </c>
      <c r="Z186" s="28">
        <f t="shared" si="61"/>
        <v>0</v>
      </c>
      <c r="AA186" s="28">
        <f t="shared" si="61"/>
        <v>0</v>
      </c>
      <c r="AB186" s="28">
        <f t="shared" si="61"/>
        <v>0</v>
      </c>
      <c r="AC186" s="28">
        <f t="shared" si="61"/>
        <v>0</v>
      </c>
      <c r="AD186" s="28">
        <f t="shared" si="61"/>
        <v>0</v>
      </c>
      <c r="AE186" s="28">
        <f t="shared" si="61"/>
        <v>0</v>
      </c>
      <c r="AF186" s="28">
        <f t="shared" si="61"/>
        <v>0</v>
      </c>
      <c r="AG186" s="28">
        <f t="shared" si="61"/>
        <v>1</v>
      </c>
      <c r="AH186" s="28">
        <f t="shared" si="50"/>
        <v>0</v>
      </c>
    </row>
    <row r="187" spans="1:34" ht="10.5" x14ac:dyDescent="0.15">
      <c r="A187" s="904" t="s">
        <v>2751</v>
      </c>
      <c r="B187" s="904" t="s">
        <v>568</v>
      </c>
      <c r="C187" s="902"/>
      <c r="D187" s="902"/>
      <c r="E187" s="902"/>
      <c r="F187" s="902"/>
      <c r="G187" s="902">
        <v>13318528.816561328</v>
      </c>
      <c r="H187" s="902"/>
      <c r="I187" s="902"/>
      <c r="J187" s="902">
        <v>13318528.816561328</v>
      </c>
      <c r="K187" s="24">
        <f t="shared" si="49"/>
        <v>2021</v>
      </c>
      <c r="L187" s="66"/>
      <c r="M187" s="33">
        <f t="shared" si="59"/>
        <v>0</v>
      </c>
      <c r="N187" s="28">
        <f t="shared" si="60"/>
        <v>0</v>
      </c>
      <c r="O187" s="28">
        <f t="shared" si="60"/>
        <v>0</v>
      </c>
      <c r="P187" s="28">
        <f t="shared" si="60"/>
        <v>0</v>
      </c>
      <c r="Q187" s="28">
        <f t="shared" si="60"/>
        <v>0</v>
      </c>
      <c r="R187" s="28">
        <f t="shared" si="60"/>
        <v>0</v>
      </c>
      <c r="S187" s="28">
        <f t="shared" si="60"/>
        <v>0</v>
      </c>
      <c r="T187" s="28">
        <f t="shared" si="60"/>
        <v>0</v>
      </c>
      <c r="U187" s="28">
        <f t="shared" si="60"/>
        <v>0</v>
      </c>
      <c r="V187" s="28">
        <f t="shared" si="60"/>
        <v>0</v>
      </c>
      <c r="W187" s="28">
        <f t="shared" si="60"/>
        <v>0</v>
      </c>
      <c r="X187" s="28">
        <f t="shared" si="61"/>
        <v>0</v>
      </c>
      <c r="Y187" s="28">
        <f t="shared" si="61"/>
        <v>0</v>
      </c>
      <c r="Z187" s="28">
        <f t="shared" si="61"/>
        <v>0</v>
      </c>
      <c r="AA187" s="28">
        <f t="shared" si="61"/>
        <v>0</v>
      </c>
      <c r="AB187" s="28">
        <f t="shared" si="61"/>
        <v>0</v>
      </c>
      <c r="AC187" s="28">
        <f t="shared" si="61"/>
        <v>0</v>
      </c>
      <c r="AD187" s="28">
        <f t="shared" si="61"/>
        <v>0</v>
      </c>
      <c r="AE187" s="28">
        <f t="shared" si="61"/>
        <v>0</v>
      </c>
      <c r="AF187" s="28">
        <f t="shared" si="61"/>
        <v>0</v>
      </c>
      <c r="AG187" s="28">
        <f t="shared" si="61"/>
        <v>1</v>
      </c>
      <c r="AH187" s="28">
        <f t="shared" si="50"/>
        <v>0</v>
      </c>
    </row>
    <row r="188" spans="1:34" ht="10.5" x14ac:dyDescent="0.15">
      <c r="A188" s="904" t="s">
        <v>2752</v>
      </c>
      <c r="B188" s="904" t="s">
        <v>568</v>
      </c>
      <c r="C188" s="902"/>
      <c r="D188" s="902"/>
      <c r="E188" s="902"/>
      <c r="F188" s="902"/>
      <c r="G188" s="902"/>
      <c r="H188" s="902">
        <v>19389909.392382927</v>
      </c>
      <c r="I188" s="902"/>
      <c r="J188" s="902">
        <v>19389909.392382927</v>
      </c>
      <c r="K188" s="24">
        <f t="shared" si="49"/>
        <v>2022</v>
      </c>
      <c r="L188" s="66"/>
      <c r="M188" s="33">
        <f t="shared" si="59"/>
        <v>0</v>
      </c>
      <c r="N188" s="28">
        <f t="shared" si="60"/>
        <v>0</v>
      </c>
      <c r="O188" s="28">
        <f t="shared" si="60"/>
        <v>0</v>
      </c>
      <c r="P188" s="28">
        <f t="shared" si="60"/>
        <v>0</v>
      </c>
      <c r="Q188" s="28">
        <f t="shared" si="60"/>
        <v>0</v>
      </c>
      <c r="R188" s="28">
        <f t="shared" si="60"/>
        <v>0</v>
      </c>
      <c r="S188" s="28">
        <f t="shared" si="60"/>
        <v>0</v>
      </c>
      <c r="T188" s="28">
        <f t="shared" si="60"/>
        <v>0</v>
      </c>
      <c r="U188" s="28">
        <f t="shared" si="60"/>
        <v>0</v>
      </c>
      <c r="V188" s="28">
        <f t="shared" si="60"/>
        <v>0</v>
      </c>
      <c r="W188" s="28">
        <f t="shared" si="60"/>
        <v>0</v>
      </c>
      <c r="X188" s="28">
        <f t="shared" si="61"/>
        <v>0</v>
      </c>
      <c r="Y188" s="28">
        <f t="shared" si="61"/>
        <v>0</v>
      </c>
      <c r="Z188" s="28">
        <f t="shared" si="61"/>
        <v>0</v>
      </c>
      <c r="AA188" s="28">
        <f t="shared" si="61"/>
        <v>0</v>
      </c>
      <c r="AB188" s="28">
        <f t="shared" si="61"/>
        <v>0</v>
      </c>
      <c r="AC188" s="28">
        <f t="shared" si="61"/>
        <v>0</v>
      </c>
      <c r="AD188" s="28">
        <f t="shared" si="61"/>
        <v>0</v>
      </c>
      <c r="AE188" s="28">
        <f t="shared" si="61"/>
        <v>0</v>
      </c>
      <c r="AF188" s="28">
        <f t="shared" si="61"/>
        <v>0</v>
      </c>
      <c r="AG188" s="28">
        <f t="shared" si="61"/>
        <v>1</v>
      </c>
      <c r="AH188" s="28">
        <f t="shared" si="50"/>
        <v>0</v>
      </c>
    </row>
    <row r="189" spans="1:34" ht="10.5" x14ac:dyDescent="0.15">
      <c r="A189" s="904" t="s">
        <v>2754</v>
      </c>
      <c r="B189" s="904" t="s">
        <v>568</v>
      </c>
      <c r="C189" s="902"/>
      <c r="D189" s="902"/>
      <c r="E189" s="902"/>
      <c r="F189" s="902"/>
      <c r="G189" s="902"/>
      <c r="H189" s="902"/>
      <c r="I189" s="902">
        <v>18165415.935347654</v>
      </c>
      <c r="J189" s="902">
        <v>18165415.935347654</v>
      </c>
      <c r="K189" s="24">
        <f t="shared" si="49"/>
        <v>2023</v>
      </c>
      <c r="L189" s="66"/>
      <c r="M189" s="33">
        <f t="shared" si="59"/>
        <v>0</v>
      </c>
      <c r="N189" s="28">
        <f t="shared" ref="N189:W198" si="62">IF($M189=0,VLOOKUP(MID($A189,4,5),ProjectSplits,N$2,FALSE),IF(ISNA(VLOOKUP(LEFT($A189,8),Estimates,N$1,FALSE)),VLOOKUP(MID($A189,4,5),ProjectSplits,N$2,FALSE),VLOOKUP(LEFT($A189,8),Estimates,N$1,FALSE)))</f>
        <v>0</v>
      </c>
      <c r="O189" s="28">
        <f t="shared" si="62"/>
        <v>0</v>
      </c>
      <c r="P189" s="28">
        <f t="shared" si="62"/>
        <v>0</v>
      </c>
      <c r="Q189" s="28">
        <f t="shared" si="62"/>
        <v>0</v>
      </c>
      <c r="R189" s="28">
        <f t="shared" si="62"/>
        <v>0</v>
      </c>
      <c r="S189" s="28">
        <f t="shared" si="62"/>
        <v>0</v>
      </c>
      <c r="T189" s="28">
        <f t="shared" si="62"/>
        <v>0</v>
      </c>
      <c r="U189" s="28">
        <f t="shared" si="62"/>
        <v>0</v>
      </c>
      <c r="V189" s="28">
        <f t="shared" si="62"/>
        <v>0</v>
      </c>
      <c r="W189" s="28">
        <f t="shared" si="62"/>
        <v>0</v>
      </c>
      <c r="X189" s="28">
        <f t="shared" ref="X189:AG198" si="63">IF($M189=0,VLOOKUP(MID($A189,4,5),ProjectSplits,X$2,FALSE),IF(ISNA(VLOOKUP(LEFT($A189,8),Estimates,X$1,FALSE)),VLOOKUP(MID($A189,4,5),ProjectSplits,X$2,FALSE),VLOOKUP(LEFT($A189,8),Estimates,X$1,FALSE)))</f>
        <v>0</v>
      </c>
      <c r="Y189" s="28">
        <f t="shared" si="63"/>
        <v>0</v>
      </c>
      <c r="Z189" s="28">
        <f t="shared" si="63"/>
        <v>0</v>
      </c>
      <c r="AA189" s="28">
        <f t="shared" si="63"/>
        <v>0</v>
      </c>
      <c r="AB189" s="28">
        <f t="shared" si="63"/>
        <v>0</v>
      </c>
      <c r="AC189" s="28">
        <f t="shared" si="63"/>
        <v>0</v>
      </c>
      <c r="AD189" s="28">
        <f t="shared" si="63"/>
        <v>0</v>
      </c>
      <c r="AE189" s="28">
        <f t="shared" si="63"/>
        <v>0</v>
      </c>
      <c r="AF189" s="28">
        <f t="shared" si="63"/>
        <v>0</v>
      </c>
      <c r="AG189" s="28">
        <f t="shared" si="63"/>
        <v>1</v>
      </c>
      <c r="AH189" s="28">
        <f t="shared" si="50"/>
        <v>0</v>
      </c>
    </row>
    <row r="190" spans="1:34" ht="10.5" x14ac:dyDescent="0.15">
      <c r="A190" s="904" t="s">
        <v>569</v>
      </c>
      <c r="B190" s="904" t="s">
        <v>570</v>
      </c>
      <c r="C190" s="902"/>
      <c r="D190" s="902"/>
      <c r="E190" s="902"/>
      <c r="F190" s="902"/>
      <c r="G190" s="902">
        <v>9320959.322741786</v>
      </c>
      <c r="H190" s="902"/>
      <c r="I190" s="902"/>
      <c r="J190" s="902">
        <v>9320959.322741786</v>
      </c>
      <c r="K190" s="24">
        <f t="shared" si="49"/>
        <v>2021</v>
      </c>
      <c r="L190" s="66"/>
      <c r="M190" s="33">
        <f t="shared" si="59"/>
        <v>0</v>
      </c>
      <c r="N190" s="28">
        <f t="shared" si="62"/>
        <v>0</v>
      </c>
      <c r="O190" s="28">
        <f t="shared" si="62"/>
        <v>0</v>
      </c>
      <c r="P190" s="28">
        <f t="shared" si="62"/>
        <v>0</v>
      </c>
      <c r="Q190" s="28">
        <f t="shared" si="62"/>
        <v>0</v>
      </c>
      <c r="R190" s="28">
        <f t="shared" si="62"/>
        <v>0</v>
      </c>
      <c r="S190" s="28">
        <f t="shared" si="62"/>
        <v>0</v>
      </c>
      <c r="T190" s="28">
        <f t="shared" si="62"/>
        <v>0</v>
      </c>
      <c r="U190" s="28">
        <f t="shared" si="62"/>
        <v>0</v>
      </c>
      <c r="V190" s="28">
        <f t="shared" si="62"/>
        <v>0</v>
      </c>
      <c r="W190" s="28">
        <f t="shared" si="62"/>
        <v>0</v>
      </c>
      <c r="X190" s="28">
        <f t="shared" si="63"/>
        <v>0</v>
      </c>
      <c r="Y190" s="28">
        <f t="shared" si="63"/>
        <v>0</v>
      </c>
      <c r="Z190" s="28">
        <f t="shared" si="63"/>
        <v>0</v>
      </c>
      <c r="AA190" s="28">
        <f t="shared" si="63"/>
        <v>0</v>
      </c>
      <c r="AB190" s="28">
        <f t="shared" si="63"/>
        <v>0</v>
      </c>
      <c r="AC190" s="28">
        <f t="shared" si="63"/>
        <v>0</v>
      </c>
      <c r="AD190" s="28">
        <f t="shared" si="63"/>
        <v>0</v>
      </c>
      <c r="AE190" s="28">
        <f t="shared" si="63"/>
        <v>0</v>
      </c>
      <c r="AF190" s="28">
        <f t="shared" si="63"/>
        <v>0</v>
      </c>
      <c r="AG190" s="28">
        <f t="shared" si="63"/>
        <v>1</v>
      </c>
      <c r="AH190" s="28">
        <f t="shared" si="50"/>
        <v>0</v>
      </c>
    </row>
    <row r="191" spans="1:34" ht="10.5" x14ac:dyDescent="0.15">
      <c r="A191" s="904" t="s">
        <v>2753</v>
      </c>
      <c r="B191" s="904" t="s">
        <v>570</v>
      </c>
      <c r="C191" s="902"/>
      <c r="D191" s="902"/>
      <c r="E191" s="902"/>
      <c r="F191" s="902"/>
      <c r="G191" s="902"/>
      <c r="H191" s="902">
        <v>6378579.4032327496</v>
      </c>
      <c r="I191" s="902"/>
      <c r="J191" s="902">
        <v>6378579.4032327496</v>
      </c>
      <c r="K191" s="24">
        <f t="shared" si="49"/>
        <v>2022</v>
      </c>
      <c r="L191" s="66"/>
      <c r="M191" s="33">
        <f t="shared" si="59"/>
        <v>0</v>
      </c>
      <c r="N191" s="28">
        <f t="shared" si="62"/>
        <v>0</v>
      </c>
      <c r="O191" s="28">
        <f t="shared" si="62"/>
        <v>0</v>
      </c>
      <c r="P191" s="28">
        <f t="shared" si="62"/>
        <v>0</v>
      </c>
      <c r="Q191" s="28">
        <f t="shared" si="62"/>
        <v>0</v>
      </c>
      <c r="R191" s="28">
        <f t="shared" si="62"/>
        <v>0</v>
      </c>
      <c r="S191" s="28">
        <f t="shared" si="62"/>
        <v>0</v>
      </c>
      <c r="T191" s="28">
        <f t="shared" si="62"/>
        <v>0</v>
      </c>
      <c r="U191" s="28">
        <f t="shared" si="62"/>
        <v>0</v>
      </c>
      <c r="V191" s="28">
        <f t="shared" si="62"/>
        <v>0</v>
      </c>
      <c r="W191" s="28">
        <f t="shared" si="62"/>
        <v>0</v>
      </c>
      <c r="X191" s="28">
        <f t="shared" si="63"/>
        <v>0</v>
      </c>
      <c r="Y191" s="28">
        <f t="shared" si="63"/>
        <v>0</v>
      </c>
      <c r="Z191" s="28">
        <f t="shared" si="63"/>
        <v>0</v>
      </c>
      <c r="AA191" s="28">
        <f t="shared" si="63"/>
        <v>0</v>
      </c>
      <c r="AB191" s="28">
        <f t="shared" si="63"/>
        <v>0</v>
      </c>
      <c r="AC191" s="28">
        <f t="shared" si="63"/>
        <v>0</v>
      </c>
      <c r="AD191" s="28">
        <f t="shared" si="63"/>
        <v>0</v>
      </c>
      <c r="AE191" s="28">
        <f t="shared" si="63"/>
        <v>0</v>
      </c>
      <c r="AF191" s="28">
        <f t="shared" si="63"/>
        <v>0</v>
      </c>
      <c r="AG191" s="28">
        <f t="shared" si="63"/>
        <v>1</v>
      </c>
      <c r="AH191" s="28">
        <f t="shared" si="50"/>
        <v>0</v>
      </c>
    </row>
    <row r="192" spans="1:34" ht="10.5" x14ac:dyDescent="0.15">
      <c r="A192" s="904" t="s">
        <v>2755</v>
      </c>
      <c r="B192" s="904" t="s">
        <v>570</v>
      </c>
      <c r="C192" s="902"/>
      <c r="D192" s="902"/>
      <c r="E192" s="902"/>
      <c r="F192" s="902"/>
      <c r="G192" s="902"/>
      <c r="H192" s="902"/>
      <c r="I192" s="902">
        <v>3728880.4466980719</v>
      </c>
      <c r="J192" s="902">
        <v>3728880.4466980719</v>
      </c>
      <c r="K192" s="24">
        <f t="shared" si="49"/>
        <v>2023</v>
      </c>
      <c r="L192" s="66"/>
      <c r="M192" s="33">
        <f t="shared" si="59"/>
        <v>0</v>
      </c>
      <c r="N192" s="28">
        <f t="shared" si="62"/>
        <v>0</v>
      </c>
      <c r="O192" s="28">
        <f t="shared" si="62"/>
        <v>0</v>
      </c>
      <c r="P192" s="28">
        <f t="shared" si="62"/>
        <v>0</v>
      </c>
      <c r="Q192" s="28">
        <f t="shared" si="62"/>
        <v>0</v>
      </c>
      <c r="R192" s="28">
        <f t="shared" si="62"/>
        <v>0</v>
      </c>
      <c r="S192" s="28">
        <f t="shared" si="62"/>
        <v>0</v>
      </c>
      <c r="T192" s="28">
        <f t="shared" si="62"/>
        <v>0</v>
      </c>
      <c r="U192" s="28">
        <f t="shared" si="62"/>
        <v>0</v>
      </c>
      <c r="V192" s="28">
        <f t="shared" si="62"/>
        <v>0</v>
      </c>
      <c r="W192" s="28">
        <f t="shared" si="62"/>
        <v>0</v>
      </c>
      <c r="X192" s="28">
        <f t="shared" si="63"/>
        <v>0</v>
      </c>
      <c r="Y192" s="28">
        <f t="shared" si="63"/>
        <v>0</v>
      </c>
      <c r="Z192" s="28">
        <f t="shared" si="63"/>
        <v>0</v>
      </c>
      <c r="AA192" s="28">
        <f t="shared" si="63"/>
        <v>0</v>
      </c>
      <c r="AB192" s="28">
        <f t="shared" si="63"/>
        <v>0</v>
      </c>
      <c r="AC192" s="28">
        <f t="shared" si="63"/>
        <v>0</v>
      </c>
      <c r="AD192" s="28">
        <f t="shared" si="63"/>
        <v>0</v>
      </c>
      <c r="AE192" s="28">
        <f t="shared" si="63"/>
        <v>0</v>
      </c>
      <c r="AF192" s="28">
        <f t="shared" si="63"/>
        <v>0</v>
      </c>
      <c r="AG192" s="28">
        <f t="shared" si="63"/>
        <v>1</v>
      </c>
      <c r="AH192" s="28">
        <f t="shared" si="50"/>
        <v>0</v>
      </c>
    </row>
    <row r="193" spans="1:34" ht="10.5" x14ac:dyDescent="0.15">
      <c r="A193" s="895" t="s">
        <v>571</v>
      </c>
      <c r="B193" s="895" t="s">
        <v>572</v>
      </c>
      <c r="C193" s="896"/>
      <c r="D193" s="896"/>
      <c r="E193" s="896"/>
      <c r="F193" s="896"/>
      <c r="G193" s="896">
        <v>6838857.1377510587</v>
      </c>
      <c r="H193" s="896"/>
      <c r="I193" s="896"/>
      <c r="J193" s="896">
        <v>6838857.1377510587</v>
      </c>
      <c r="K193" s="24">
        <f t="shared" si="49"/>
        <v>2021</v>
      </c>
      <c r="L193" s="66"/>
      <c r="M193" s="33">
        <f t="shared" si="59"/>
        <v>3795258.1264123372</v>
      </c>
      <c r="N193" s="28">
        <f t="shared" si="62"/>
        <v>0</v>
      </c>
      <c r="O193" s="28">
        <f t="shared" si="62"/>
        <v>2.6106899965632317E-2</v>
      </c>
      <c r="P193" s="28">
        <f t="shared" si="62"/>
        <v>0.16177074430254343</v>
      </c>
      <c r="Q193" s="28">
        <f t="shared" si="62"/>
        <v>0</v>
      </c>
      <c r="R193" s="28">
        <f t="shared" si="62"/>
        <v>0</v>
      </c>
      <c r="S193" s="28">
        <f t="shared" si="62"/>
        <v>0</v>
      </c>
      <c r="T193" s="28">
        <f t="shared" si="62"/>
        <v>0</v>
      </c>
      <c r="U193" s="28">
        <f t="shared" si="62"/>
        <v>0</v>
      </c>
      <c r="V193" s="28">
        <f t="shared" si="62"/>
        <v>0</v>
      </c>
      <c r="W193" s="28">
        <f t="shared" si="62"/>
        <v>0.44869940966227667</v>
      </c>
      <c r="X193" s="28">
        <f t="shared" si="63"/>
        <v>0</v>
      </c>
      <c r="Y193" s="28">
        <f t="shared" si="63"/>
        <v>9.3520351622760664E-2</v>
      </c>
      <c r="Z193" s="28">
        <f t="shared" si="63"/>
        <v>0</v>
      </c>
      <c r="AA193" s="28">
        <f t="shared" si="63"/>
        <v>0</v>
      </c>
      <c r="AB193" s="28">
        <f t="shared" si="63"/>
        <v>0.19533586128296904</v>
      </c>
      <c r="AC193" s="28">
        <f t="shared" si="63"/>
        <v>7.3249299715693883E-2</v>
      </c>
      <c r="AD193" s="28">
        <f t="shared" si="63"/>
        <v>1.3174334481239906E-3</v>
      </c>
      <c r="AE193" s="28">
        <f t="shared" si="63"/>
        <v>0</v>
      </c>
      <c r="AF193" s="28">
        <f t="shared" si="63"/>
        <v>0</v>
      </c>
      <c r="AG193" s="28">
        <f t="shared" si="63"/>
        <v>0</v>
      </c>
      <c r="AH193" s="28">
        <f t="shared" si="50"/>
        <v>0.99999999999999989</v>
      </c>
    </row>
    <row r="194" spans="1:34" ht="10.5" x14ac:dyDescent="0.15">
      <c r="A194" s="895" t="s">
        <v>575</v>
      </c>
      <c r="B194" s="895" t="s">
        <v>576</v>
      </c>
      <c r="C194" s="896"/>
      <c r="D194" s="896"/>
      <c r="E194" s="896">
        <v>3420598.6194620724</v>
      </c>
      <c r="F194" s="896"/>
      <c r="G194" s="896"/>
      <c r="H194" s="896"/>
      <c r="I194" s="896"/>
      <c r="J194" s="896">
        <v>3420598.6194620724</v>
      </c>
      <c r="K194" s="24">
        <f t="shared" si="49"/>
        <v>2019</v>
      </c>
      <c r="L194" s="66"/>
      <c r="M194" s="33">
        <f t="shared" si="59"/>
        <v>0</v>
      </c>
      <c r="N194" s="28">
        <f t="shared" si="62"/>
        <v>0</v>
      </c>
      <c r="O194" s="28">
        <f t="shared" si="62"/>
        <v>0</v>
      </c>
      <c r="P194" s="28">
        <f t="shared" si="62"/>
        <v>0</v>
      </c>
      <c r="Q194" s="28">
        <f t="shared" si="62"/>
        <v>0</v>
      </c>
      <c r="R194" s="28">
        <f t="shared" si="62"/>
        <v>0</v>
      </c>
      <c r="S194" s="28">
        <f t="shared" si="62"/>
        <v>0</v>
      </c>
      <c r="T194" s="28">
        <f t="shared" si="62"/>
        <v>0</v>
      </c>
      <c r="U194" s="28">
        <f t="shared" si="62"/>
        <v>0</v>
      </c>
      <c r="V194" s="28">
        <f t="shared" si="62"/>
        <v>0</v>
      </c>
      <c r="W194" s="28">
        <f t="shared" si="62"/>
        <v>0.42</v>
      </c>
      <c r="X194" s="28">
        <f t="shared" si="63"/>
        <v>0.15</v>
      </c>
      <c r="Y194" s="28">
        <f t="shared" si="63"/>
        <v>0.2</v>
      </c>
      <c r="Z194" s="28">
        <f t="shared" si="63"/>
        <v>0</v>
      </c>
      <c r="AA194" s="28">
        <f t="shared" si="63"/>
        <v>0</v>
      </c>
      <c r="AB194" s="28">
        <f t="shared" si="63"/>
        <v>0.23</v>
      </c>
      <c r="AC194" s="28">
        <f t="shared" si="63"/>
        <v>0</v>
      </c>
      <c r="AD194" s="28">
        <f t="shared" si="63"/>
        <v>0</v>
      </c>
      <c r="AE194" s="28">
        <f t="shared" si="63"/>
        <v>0</v>
      </c>
      <c r="AF194" s="28">
        <f t="shared" si="63"/>
        <v>0</v>
      </c>
      <c r="AG194" s="28">
        <f t="shared" si="63"/>
        <v>0</v>
      </c>
      <c r="AH194" s="28">
        <f t="shared" si="50"/>
        <v>1</v>
      </c>
    </row>
    <row r="195" spans="1:34" ht="10.5" x14ac:dyDescent="0.15">
      <c r="A195" s="895" t="s">
        <v>577</v>
      </c>
      <c r="B195" s="895" t="s">
        <v>578</v>
      </c>
      <c r="C195" s="896"/>
      <c r="D195" s="896"/>
      <c r="E195" s="896">
        <v>2108125.3389799618</v>
      </c>
      <c r="F195" s="896"/>
      <c r="G195" s="896"/>
      <c r="H195" s="896"/>
      <c r="I195" s="896"/>
      <c r="J195" s="896">
        <v>2108125.3389799618</v>
      </c>
      <c r="K195" s="24">
        <f t="shared" si="49"/>
        <v>2019</v>
      </c>
      <c r="L195" s="66"/>
      <c r="M195" s="33">
        <f t="shared" si="59"/>
        <v>0</v>
      </c>
      <c r="N195" s="28">
        <f t="shared" si="62"/>
        <v>0</v>
      </c>
      <c r="O195" s="28">
        <f t="shared" si="62"/>
        <v>0</v>
      </c>
      <c r="P195" s="28">
        <f t="shared" si="62"/>
        <v>0</v>
      </c>
      <c r="Q195" s="28">
        <f t="shared" si="62"/>
        <v>0</v>
      </c>
      <c r="R195" s="28">
        <f t="shared" si="62"/>
        <v>0</v>
      </c>
      <c r="S195" s="28">
        <f t="shared" si="62"/>
        <v>0</v>
      </c>
      <c r="T195" s="28">
        <f t="shared" si="62"/>
        <v>0</v>
      </c>
      <c r="U195" s="28">
        <f t="shared" si="62"/>
        <v>0</v>
      </c>
      <c r="V195" s="28">
        <f t="shared" si="62"/>
        <v>0</v>
      </c>
      <c r="W195" s="28">
        <f t="shared" si="62"/>
        <v>0.35</v>
      </c>
      <c r="X195" s="28">
        <f t="shared" si="63"/>
        <v>0</v>
      </c>
      <c r="Y195" s="28">
        <f t="shared" si="63"/>
        <v>0.5</v>
      </c>
      <c r="Z195" s="28">
        <f t="shared" si="63"/>
        <v>0</v>
      </c>
      <c r="AA195" s="28">
        <f t="shared" si="63"/>
        <v>0</v>
      </c>
      <c r="AB195" s="28">
        <f t="shared" si="63"/>
        <v>0.15</v>
      </c>
      <c r="AC195" s="28">
        <f t="shared" si="63"/>
        <v>0</v>
      </c>
      <c r="AD195" s="28">
        <f t="shared" si="63"/>
        <v>0</v>
      </c>
      <c r="AE195" s="28">
        <f t="shared" si="63"/>
        <v>0</v>
      </c>
      <c r="AF195" s="28">
        <f t="shared" si="63"/>
        <v>0</v>
      </c>
      <c r="AG195" s="28">
        <f t="shared" si="63"/>
        <v>0</v>
      </c>
      <c r="AH195" s="28">
        <f t="shared" si="50"/>
        <v>1</v>
      </c>
    </row>
    <row r="196" spans="1:34" ht="10.5" x14ac:dyDescent="0.15">
      <c r="A196" s="895" t="s">
        <v>579</v>
      </c>
      <c r="B196" s="895" t="s">
        <v>580</v>
      </c>
      <c r="C196" s="896"/>
      <c r="D196" s="896"/>
      <c r="E196" s="896"/>
      <c r="F196" s="896"/>
      <c r="G196" s="896">
        <v>2297153.9226128906</v>
      </c>
      <c r="H196" s="896"/>
      <c r="I196" s="896"/>
      <c r="J196" s="896">
        <v>2297153.9226128906</v>
      </c>
      <c r="K196" s="24">
        <f t="shared" si="49"/>
        <v>2021</v>
      </c>
      <c r="L196" s="66"/>
      <c r="M196" s="33">
        <f t="shared" si="59"/>
        <v>1447635.6097869542</v>
      </c>
      <c r="N196" s="28">
        <f t="shared" si="62"/>
        <v>0</v>
      </c>
      <c r="O196" s="28">
        <f t="shared" si="62"/>
        <v>0</v>
      </c>
      <c r="P196" s="28">
        <f t="shared" si="62"/>
        <v>0</v>
      </c>
      <c r="Q196" s="28">
        <f t="shared" si="62"/>
        <v>0</v>
      </c>
      <c r="R196" s="28">
        <f t="shared" si="62"/>
        <v>0</v>
      </c>
      <c r="S196" s="28">
        <f t="shared" si="62"/>
        <v>0</v>
      </c>
      <c r="T196" s="28">
        <f t="shared" si="62"/>
        <v>0</v>
      </c>
      <c r="U196" s="28">
        <f t="shared" si="62"/>
        <v>0</v>
      </c>
      <c r="V196" s="28">
        <f t="shared" si="62"/>
        <v>0</v>
      </c>
      <c r="W196" s="28">
        <f t="shared" si="62"/>
        <v>0.7151102790576227</v>
      </c>
      <c r="X196" s="28">
        <f t="shared" si="63"/>
        <v>0</v>
      </c>
      <c r="Y196" s="28">
        <f t="shared" si="63"/>
        <v>0.13870410379401654</v>
      </c>
      <c r="Z196" s="28">
        <f t="shared" si="63"/>
        <v>0</v>
      </c>
      <c r="AA196" s="28">
        <f t="shared" si="63"/>
        <v>0</v>
      </c>
      <c r="AB196" s="28">
        <f t="shared" si="63"/>
        <v>0.11245924314241502</v>
      </c>
      <c r="AC196" s="28">
        <f t="shared" si="63"/>
        <v>3.3726374005945664E-2</v>
      </c>
      <c r="AD196" s="28">
        <f t="shared" si="63"/>
        <v>0</v>
      </c>
      <c r="AE196" s="28">
        <f t="shared" si="63"/>
        <v>0</v>
      </c>
      <c r="AF196" s="28">
        <f t="shared" si="63"/>
        <v>0</v>
      </c>
      <c r="AG196" s="28">
        <f t="shared" si="63"/>
        <v>0</v>
      </c>
      <c r="AH196" s="28">
        <f t="shared" si="50"/>
        <v>1</v>
      </c>
    </row>
    <row r="197" spans="1:34" ht="10.5" x14ac:dyDescent="0.15">
      <c r="A197" s="895" t="s">
        <v>581</v>
      </c>
      <c r="B197" s="895" t="s">
        <v>582</v>
      </c>
      <c r="C197" s="896"/>
      <c r="D197" s="896"/>
      <c r="E197" s="896"/>
      <c r="F197" s="896"/>
      <c r="G197" s="896">
        <v>5084710.8783326969</v>
      </c>
      <c r="H197" s="896"/>
      <c r="I197" s="896"/>
      <c r="J197" s="896">
        <v>5084710.8783326969</v>
      </c>
      <c r="K197" s="24">
        <f t="shared" si="49"/>
        <v>2021</v>
      </c>
      <c r="L197" s="66"/>
      <c r="M197" s="33">
        <f t="shared" si="59"/>
        <v>2610802.539383871</v>
      </c>
      <c r="N197" s="28">
        <f t="shared" si="62"/>
        <v>0</v>
      </c>
      <c r="O197" s="28">
        <f t="shared" si="62"/>
        <v>0</v>
      </c>
      <c r="P197" s="28">
        <f t="shared" si="62"/>
        <v>0</v>
      </c>
      <c r="Q197" s="28">
        <f t="shared" si="62"/>
        <v>0</v>
      </c>
      <c r="R197" s="28">
        <f t="shared" si="62"/>
        <v>0</v>
      </c>
      <c r="S197" s="28">
        <f t="shared" si="62"/>
        <v>0</v>
      </c>
      <c r="T197" s="28">
        <f t="shared" si="62"/>
        <v>0</v>
      </c>
      <c r="U197" s="28">
        <f t="shared" si="62"/>
        <v>0</v>
      </c>
      <c r="V197" s="28">
        <f t="shared" si="62"/>
        <v>0</v>
      </c>
      <c r="W197" s="28">
        <f t="shared" si="62"/>
        <v>9.1665507593874859E-2</v>
      </c>
      <c r="X197" s="28">
        <f t="shared" si="63"/>
        <v>0</v>
      </c>
      <c r="Y197" s="28">
        <f t="shared" si="63"/>
        <v>1.443234156225855E-3</v>
      </c>
      <c r="Z197" s="28">
        <f t="shared" si="63"/>
        <v>0</v>
      </c>
      <c r="AA197" s="28">
        <f t="shared" si="63"/>
        <v>0</v>
      </c>
      <c r="AB197" s="28">
        <f t="shared" si="63"/>
        <v>0.90689125824989925</v>
      </c>
      <c r="AC197" s="28">
        <f t="shared" si="63"/>
        <v>0</v>
      </c>
      <c r="AD197" s="28">
        <f t="shared" si="63"/>
        <v>0</v>
      </c>
      <c r="AE197" s="28">
        <f t="shared" si="63"/>
        <v>0</v>
      </c>
      <c r="AF197" s="28">
        <f t="shared" si="63"/>
        <v>0</v>
      </c>
      <c r="AG197" s="28">
        <f t="shared" si="63"/>
        <v>0</v>
      </c>
      <c r="AH197" s="28">
        <f t="shared" si="50"/>
        <v>1</v>
      </c>
    </row>
    <row r="198" spans="1:34" ht="10.5" x14ac:dyDescent="0.15">
      <c r="A198" s="895" t="s">
        <v>590</v>
      </c>
      <c r="B198" s="895" t="s">
        <v>591</v>
      </c>
      <c r="C198" s="896"/>
      <c r="D198" s="896"/>
      <c r="E198" s="896"/>
      <c r="F198" s="896"/>
      <c r="G198" s="896"/>
      <c r="H198" s="896">
        <v>1183841.8794372834</v>
      </c>
      <c r="I198" s="896"/>
      <c r="J198" s="896">
        <v>1183841.8794372834</v>
      </c>
      <c r="K198" s="24">
        <f t="shared" si="49"/>
        <v>2022</v>
      </c>
      <c r="L198" s="66"/>
      <c r="M198" s="33">
        <f t="shared" si="59"/>
        <v>200000.00000000003</v>
      </c>
      <c r="N198" s="28">
        <f t="shared" si="62"/>
        <v>0</v>
      </c>
      <c r="O198" s="28">
        <f t="shared" si="62"/>
        <v>0</v>
      </c>
      <c r="P198" s="28">
        <f t="shared" si="62"/>
        <v>0</v>
      </c>
      <c r="Q198" s="28">
        <f t="shared" si="62"/>
        <v>1</v>
      </c>
      <c r="R198" s="28">
        <f t="shared" si="62"/>
        <v>0</v>
      </c>
      <c r="S198" s="28">
        <f t="shared" si="62"/>
        <v>0</v>
      </c>
      <c r="T198" s="28">
        <f t="shared" si="62"/>
        <v>0</v>
      </c>
      <c r="U198" s="28">
        <f t="shared" si="62"/>
        <v>0</v>
      </c>
      <c r="V198" s="28">
        <f t="shared" si="62"/>
        <v>0</v>
      </c>
      <c r="W198" s="28">
        <f t="shared" si="62"/>
        <v>0</v>
      </c>
      <c r="X198" s="28">
        <f t="shared" si="63"/>
        <v>0</v>
      </c>
      <c r="Y198" s="28">
        <f t="shared" si="63"/>
        <v>0</v>
      </c>
      <c r="Z198" s="28">
        <f t="shared" si="63"/>
        <v>0</v>
      </c>
      <c r="AA198" s="28">
        <f t="shared" si="63"/>
        <v>0</v>
      </c>
      <c r="AB198" s="28">
        <f t="shared" si="63"/>
        <v>0</v>
      </c>
      <c r="AC198" s="28">
        <f t="shared" si="63"/>
        <v>0</v>
      </c>
      <c r="AD198" s="28">
        <f t="shared" si="63"/>
        <v>0</v>
      </c>
      <c r="AE198" s="28">
        <f t="shared" si="63"/>
        <v>0</v>
      </c>
      <c r="AF198" s="28">
        <f t="shared" si="63"/>
        <v>0</v>
      </c>
      <c r="AG198" s="28">
        <f t="shared" si="63"/>
        <v>0</v>
      </c>
      <c r="AH198" s="28">
        <f t="shared" si="50"/>
        <v>1</v>
      </c>
    </row>
    <row r="199" spans="1:34" ht="10.5" x14ac:dyDescent="0.15">
      <c r="A199" s="895" t="s">
        <v>592</v>
      </c>
      <c r="B199" s="895" t="s">
        <v>593</v>
      </c>
      <c r="C199" s="896"/>
      <c r="D199" s="896"/>
      <c r="E199" s="896"/>
      <c r="F199" s="896"/>
      <c r="G199" s="896"/>
      <c r="H199" s="896"/>
      <c r="I199" s="896">
        <v>1293767.7519098991</v>
      </c>
      <c r="J199" s="896">
        <v>1293767.7519098991</v>
      </c>
      <c r="K199" s="24">
        <f t="shared" si="49"/>
        <v>2023</v>
      </c>
      <c r="L199" s="66"/>
      <c r="M199" s="33">
        <f t="shared" si="59"/>
        <v>200000</v>
      </c>
      <c r="N199" s="28">
        <f t="shared" ref="N199:W208" si="64">IF($M199=0,VLOOKUP(MID($A199,4,5),ProjectSplits,N$2,FALSE),IF(ISNA(VLOOKUP(LEFT($A199,8),Estimates,N$1,FALSE)),VLOOKUP(MID($A199,4,5),ProjectSplits,N$2,FALSE),VLOOKUP(LEFT($A199,8),Estimates,N$1,FALSE)))</f>
        <v>0</v>
      </c>
      <c r="O199" s="28">
        <f t="shared" si="64"/>
        <v>0</v>
      </c>
      <c r="P199" s="28">
        <f t="shared" si="64"/>
        <v>0</v>
      </c>
      <c r="Q199" s="28">
        <f t="shared" si="64"/>
        <v>1</v>
      </c>
      <c r="R199" s="28">
        <f t="shared" si="64"/>
        <v>0</v>
      </c>
      <c r="S199" s="28">
        <f t="shared" si="64"/>
        <v>0</v>
      </c>
      <c r="T199" s="28">
        <f t="shared" si="64"/>
        <v>0</v>
      </c>
      <c r="U199" s="28">
        <f t="shared" si="64"/>
        <v>0</v>
      </c>
      <c r="V199" s="28">
        <f t="shared" si="64"/>
        <v>0</v>
      </c>
      <c r="W199" s="28">
        <f t="shared" si="64"/>
        <v>0</v>
      </c>
      <c r="X199" s="28">
        <f t="shared" ref="X199:AG208" si="65">IF($M199=0,VLOOKUP(MID($A199,4,5),ProjectSplits,X$2,FALSE),IF(ISNA(VLOOKUP(LEFT($A199,8),Estimates,X$1,FALSE)),VLOOKUP(MID($A199,4,5),ProjectSplits,X$2,FALSE),VLOOKUP(LEFT($A199,8),Estimates,X$1,FALSE)))</f>
        <v>0</v>
      </c>
      <c r="Y199" s="28">
        <f t="shared" si="65"/>
        <v>0</v>
      </c>
      <c r="Z199" s="28">
        <f t="shared" si="65"/>
        <v>0</v>
      </c>
      <c r="AA199" s="28">
        <f t="shared" si="65"/>
        <v>0</v>
      </c>
      <c r="AB199" s="28">
        <f t="shared" si="65"/>
        <v>0</v>
      </c>
      <c r="AC199" s="28">
        <f t="shared" si="65"/>
        <v>0</v>
      </c>
      <c r="AD199" s="28">
        <f t="shared" si="65"/>
        <v>0</v>
      </c>
      <c r="AE199" s="28">
        <f t="shared" si="65"/>
        <v>0</v>
      </c>
      <c r="AF199" s="28">
        <f t="shared" si="65"/>
        <v>0</v>
      </c>
      <c r="AG199" s="28">
        <f t="shared" si="65"/>
        <v>0</v>
      </c>
      <c r="AH199" s="28">
        <f t="shared" si="50"/>
        <v>1</v>
      </c>
    </row>
    <row r="200" spans="1:34" ht="10.5" x14ac:dyDescent="0.15">
      <c r="A200" s="895" t="s">
        <v>594</v>
      </c>
      <c r="B200" s="895" t="s">
        <v>595</v>
      </c>
      <c r="C200" s="896"/>
      <c r="D200" s="896"/>
      <c r="E200" s="896"/>
      <c r="F200" s="896"/>
      <c r="G200" s="896">
        <v>461207.30583438021</v>
      </c>
      <c r="H200" s="896"/>
      <c r="I200" s="896"/>
      <c r="J200" s="896">
        <v>461207.30583438021</v>
      </c>
      <c r="K200" s="24">
        <f t="shared" si="49"/>
        <v>2021</v>
      </c>
      <c r="L200" s="66"/>
      <c r="M200" s="33">
        <f t="shared" si="59"/>
        <v>80000.000000000029</v>
      </c>
      <c r="N200" s="28">
        <f t="shared" si="64"/>
        <v>0</v>
      </c>
      <c r="O200" s="28">
        <f t="shared" si="64"/>
        <v>0</v>
      </c>
      <c r="P200" s="28">
        <f t="shared" si="64"/>
        <v>0</v>
      </c>
      <c r="Q200" s="28">
        <f t="shared" si="64"/>
        <v>1</v>
      </c>
      <c r="R200" s="28">
        <f t="shared" si="64"/>
        <v>0</v>
      </c>
      <c r="S200" s="28">
        <f t="shared" si="64"/>
        <v>0</v>
      </c>
      <c r="T200" s="28">
        <f t="shared" si="64"/>
        <v>0</v>
      </c>
      <c r="U200" s="28">
        <f t="shared" si="64"/>
        <v>0</v>
      </c>
      <c r="V200" s="28">
        <f t="shared" si="64"/>
        <v>0</v>
      </c>
      <c r="W200" s="28">
        <f t="shared" si="64"/>
        <v>0</v>
      </c>
      <c r="X200" s="28">
        <f t="shared" si="65"/>
        <v>0</v>
      </c>
      <c r="Y200" s="28">
        <f t="shared" si="65"/>
        <v>0</v>
      </c>
      <c r="Z200" s="28">
        <f t="shared" si="65"/>
        <v>0</v>
      </c>
      <c r="AA200" s="28">
        <f t="shared" si="65"/>
        <v>0</v>
      </c>
      <c r="AB200" s="28">
        <f t="shared" si="65"/>
        <v>0</v>
      </c>
      <c r="AC200" s="28">
        <f t="shared" si="65"/>
        <v>0</v>
      </c>
      <c r="AD200" s="28">
        <f t="shared" si="65"/>
        <v>0</v>
      </c>
      <c r="AE200" s="28">
        <f t="shared" si="65"/>
        <v>0</v>
      </c>
      <c r="AF200" s="28">
        <f t="shared" si="65"/>
        <v>0</v>
      </c>
      <c r="AG200" s="28">
        <f t="shared" si="65"/>
        <v>0</v>
      </c>
      <c r="AH200" s="28">
        <f t="shared" si="50"/>
        <v>1</v>
      </c>
    </row>
    <row r="201" spans="1:34" ht="10.5" x14ac:dyDescent="0.15">
      <c r="A201" s="895" t="s">
        <v>596</v>
      </c>
      <c r="B201" s="895" t="s">
        <v>597</v>
      </c>
      <c r="C201" s="896"/>
      <c r="D201" s="896"/>
      <c r="E201" s="896"/>
      <c r="F201" s="896"/>
      <c r="G201" s="896"/>
      <c r="H201" s="896">
        <v>12314124.621451175</v>
      </c>
      <c r="I201" s="896"/>
      <c r="J201" s="896">
        <v>12314124.621451175</v>
      </c>
      <c r="K201" s="24">
        <f t="shared" si="49"/>
        <v>2022</v>
      </c>
      <c r="L201" s="66"/>
      <c r="M201" s="33">
        <f t="shared" si="59"/>
        <v>8255447.2790730707</v>
      </c>
      <c r="N201" s="28">
        <f t="shared" si="64"/>
        <v>0</v>
      </c>
      <c r="O201" s="28">
        <f t="shared" si="64"/>
        <v>6.6625178794886261E-2</v>
      </c>
      <c r="P201" s="28">
        <f t="shared" si="64"/>
        <v>2.4623727077186863E-2</v>
      </c>
      <c r="Q201" s="28">
        <f t="shared" si="64"/>
        <v>0</v>
      </c>
      <c r="R201" s="28">
        <f t="shared" si="64"/>
        <v>0</v>
      </c>
      <c r="S201" s="28">
        <f t="shared" si="64"/>
        <v>0</v>
      </c>
      <c r="T201" s="28">
        <f t="shared" si="64"/>
        <v>0</v>
      </c>
      <c r="U201" s="28">
        <f t="shared" si="64"/>
        <v>0</v>
      </c>
      <c r="V201" s="28">
        <f t="shared" si="64"/>
        <v>0</v>
      </c>
      <c r="W201" s="28">
        <f t="shared" si="64"/>
        <v>1.5448232599254092E-2</v>
      </c>
      <c r="X201" s="28">
        <f t="shared" si="65"/>
        <v>0</v>
      </c>
      <c r="Y201" s="28">
        <f t="shared" si="65"/>
        <v>1.4233026512561428E-3</v>
      </c>
      <c r="Z201" s="28">
        <f t="shared" si="65"/>
        <v>0</v>
      </c>
      <c r="AA201" s="28">
        <f t="shared" si="65"/>
        <v>0</v>
      </c>
      <c r="AB201" s="28">
        <f t="shared" si="65"/>
        <v>0</v>
      </c>
      <c r="AC201" s="28">
        <f t="shared" si="65"/>
        <v>0.89187955887741666</v>
      </c>
      <c r="AD201" s="28">
        <f t="shared" si="65"/>
        <v>0</v>
      </c>
      <c r="AE201" s="28">
        <f t="shared" si="65"/>
        <v>0</v>
      </c>
      <c r="AF201" s="28">
        <f t="shared" si="65"/>
        <v>0</v>
      </c>
      <c r="AG201" s="28">
        <f t="shared" si="65"/>
        <v>0</v>
      </c>
      <c r="AH201" s="28">
        <f t="shared" si="50"/>
        <v>1</v>
      </c>
    </row>
    <row r="202" spans="1:34" ht="10.5" x14ac:dyDescent="0.15">
      <c r="A202" s="895" t="s">
        <v>601</v>
      </c>
      <c r="B202" s="895" t="s">
        <v>2326</v>
      </c>
      <c r="C202" s="896"/>
      <c r="D202" s="896"/>
      <c r="E202" s="896"/>
      <c r="F202" s="896"/>
      <c r="G202" s="896"/>
      <c r="H202" s="896">
        <v>802972.82150641549</v>
      </c>
      <c r="I202" s="896"/>
      <c r="J202" s="896">
        <v>802972.82150641549</v>
      </c>
      <c r="K202" s="24">
        <f t="shared" si="49"/>
        <v>2022</v>
      </c>
      <c r="L202" s="66"/>
      <c r="M202" s="33">
        <f t="shared" si="59"/>
        <v>0</v>
      </c>
      <c r="N202" s="28">
        <f t="shared" si="64"/>
        <v>0</v>
      </c>
      <c r="O202" s="28">
        <f t="shared" si="64"/>
        <v>0</v>
      </c>
      <c r="P202" s="28">
        <f t="shared" si="64"/>
        <v>0</v>
      </c>
      <c r="Q202" s="28">
        <f t="shared" si="64"/>
        <v>1</v>
      </c>
      <c r="R202" s="28">
        <f t="shared" si="64"/>
        <v>0</v>
      </c>
      <c r="S202" s="28">
        <f t="shared" si="64"/>
        <v>0</v>
      </c>
      <c r="T202" s="28">
        <f t="shared" si="64"/>
        <v>0</v>
      </c>
      <c r="U202" s="28">
        <f t="shared" si="64"/>
        <v>0</v>
      </c>
      <c r="V202" s="28">
        <f t="shared" si="64"/>
        <v>0</v>
      </c>
      <c r="W202" s="28">
        <f t="shared" si="64"/>
        <v>0</v>
      </c>
      <c r="X202" s="28">
        <f t="shared" si="65"/>
        <v>0</v>
      </c>
      <c r="Y202" s="28">
        <f t="shared" si="65"/>
        <v>0</v>
      </c>
      <c r="Z202" s="28">
        <f t="shared" si="65"/>
        <v>0</v>
      </c>
      <c r="AA202" s="28">
        <f t="shared" si="65"/>
        <v>0</v>
      </c>
      <c r="AB202" s="28">
        <f t="shared" si="65"/>
        <v>0</v>
      </c>
      <c r="AC202" s="28">
        <f t="shared" si="65"/>
        <v>0</v>
      </c>
      <c r="AD202" s="28">
        <f t="shared" si="65"/>
        <v>0</v>
      </c>
      <c r="AE202" s="28">
        <f t="shared" si="65"/>
        <v>0</v>
      </c>
      <c r="AF202" s="28">
        <f t="shared" si="65"/>
        <v>0</v>
      </c>
      <c r="AG202" s="28">
        <f t="shared" si="65"/>
        <v>0</v>
      </c>
      <c r="AH202" s="28">
        <f t="shared" si="50"/>
        <v>1</v>
      </c>
    </row>
    <row r="203" spans="1:34" ht="10.5" x14ac:dyDescent="0.15">
      <c r="A203" s="895" t="s">
        <v>605</v>
      </c>
      <c r="B203" s="895" t="s">
        <v>2328</v>
      </c>
      <c r="C203" s="896"/>
      <c r="D203" s="896"/>
      <c r="E203" s="896"/>
      <c r="F203" s="896"/>
      <c r="G203" s="896"/>
      <c r="H203" s="896"/>
      <c r="I203" s="896">
        <v>550185.02145369875</v>
      </c>
      <c r="J203" s="896">
        <v>550185.02145369875</v>
      </c>
      <c r="K203" s="24">
        <f t="shared" si="49"/>
        <v>2023</v>
      </c>
      <c r="L203" s="66"/>
      <c r="M203" s="33">
        <f t="shared" si="59"/>
        <v>89999.999999999985</v>
      </c>
      <c r="N203" s="28">
        <f t="shared" si="64"/>
        <v>0</v>
      </c>
      <c r="O203" s="28">
        <f t="shared" si="64"/>
        <v>0</v>
      </c>
      <c r="P203" s="28">
        <f t="shared" si="64"/>
        <v>0</v>
      </c>
      <c r="Q203" s="28">
        <f t="shared" si="64"/>
        <v>1</v>
      </c>
      <c r="R203" s="28">
        <f t="shared" si="64"/>
        <v>0</v>
      </c>
      <c r="S203" s="28">
        <f t="shared" si="64"/>
        <v>0</v>
      </c>
      <c r="T203" s="28">
        <f t="shared" si="64"/>
        <v>0</v>
      </c>
      <c r="U203" s="28">
        <f t="shared" si="64"/>
        <v>0</v>
      </c>
      <c r="V203" s="28">
        <f t="shared" si="64"/>
        <v>0</v>
      </c>
      <c r="W203" s="28">
        <f t="shared" si="64"/>
        <v>0</v>
      </c>
      <c r="X203" s="28">
        <f t="shared" si="65"/>
        <v>0</v>
      </c>
      <c r="Y203" s="28">
        <f t="shared" si="65"/>
        <v>0</v>
      </c>
      <c r="Z203" s="28">
        <f t="shared" si="65"/>
        <v>0</v>
      </c>
      <c r="AA203" s="28">
        <f t="shared" si="65"/>
        <v>0</v>
      </c>
      <c r="AB203" s="28">
        <f t="shared" si="65"/>
        <v>0</v>
      </c>
      <c r="AC203" s="28">
        <f t="shared" si="65"/>
        <v>0</v>
      </c>
      <c r="AD203" s="28">
        <f t="shared" si="65"/>
        <v>0</v>
      </c>
      <c r="AE203" s="28">
        <f t="shared" si="65"/>
        <v>0</v>
      </c>
      <c r="AF203" s="28">
        <f t="shared" si="65"/>
        <v>0</v>
      </c>
      <c r="AG203" s="28">
        <f t="shared" si="65"/>
        <v>0</v>
      </c>
      <c r="AH203" s="28">
        <f t="shared" si="50"/>
        <v>1</v>
      </c>
    </row>
    <row r="204" spans="1:34" ht="10.5" x14ac:dyDescent="0.15">
      <c r="A204" s="895" t="s">
        <v>607</v>
      </c>
      <c r="B204" s="895" t="s">
        <v>2330</v>
      </c>
      <c r="C204" s="896"/>
      <c r="D204" s="896"/>
      <c r="E204" s="896"/>
      <c r="F204" s="896">
        <v>291540.49202191504</v>
      </c>
      <c r="G204" s="896"/>
      <c r="H204" s="896"/>
      <c r="I204" s="896"/>
      <c r="J204" s="896">
        <v>291540.49202191504</v>
      </c>
      <c r="K204" s="24">
        <f t="shared" si="49"/>
        <v>2020</v>
      </c>
      <c r="L204" s="66"/>
      <c r="M204" s="33">
        <f t="shared" si="59"/>
        <v>52000</v>
      </c>
      <c r="N204" s="28">
        <f t="shared" si="64"/>
        <v>0</v>
      </c>
      <c r="O204" s="28">
        <f t="shared" si="64"/>
        <v>0</v>
      </c>
      <c r="P204" s="28">
        <f t="shared" si="64"/>
        <v>0</v>
      </c>
      <c r="Q204" s="28">
        <f t="shared" si="64"/>
        <v>1</v>
      </c>
      <c r="R204" s="28">
        <f t="shared" si="64"/>
        <v>0</v>
      </c>
      <c r="S204" s="28">
        <f t="shared" si="64"/>
        <v>0</v>
      </c>
      <c r="T204" s="28">
        <f t="shared" si="64"/>
        <v>0</v>
      </c>
      <c r="U204" s="28">
        <f t="shared" si="64"/>
        <v>0</v>
      </c>
      <c r="V204" s="28">
        <f t="shared" si="64"/>
        <v>0</v>
      </c>
      <c r="W204" s="28">
        <f t="shared" si="64"/>
        <v>0</v>
      </c>
      <c r="X204" s="28">
        <f t="shared" si="65"/>
        <v>0</v>
      </c>
      <c r="Y204" s="28">
        <f t="shared" si="65"/>
        <v>0</v>
      </c>
      <c r="Z204" s="28">
        <f t="shared" si="65"/>
        <v>0</v>
      </c>
      <c r="AA204" s="28">
        <f t="shared" si="65"/>
        <v>0</v>
      </c>
      <c r="AB204" s="28">
        <f t="shared" si="65"/>
        <v>0</v>
      </c>
      <c r="AC204" s="28">
        <f t="shared" si="65"/>
        <v>0</v>
      </c>
      <c r="AD204" s="28">
        <f t="shared" si="65"/>
        <v>0</v>
      </c>
      <c r="AE204" s="28">
        <f t="shared" si="65"/>
        <v>0</v>
      </c>
      <c r="AF204" s="28">
        <f t="shared" si="65"/>
        <v>0</v>
      </c>
      <c r="AG204" s="28">
        <f t="shared" si="65"/>
        <v>0</v>
      </c>
      <c r="AH204" s="28">
        <f t="shared" si="50"/>
        <v>1</v>
      </c>
    </row>
    <row r="205" spans="1:34" ht="10.5" x14ac:dyDescent="0.15">
      <c r="A205" s="895" t="s">
        <v>610</v>
      </c>
      <c r="B205" s="895" t="s">
        <v>2331</v>
      </c>
      <c r="C205" s="896"/>
      <c r="D205" s="896"/>
      <c r="E205" s="896"/>
      <c r="F205" s="896"/>
      <c r="G205" s="896">
        <v>714174.70988780318</v>
      </c>
      <c r="H205" s="896"/>
      <c r="I205" s="896"/>
      <c r="J205" s="896">
        <v>714174.70988780318</v>
      </c>
      <c r="K205" s="24">
        <f t="shared" si="49"/>
        <v>2021</v>
      </c>
      <c r="L205" s="66"/>
      <c r="M205" s="33">
        <f t="shared" si="59"/>
        <v>117800.00000000007</v>
      </c>
      <c r="N205" s="28">
        <f t="shared" si="64"/>
        <v>0</v>
      </c>
      <c r="O205" s="28">
        <f t="shared" si="64"/>
        <v>0</v>
      </c>
      <c r="P205" s="28">
        <f t="shared" si="64"/>
        <v>0</v>
      </c>
      <c r="Q205" s="28">
        <f t="shared" si="64"/>
        <v>1</v>
      </c>
      <c r="R205" s="28">
        <f t="shared" si="64"/>
        <v>0</v>
      </c>
      <c r="S205" s="28">
        <f t="shared" si="64"/>
        <v>0</v>
      </c>
      <c r="T205" s="28">
        <f t="shared" si="64"/>
        <v>0</v>
      </c>
      <c r="U205" s="28">
        <f t="shared" si="64"/>
        <v>0</v>
      </c>
      <c r="V205" s="28">
        <f t="shared" si="64"/>
        <v>0</v>
      </c>
      <c r="W205" s="28">
        <f t="shared" si="64"/>
        <v>0</v>
      </c>
      <c r="X205" s="28">
        <f t="shared" si="65"/>
        <v>0</v>
      </c>
      <c r="Y205" s="28">
        <f t="shared" si="65"/>
        <v>0</v>
      </c>
      <c r="Z205" s="28">
        <f t="shared" si="65"/>
        <v>0</v>
      </c>
      <c r="AA205" s="28">
        <f t="shared" si="65"/>
        <v>0</v>
      </c>
      <c r="AB205" s="28">
        <f t="shared" si="65"/>
        <v>0</v>
      </c>
      <c r="AC205" s="28">
        <f t="shared" si="65"/>
        <v>0</v>
      </c>
      <c r="AD205" s="28">
        <f t="shared" si="65"/>
        <v>0</v>
      </c>
      <c r="AE205" s="28">
        <f t="shared" si="65"/>
        <v>0</v>
      </c>
      <c r="AF205" s="28">
        <f t="shared" si="65"/>
        <v>0</v>
      </c>
      <c r="AG205" s="28">
        <f t="shared" si="65"/>
        <v>0</v>
      </c>
      <c r="AH205" s="28">
        <f t="shared" si="50"/>
        <v>1</v>
      </c>
    </row>
    <row r="206" spans="1:34" ht="10.5" x14ac:dyDescent="0.15">
      <c r="A206" s="895" t="s">
        <v>611</v>
      </c>
      <c r="B206" s="895" t="s">
        <v>2332</v>
      </c>
      <c r="C206" s="896"/>
      <c r="D206" s="896"/>
      <c r="E206" s="896"/>
      <c r="F206" s="896"/>
      <c r="G206" s="896"/>
      <c r="H206" s="896">
        <v>947441.80040215352</v>
      </c>
      <c r="I206" s="896"/>
      <c r="J206" s="896">
        <v>947441.80040215352</v>
      </c>
      <c r="K206" s="24">
        <f t="shared" si="49"/>
        <v>2022</v>
      </c>
      <c r="L206" s="66"/>
      <c r="M206" s="33">
        <f t="shared" si="59"/>
        <v>151999.9999999998</v>
      </c>
      <c r="N206" s="28">
        <f t="shared" si="64"/>
        <v>0</v>
      </c>
      <c r="O206" s="28">
        <f t="shared" si="64"/>
        <v>0</v>
      </c>
      <c r="P206" s="28">
        <f t="shared" si="64"/>
        <v>0</v>
      </c>
      <c r="Q206" s="28">
        <f t="shared" si="64"/>
        <v>1</v>
      </c>
      <c r="R206" s="28">
        <f t="shared" si="64"/>
        <v>0</v>
      </c>
      <c r="S206" s="28">
        <f t="shared" si="64"/>
        <v>0</v>
      </c>
      <c r="T206" s="28">
        <f t="shared" si="64"/>
        <v>0</v>
      </c>
      <c r="U206" s="28">
        <f t="shared" si="64"/>
        <v>0</v>
      </c>
      <c r="V206" s="28">
        <f t="shared" si="64"/>
        <v>0</v>
      </c>
      <c r="W206" s="28">
        <f t="shared" si="64"/>
        <v>0</v>
      </c>
      <c r="X206" s="28">
        <f t="shared" si="65"/>
        <v>0</v>
      </c>
      <c r="Y206" s="28">
        <f t="shared" si="65"/>
        <v>0</v>
      </c>
      <c r="Z206" s="28">
        <f t="shared" si="65"/>
        <v>0</v>
      </c>
      <c r="AA206" s="28">
        <f t="shared" si="65"/>
        <v>0</v>
      </c>
      <c r="AB206" s="28">
        <f t="shared" si="65"/>
        <v>0</v>
      </c>
      <c r="AC206" s="28">
        <f t="shared" si="65"/>
        <v>0</v>
      </c>
      <c r="AD206" s="28">
        <f t="shared" si="65"/>
        <v>0</v>
      </c>
      <c r="AE206" s="28">
        <f t="shared" si="65"/>
        <v>0</v>
      </c>
      <c r="AF206" s="28">
        <f t="shared" si="65"/>
        <v>0</v>
      </c>
      <c r="AG206" s="28">
        <f t="shared" si="65"/>
        <v>0</v>
      </c>
      <c r="AH206" s="28">
        <f t="shared" si="50"/>
        <v>1</v>
      </c>
    </row>
    <row r="207" spans="1:34" ht="10.5" x14ac:dyDescent="0.15">
      <c r="A207" s="895" t="s">
        <v>614</v>
      </c>
      <c r="B207" s="895" t="s">
        <v>2333</v>
      </c>
      <c r="C207" s="896"/>
      <c r="D207" s="896"/>
      <c r="E207" s="896"/>
      <c r="F207" s="896"/>
      <c r="G207" s="896">
        <v>3140294.2754211714</v>
      </c>
      <c r="H207" s="896"/>
      <c r="I207" s="896"/>
      <c r="J207" s="896">
        <v>3140294.2754211714</v>
      </c>
      <c r="K207" s="24">
        <f t="shared" si="49"/>
        <v>2021</v>
      </c>
      <c r="L207" s="66"/>
      <c r="M207" s="33">
        <f t="shared" si="59"/>
        <v>545264.99999999977</v>
      </c>
      <c r="N207" s="28">
        <f t="shared" si="64"/>
        <v>0</v>
      </c>
      <c r="O207" s="28">
        <f t="shared" si="64"/>
        <v>0</v>
      </c>
      <c r="P207" s="28">
        <f t="shared" si="64"/>
        <v>0</v>
      </c>
      <c r="Q207" s="28">
        <f t="shared" si="64"/>
        <v>1</v>
      </c>
      <c r="R207" s="28">
        <f t="shared" si="64"/>
        <v>0</v>
      </c>
      <c r="S207" s="28">
        <f t="shared" si="64"/>
        <v>0</v>
      </c>
      <c r="T207" s="28">
        <f t="shared" si="64"/>
        <v>0</v>
      </c>
      <c r="U207" s="28">
        <f t="shared" si="64"/>
        <v>0</v>
      </c>
      <c r="V207" s="28">
        <f t="shared" si="64"/>
        <v>0</v>
      </c>
      <c r="W207" s="28">
        <f t="shared" si="64"/>
        <v>0</v>
      </c>
      <c r="X207" s="28">
        <f t="shared" si="65"/>
        <v>0</v>
      </c>
      <c r="Y207" s="28">
        <f t="shared" si="65"/>
        <v>0</v>
      </c>
      <c r="Z207" s="28">
        <f t="shared" si="65"/>
        <v>0</v>
      </c>
      <c r="AA207" s="28">
        <f t="shared" si="65"/>
        <v>0</v>
      </c>
      <c r="AB207" s="28">
        <f t="shared" si="65"/>
        <v>0</v>
      </c>
      <c r="AC207" s="28">
        <f t="shared" si="65"/>
        <v>0</v>
      </c>
      <c r="AD207" s="28">
        <f t="shared" si="65"/>
        <v>0</v>
      </c>
      <c r="AE207" s="28">
        <f t="shared" si="65"/>
        <v>0</v>
      </c>
      <c r="AF207" s="28">
        <f t="shared" si="65"/>
        <v>0</v>
      </c>
      <c r="AG207" s="28">
        <f t="shared" si="65"/>
        <v>0</v>
      </c>
      <c r="AH207" s="28">
        <f t="shared" si="50"/>
        <v>1</v>
      </c>
    </row>
    <row r="208" spans="1:34" ht="10.5" x14ac:dyDescent="0.15">
      <c r="A208" s="895" t="s">
        <v>617</v>
      </c>
      <c r="B208" s="895" t="s">
        <v>618</v>
      </c>
      <c r="C208" s="896"/>
      <c r="D208" s="896"/>
      <c r="E208" s="896">
        <v>6014041.5533941714</v>
      </c>
      <c r="F208" s="896"/>
      <c r="G208" s="896"/>
      <c r="H208" s="896"/>
      <c r="I208" s="896"/>
      <c r="J208" s="896">
        <v>6014041.5533941714</v>
      </c>
      <c r="K208" s="24">
        <f t="shared" si="49"/>
        <v>2019</v>
      </c>
      <c r="L208" s="66"/>
      <c r="M208" s="33">
        <f t="shared" si="59"/>
        <v>0</v>
      </c>
      <c r="N208" s="28">
        <f t="shared" si="64"/>
        <v>0.4</v>
      </c>
      <c r="O208" s="28">
        <f t="shared" si="64"/>
        <v>0</v>
      </c>
      <c r="P208" s="28">
        <f t="shared" si="64"/>
        <v>0</v>
      </c>
      <c r="Q208" s="28">
        <f t="shared" si="64"/>
        <v>0.2</v>
      </c>
      <c r="R208" s="28">
        <f t="shared" si="64"/>
        <v>0</v>
      </c>
      <c r="S208" s="28">
        <f t="shared" si="64"/>
        <v>0</v>
      </c>
      <c r="T208" s="28">
        <f t="shared" si="64"/>
        <v>0.4</v>
      </c>
      <c r="U208" s="28">
        <f t="shared" si="64"/>
        <v>0</v>
      </c>
      <c r="V208" s="28">
        <f t="shared" si="64"/>
        <v>0</v>
      </c>
      <c r="W208" s="28">
        <f t="shared" si="64"/>
        <v>0</v>
      </c>
      <c r="X208" s="28">
        <f t="shared" si="65"/>
        <v>0</v>
      </c>
      <c r="Y208" s="28">
        <f t="shared" si="65"/>
        <v>0</v>
      </c>
      <c r="Z208" s="28">
        <f t="shared" si="65"/>
        <v>0</v>
      </c>
      <c r="AA208" s="28">
        <f t="shared" si="65"/>
        <v>0</v>
      </c>
      <c r="AB208" s="28">
        <f t="shared" si="65"/>
        <v>0</v>
      </c>
      <c r="AC208" s="28">
        <f t="shared" si="65"/>
        <v>0</v>
      </c>
      <c r="AD208" s="28">
        <f t="shared" si="65"/>
        <v>0</v>
      </c>
      <c r="AE208" s="28">
        <f t="shared" si="65"/>
        <v>0</v>
      </c>
      <c r="AF208" s="28">
        <f t="shared" si="65"/>
        <v>0</v>
      </c>
      <c r="AG208" s="28">
        <f t="shared" si="65"/>
        <v>0</v>
      </c>
      <c r="AH208" s="28">
        <f t="shared" si="50"/>
        <v>1</v>
      </c>
    </row>
    <row r="209" spans="1:34" ht="10.5" x14ac:dyDescent="0.15">
      <c r="A209" s="895" t="s">
        <v>619</v>
      </c>
      <c r="B209" s="895" t="s">
        <v>620</v>
      </c>
      <c r="C209" s="896"/>
      <c r="D209" s="896"/>
      <c r="E209" s="896"/>
      <c r="F209" s="896">
        <v>1703448.2011396317</v>
      </c>
      <c r="G209" s="896"/>
      <c r="H209" s="896"/>
      <c r="I209" s="896"/>
      <c r="J209" s="896">
        <v>1703448.2011396317</v>
      </c>
      <c r="K209" s="24">
        <f t="shared" si="49"/>
        <v>2020</v>
      </c>
      <c r="L209" s="66"/>
      <c r="M209" s="33">
        <f t="shared" si="59"/>
        <v>0</v>
      </c>
      <c r="N209" s="28">
        <f t="shared" ref="N209:W218" si="66">IF($M209=0,VLOOKUP(MID($A209,4,5),ProjectSplits,N$2,FALSE),IF(ISNA(VLOOKUP(LEFT($A209,8),Estimates,N$1,FALSE)),VLOOKUP(MID($A209,4,5),ProjectSplits,N$2,FALSE),VLOOKUP(LEFT($A209,8),Estimates,N$1,FALSE)))</f>
        <v>0</v>
      </c>
      <c r="O209" s="28">
        <f t="shared" si="66"/>
        <v>0</v>
      </c>
      <c r="P209" s="28">
        <f t="shared" si="66"/>
        <v>0</v>
      </c>
      <c r="Q209" s="28">
        <f t="shared" si="66"/>
        <v>1</v>
      </c>
      <c r="R209" s="28">
        <f t="shared" si="66"/>
        <v>0</v>
      </c>
      <c r="S209" s="28">
        <f t="shared" si="66"/>
        <v>0</v>
      </c>
      <c r="T209" s="28">
        <f t="shared" si="66"/>
        <v>0</v>
      </c>
      <c r="U209" s="28">
        <f t="shared" si="66"/>
        <v>0</v>
      </c>
      <c r="V209" s="28">
        <f t="shared" si="66"/>
        <v>0</v>
      </c>
      <c r="W209" s="28">
        <f t="shared" si="66"/>
        <v>0</v>
      </c>
      <c r="X209" s="28">
        <f t="shared" ref="X209:AG218" si="67">IF($M209=0,VLOOKUP(MID($A209,4,5),ProjectSplits,X$2,FALSE),IF(ISNA(VLOOKUP(LEFT($A209,8),Estimates,X$1,FALSE)),VLOOKUP(MID($A209,4,5),ProjectSplits,X$2,FALSE),VLOOKUP(LEFT($A209,8),Estimates,X$1,FALSE)))</f>
        <v>0</v>
      </c>
      <c r="Y209" s="28">
        <f t="shared" si="67"/>
        <v>0</v>
      </c>
      <c r="Z209" s="28">
        <f t="shared" si="67"/>
        <v>0</v>
      </c>
      <c r="AA209" s="28">
        <f t="shared" si="67"/>
        <v>0</v>
      </c>
      <c r="AB209" s="28">
        <f t="shared" si="67"/>
        <v>0</v>
      </c>
      <c r="AC209" s="28">
        <f t="shared" si="67"/>
        <v>0</v>
      </c>
      <c r="AD209" s="28">
        <f t="shared" si="67"/>
        <v>0</v>
      </c>
      <c r="AE209" s="28">
        <f t="shared" si="67"/>
        <v>0</v>
      </c>
      <c r="AF209" s="28">
        <f t="shared" si="67"/>
        <v>0</v>
      </c>
      <c r="AG209" s="28">
        <f t="shared" si="67"/>
        <v>0</v>
      </c>
      <c r="AH209" s="28">
        <f t="shared" si="50"/>
        <v>1</v>
      </c>
    </row>
    <row r="210" spans="1:34" ht="10.5" x14ac:dyDescent="0.15">
      <c r="A210" s="895" t="s">
        <v>621</v>
      </c>
      <c r="B210" s="895" t="s">
        <v>622</v>
      </c>
      <c r="C210" s="896">
        <v>220714.95296672769</v>
      </c>
      <c r="D210" s="896"/>
      <c r="E210" s="896"/>
      <c r="F210" s="896"/>
      <c r="G210" s="896"/>
      <c r="H210" s="896"/>
      <c r="I210" s="896"/>
      <c r="J210" s="896">
        <v>220714.95296672769</v>
      </c>
      <c r="K210" s="24">
        <f t="shared" si="49"/>
        <v>2017</v>
      </c>
      <c r="L210" s="66"/>
      <c r="M210" s="33">
        <f>IF(K210=2017,0,IF(ISNA(VLOOKUP(LEFT($A210,8),Estimates,72,FALSE)),0,VLOOKUP(LEFT($A210,8),Estimates,72,FALSE)))</f>
        <v>0</v>
      </c>
      <c r="N210" s="28">
        <f t="shared" si="66"/>
        <v>0</v>
      </c>
      <c r="O210" s="28">
        <f t="shared" si="66"/>
        <v>0</v>
      </c>
      <c r="P210" s="28">
        <f t="shared" si="66"/>
        <v>0</v>
      </c>
      <c r="Q210" s="28">
        <f t="shared" si="66"/>
        <v>0</v>
      </c>
      <c r="R210" s="28">
        <f t="shared" si="66"/>
        <v>0</v>
      </c>
      <c r="S210" s="28">
        <f t="shared" si="66"/>
        <v>0</v>
      </c>
      <c r="T210" s="28">
        <f t="shared" si="66"/>
        <v>0</v>
      </c>
      <c r="U210" s="28">
        <f t="shared" si="66"/>
        <v>0</v>
      </c>
      <c r="V210" s="28">
        <f t="shared" si="66"/>
        <v>0</v>
      </c>
      <c r="W210" s="28">
        <f t="shared" si="66"/>
        <v>0</v>
      </c>
      <c r="X210" s="28">
        <f t="shared" si="67"/>
        <v>0</v>
      </c>
      <c r="Y210" s="28">
        <f t="shared" si="67"/>
        <v>0</v>
      </c>
      <c r="Z210" s="28">
        <f t="shared" si="67"/>
        <v>0</v>
      </c>
      <c r="AA210" s="28">
        <f t="shared" si="67"/>
        <v>0</v>
      </c>
      <c r="AB210" s="28">
        <f t="shared" si="67"/>
        <v>1</v>
      </c>
      <c r="AC210" s="28">
        <f t="shared" si="67"/>
        <v>0</v>
      </c>
      <c r="AD210" s="28">
        <f t="shared" si="67"/>
        <v>0</v>
      </c>
      <c r="AE210" s="28">
        <f t="shared" si="67"/>
        <v>0</v>
      </c>
      <c r="AF210" s="28">
        <f t="shared" si="67"/>
        <v>0</v>
      </c>
      <c r="AG210" s="28">
        <f t="shared" si="67"/>
        <v>0</v>
      </c>
      <c r="AH210" s="28">
        <f t="shared" si="50"/>
        <v>1</v>
      </c>
    </row>
    <row r="211" spans="1:34" ht="10.5" x14ac:dyDescent="0.15">
      <c r="A211" s="895" t="s">
        <v>623</v>
      </c>
      <c r="B211" s="895" t="s">
        <v>624</v>
      </c>
      <c r="C211" s="896"/>
      <c r="D211" s="896">
        <v>1384310.0533156532</v>
      </c>
      <c r="E211" s="896"/>
      <c r="F211" s="896"/>
      <c r="G211" s="896"/>
      <c r="H211" s="896"/>
      <c r="I211" s="896"/>
      <c r="J211" s="896">
        <v>1384310.0533156532</v>
      </c>
      <c r="K211" s="24">
        <f t="shared" si="49"/>
        <v>2018</v>
      </c>
      <c r="L211" s="66"/>
      <c r="M211" s="33">
        <f>IF(ISNA(VLOOKUP(LEFT($A211,8),Estimates,72,FALSE)),0,VLOOKUP(LEFT($A211,8),Estimates,72,FALSE))</f>
        <v>1114310.0010009985</v>
      </c>
      <c r="N211" s="28">
        <f t="shared" si="66"/>
        <v>0</v>
      </c>
      <c r="O211" s="28">
        <f t="shared" si="66"/>
        <v>0</v>
      </c>
      <c r="P211" s="28">
        <f t="shared" si="66"/>
        <v>0</v>
      </c>
      <c r="Q211" s="28">
        <f t="shared" si="66"/>
        <v>0</v>
      </c>
      <c r="R211" s="28">
        <f t="shared" si="66"/>
        <v>0</v>
      </c>
      <c r="S211" s="28">
        <f t="shared" si="66"/>
        <v>0</v>
      </c>
      <c r="T211" s="28">
        <f t="shared" si="66"/>
        <v>0</v>
      </c>
      <c r="U211" s="28">
        <f t="shared" si="66"/>
        <v>0</v>
      </c>
      <c r="V211" s="28">
        <f t="shared" si="66"/>
        <v>0</v>
      </c>
      <c r="W211" s="28">
        <f t="shared" si="66"/>
        <v>0</v>
      </c>
      <c r="X211" s="28">
        <f t="shared" si="67"/>
        <v>0</v>
      </c>
      <c r="Y211" s="28">
        <f t="shared" si="67"/>
        <v>0</v>
      </c>
      <c r="Z211" s="28">
        <f t="shared" si="67"/>
        <v>0</v>
      </c>
      <c r="AA211" s="28">
        <f t="shared" si="67"/>
        <v>0</v>
      </c>
      <c r="AB211" s="28">
        <f t="shared" si="67"/>
        <v>1</v>
      </c>
      <c r="AC211" s="28">
        <f t="shared" si="67"/>
        <v>0</v>
      </c>
      <c r="AD211" s="28">
        <f t="shared" si="67"/>
        <v>0</v>
      </c>
      <c r="AE211" s="28">
        <f t="shared" si="67"/>
        <v>0</v>
      </c>
      <c r="AF211" s="28">
        <f t="shared" si="67"/>
        <v>0</v>
      </c>
      <c r="AG211" s="28">
        <f t="shared" si="67"/>
        <v>0</v>
      </c>
      <c r="AH211" s="28">
        <f t="shared" si="50"/>
        <v>1</v>
      </c>
    </row>
    <row r="212" spans="1:34" ht="10.5" x14ac:dyDescent="0.15">
      <c r="A212" s="895" t="s">
        <v>625</v>
      </c>
      <c r="B212" s="895" t="s">
        <v>626</v>
      </c>
      <c r="C212" s="896"/>
      <c r="D212" s="896">
        <v>3050489.4258381459</v>
      </c>
      <c r="E212" s="896"/>
      <c r="F212" s="896"/>
      <c r="G212" s="896"/>
      <c r="H212" s="896"/>
      <c r="I212" s="896"/>
      <c r="J212" s="896">
        <v>3050489.4258381459</v>
      </c>
      <c r="K212" s="24">
        <f t="shared" ref="K212:K261" si="68">INDEX($C$18:$I$18,1,MATCH(J212,$C212:$I212,0))</f>
        <v>2018</v>
      </c>
      <c r="L212" s="66"/>
      <c r="M212" s="33">
        <f>IF(ISNA(VLOOKUP(LEFT($A212,8),Estimates,72,FALSE)),0,VLOOKUP(LEFT($A212,8),Estimates,72,FALSE))</f>
        <v>1489691.0000000012</v>
      </c>
      <c r="N212" s="28">
        <f t="shared" si="66"/>
        <v>0</v>
      </c>
      <c r="O212" s="28">
        <f t="shared" si="66"/>
        <v>0</v>
      </c>
      <c r="P212" s="28">
        <f t="shared" si="66"/>
        <v>0</v>
      </c>
      <c r="Q212" s="28">
        <f t="shared" si="66"/>
        <v>0</v>
      </c>
      <c r="R212" s="28">
        <f t="shared" si="66"/>
        <v>0</v>
      </c>
      <c r="S212" s="28">
        <f t="shared" si="66"/>
        <v>0</v>
      </c>
      <c r="T212" s="28">
        <f t="shared" si="66"/>
        <v>0</v>
      </c>
      <c r="U212" s="28">
        <f t="shared" si="66"/>
        <v>0</v>
      </c>
      <c r="V212" s="28">
        <f t="shared" si="66"/>
        <v>0</v>
      </c>
      <c r="W212" s="28">
        <f t="shared" si="66"/>
        <v>0</v>
      </c>
      <c r="X212" s="28">
        <f t="shared" si="67"/>
        <v>0</v>
      </c>
      <c r="Y212" s="28">
        <f t="shared" si="67"/>
        <v>0</v>
      </c>
      <c r="Z212" s="28">
        <f t="shared" si="67"/>
        <v>0</v>
      </c>
      <c r="AA212" s="28">
        <f t="shared" si="67"/>
        <v>0</v>
      </c>
      <c r="AB212" s="28">
        <f t="shared" si="67"/>
        <v>1</v>
      </c>
      <c r="AC212" s="28">
        <f t="shared" si="67"/>
        <v>0</v>
      </c>
      <c r="AD212" s="28">
        <f t="shared" si="67"/>
        <v>0</v>
      </c>
      <c r="AE212" s="28">
        <f t="shared" si="67"/>
        <v>0</v>
      </c>
      <c r="AF212" s="28">
        <f t="shared" si="67"/>
        <v>0</v>
      </c>
      <c r="AG212" s="28">
        <f t="shared" si="67"/>
        <v>0</v>
      </c>
      <c r="AH212" s="28">
        <f t="shared" ref="AH212:AH261" si="69">SUM(N212:AF212)</f>
        <v>1</v>
      </c>
    </row>
    <row r="213" spans="1:34" ht="10.5" x14ac:dyDescent="0.15">
      <c r="A213" s="895" t="s">
        <v>629</v>
      </c>
      <c r="B213" s="895" t="s">
        <v>630</v>
      </c>
      <c r="C213" s="896">
        <v>491599.79699630174</v>
      </c>
      <c r="D213" s="896"/>
      <c r="E213" s="896"/>
      <c r="F213" s="896"/>
      <c r="G213" s="896"/>
      <c r="H213" s="896"/>
      <c r="I213" s="896"/>
      <c r="J213" s="896">
        <v>491599.79699630174</v>
      </c>
      <c r="K213" s="24">
        <f t="shared" si="68"/>
        <v>2017</v>
      </c>
      <c r="L213" s="66"/>
      <c r="M213" s="33">
        <f>IF(K213=2017,0,IF(ISNA(VLOOKUP(LEFT($A213,8),Estimates,72,FALSE)),0,VLOOKUP(LEFT($A213,8),Estimates,72,FALSE)))</f>
        <v>0</v>
      </c>
      <c r="N213" s="28">
        <f t="shared" si="66"/>
        <v>0</v>
      </c>
      <c r="O213" s="28">
        <f t="shared" si="66"/>
        <v>0</v>
      </c>
      <c r="P213" s="28">
        <f t="shared" si="66"/>
        <v>0</v>
      </c>
      <c r="Q213" s="28">
        <f t="shared" si="66"/>
        <v>0</v>
      </c>
      <c r="R213" s="28">
        <f t="shared" si="66"/>
        <v>0</v>
      </c>
      <c r="S213" s="28">
        <f t="shared" si="66"/>
        <v>0</v>
      </c>
      <c r="T213" s="28">
        <f t="shared" si="66"/>
        <v>0</v>
      </c>
      <c r="U213" s="28">
        <f t="shared" si="66"/>
        <v>1</v>
      </c>
      <c r="V213" s="28">
        <f t="shared" si="66"/>
        <v>0</v>
      </c>
      <c r="W213" s="28">
        <f t="shared" si="66"/>
        <v>0</v>
      </c>
      <c r="X213" s="28">
        <f t="shared" si="67"/>
        <v>0</v>
      </c>
      <c r="Y213" s="28">
        <f t="shared" si="67"/>
        <v>0</v>
      </c>
      <c r="Z213" s="28">
        <f t="shared" si="67"/>
        <v>0</v>
      </c>
      <c r="AA213" s="28">
        <f t="shared" si="67"/>
        <v>0</v>
      </c>
      <c r="AB213" s="28">
        <f t="shared" si="67"/>
        <v>0</v>
      </c>
      <c r="AC213" s="28">
        <f t="shared" si="67"/>
        <v>0</v>
      </c>
      <c r="AD213" s="28">
        <f t="shared" si="67"/>
        <v>0</v>
      </c>
      <c r="AE213" s="28">
        <f t="shared" si="67"/>
        <v>0</v>
      </c>
      <c r="AF213" s="28">
        <f t="shared" si="67"/>
        <v>0</v>
      </c>
      <c r="AG213" s="28">
        <f t="shared" si="67"/>
        <v>0</v>
      </c>
      <c r="AH213" s="28">
        <f t="shared" si="69"/>
        <v>1</v>
      </c>
    </row>
    <row r="214" spans="1:34" ht="10.5" x14ac:dyDescent="0.15">
      <c r="A214" s="895" t="s">
        <v>631</v>
      </c>
      <c r="B214" s="895" t="s">
        <v>632</v>
      </c>
      <c r="C214" s="896"/>
      <c r="D214" s="896"/>
      <c r="E214" s="896">
        <v>1713515.4580158235</v>
      </c>
      <c r="F214" s="896"/>
      <c r="G214" s="896"/>
      <c r="H214" s="896"/>
      <c r="I214" s="896"/>
      <c r="J214" s="896">
        <v>1713515.4580158235</v>
      </c>
      <c r="K214" s="24">
        <f t="shared" si="68"/>
        <v>2019</v>
      </c>
      <c r="L214" s="66"/>
      <c r="M214" s="33">
        <f t="shared" ref="M214:M222" si="70">IF(ISNA(VLOOKUP(LEFT($A214,8),Estimates,72,FALSE)),0,VLOOKUP(LEFT($A214,8),Estimates,72,FALSE))</f>
        <v>1320000.0000000005</v>
      </c>
      <c r="N214" s="28">
        <f t="shared" si="66"/>
        <v>0</v>
      </c>
      <c r="O214" s="28">
        <f t="shared" si="66"/>
        <v>0</v>
      </c>
      <c r="P214" s="28">
        <f t="shared" si="66"/>
        <v>0</v>
      </c>
      <c r="Q214" s="28">
        <f t="shared" si="66"/>
        <v>0</v>
      </c>
      <c r="R214" s="28">
        <f t="shared" si="66"/>
        <v>0</v>
      </c>
      <c r="S214" s="28">
        <f t="shared" si="66"/>
        <v>0</v>
      </c>
      <c r="T214" s="28">
        <f t="shared" si="66"/>
        <v>0</v>
      </c>
      <c r="U214" s="28">
        <f t="shared" si="66"/>
        <v>0</v>
      </c>
      <c r="V214" s="28">
        <f t="shared" si="66"/>
        <v>0</v>
      </c>
      <c r="W214" s="28">
        <f t="shared" si="66"/>
        <v>1</v>
      </c>
      <c r="X214" s="28">
        <f t="shared" si="67"/>
        <v>0</v>
      </c>
      <c r="Y214" s="28">
        <f t="shared" si="67"/>
        <v>0</v>
      </c>
      <c r="Z214" s="28">
        <f t="shared" si="67"/>
        <v>0</v>
      </c>
      <c r="AA214" s="28">
        <f t="shared" si="67"/>
        <v>0</v>
      </c>
      <c r="AB214" s="28">
        <f t="shared" si="67"/>
        <v>0</v>
      </c>
      <c r="AC214" s="28">
        <f t="shared" si="67"/>
        <v>0</v>
      </c>
      <c r="AD214" s="28">
        <f t="shared" si="67"/>
        <v>0</v>
      </c>
      <c r="AE214" s="28">
        <f t="shared" si="67"/>
        <v>0</v>
      </c>
      <c r="AF214" s="28">
        <f t="shared" si="67"/>
        <v>0</v>
      </c>
      <c r="AG214" s="28">
        <f t="shared" si="67"/>
        <v>0</v>
      </c>
      <c r="AH214" s="28">
        <f t="shared" si="69"/>
        <v>1</v>
      </c>
    </row>
    <row r="215" spans="1:34" ht="10.5" x14ac:dyDescent="0.15">
      <c r="A215" s="895" t="s">
        <v>633</v>
      </c>
      <c r="B215" s="895" t="s">
        <v>634</v>
      </c>
      <c r="C215" s="896"/>
      <c r="D215" s="896"/>
      <c r="E215" s="896">
        <v>13079889.980190704</v>
      </c>
      <c r="F215" s="896"/>
      <c r="G215" s="896"/>
      <c r="H215" s="896"/>
      <c r="I215" s="896"/>
      <c r="J215" s="896">
        <v>13079889.980190704</v>
      </c>
      <c r="K215" s="24">
        <f t="shared" si="68"/>
        <v>2019</v>
      </c>
      <c r="L215" s="66"/>
      <c r="M215" s="33">
        <f t="shared" si="70"/>
        <v>5261396.8340399992</v>
      </c>
      <c r="N215" s="28">
        <f t="shared" si="66"/>
        <v>0</v>
      </c>
      <c r="O215" s="28">
        <f t="shared" si="66"/>
        <v>0</v>
      </c>
      <c r="P215" s="28">
        <f t="shared" si="66"/>
        <v>0</v>
      </c>
      <c r="Q215" s="28">
        <f t="shared" si="66"/>
        <v>0</v>
      </c>
      <c r="R215" s="28">
        <f t="shared" si="66"/>
        <v>0</v>
      </c>
      <c r="S215" s="28">
        <f t="shared" si="66"/>
        <v>0</v>
      </c>
      <c r="T215" s="28">
        <f t="shared" si="66"/>
        <v>0</v>
      </c>
      <c r="U215" s="28">
        <f t="shared" si="66"/>
        <v>0</v>
      </c>
      <c r="V215" s="28">
        <f t="shared" si="66"/>
        <v>0</v>
      </c>
      <c r="W215" s="28">
        <f t="shared" si="66"/>
        <v>0.53950080701675884</v>
      </c>
      <c r="X215" s="28">
        <f t="shared" si="67"/>
        <v>0</v>
      </c>
      <c r="Y215" s="28">
        <f t="shared" si="67"/>
        <v>4.3465636144460681E-3</v>
      </c>
      <c r="Z215" s="28">
        <f t="shared" si="67"/>
        <v>0</v>
      </c>
      <c r="AA215" s="28">
        <f t="shared" si="67"/>
        <v>0</v>
      </c>
      <c r="AB215" s="28">
        <f t="shared" si="67"/>
        <v>0.45615262936879514</v>
      </c>
      <c r="AC215" s="28">
        <f t="shared" si="67"/>
        <v>0</v>
      </c>
      <c r="AD215" s="28">
        <f t="shared" si="67"/>
        <v>0</v>
      </c>
      <c r="AE215" s="28">
        <f t="shared" si="67"/>
        <v>0</v>
      </c>
      <c r="AF215" s="28">
        <f t="shared" si="67"/>
        <v>0</v>
      </c>
      <c r="AG215" s="28">
        <f t="shared" si="67"/>
        <v>0</v>
      </c>
      <c r="AH215" s="28">
        <f t="shared" si="69"/>
        <v>1</v>
      </c>
    </row>
    <row r="216" spans="1:34" ht="10.5" x14ac:dyDescent="0.15">
      <c r="A216" s="895" t="s">
        <v>635</v>
      </c>
      <c r="B216" s="895" t="s">
        <v>636</v>
      </c>
      <c r="C216" s="896"/>
      <c r="D216" s="896"/>
      <c r="E216" s="896">
        <v>937807.84653152747</v>
      </c>
      <c r="F216" s="896"/>
      <c r="G216" s="896"/>
      <c r="H216" s="896"/>
      <c r="I216" s="896"/>
      <c r="J216" s="896">
        <v>937807.84653152747</v>
      </c>
      <c r="K216" s="24">
        <f t="shared" si="68"/>
        <v>2019</v>
      </c>
      <c r="L216" s="66"/>
      <c r="M216" s="33">
        <f t="shared" si="70"/>
        <v>880087.2</v>
      </c>
      <c r="N216" s="28">
        <f t="shared" si="66"/>
        <v>0</v>
      </c>
      <c r="O216" s="28">
        <f t="shared" si="66"/>
        <v>0</v>
      </c>
      <c r="P216" s="28">
        <f t="shared" si="66"/>
        <v>0</v>
      </c>
      <c r="Q216" s="28">
        <f t="shared" si="66"/>
        <v>0</v>
      </c>
      <c r="R216" s="28">
        <f t="shared" si="66"/>
        <v>0</v>
      </c>
      <c r="S216" s="28">
        <f t="shared" si="66"/>
        <v>0</v>
      </c>
      <c r="T216" s="28">
        <f t="shared" si="66"/>
        <v>0</v>
      </c>
      <c r="U216" s="28">
        <f t="shared" si="66"/>
        <v>0</v>
      </c>
      <c r="V216" s="28">
        <f t="shared" si="66"/>
        <v>0</v>
      </c>
      <c r="W216" s="28">
        <f t="shared" si="66"/>
        <v>0.80302042797577333</v>
      </c>
      <c r="X216" s="28">
        <f t="shared" si="67"/>
        <v>0</v>
      </c>
      <c r="Y216" s="28">
        <f t="shared" si="67"/>
        <v>0</v>
      </c>
      <c r="Z216" s="28">
        <f t="shared" si="67"/>
        <v>0</v>
      </c>
      <c r="AA216" s="28">
        <f t="shared" si="67"/>
        <v>0</v>
      </c>
      <c r="AB216" s="28">
        <f t="shared" si="67"/>
        <v>3.7904425834167359E-2</v>
      </c>
      <c r="AC216" s="28">
        <f t="shared" si="67"/>
        <v>0.15907514619005939</v>
      </c>
      <c r="AD216" s="28">
        <f t="shared" si="67"/>
        <v>0</v>
      </c>
      <c r="AE216" s="28">
        <f t="shared" si="67"/>
        <v>0</v>
      </c>
      <c r="AF216" s="28">
        <f t="shared" si="67"/>
        <v>0</v>
      </c>
      <c r="AG216" s="28">
        <f t="shared" si="67"/>
        <v>0</v>
      </c>
      <c r="AH216" s="28">
        <f t="shared" si="69"/>
        <v>1</v>
      </c>
    </row>
    <row r="217" spans="1:34" ht="10.5" x14ac:dyDescent="0.15">
      <c r="A217" s="895" t="s">
        <v>2294</v>
      </c>
      <c r="B217" s="895" t="s">
        <v>2295</v>
      </c>
      <c r="C217" s="896"/>
      <c r="D217" s="896">
        <v>6040172.519720492</v>
      </c>
      <c r="E217" s="896"/>
      <c r="F217" s="896"/>
      <c r="G217" s="896"/>
      <c r="H217" s="896"/>
      <c r="I217" s="896"/>
      <c r="J217" s="896">
        <v>6040172.519720492</v>
      </c>
      <c r="K217" s="24">
        <f t="shared" si="68"/>
        <v>2018</v>
      </c>
      <c r="L217" s="66"/>
      <c r="M217" s="33">
        <f t="shared" si="70"/>
        <v>16603181.20644086</v>
      </c>
      <c r="N217" s="28">
        <f t="shared" si="66"/>
        <v>0</v>
      </c>
      <c r="O217" s="28">
        <f t="shared" si="66"/>
        <v>3.4933059742490844E-4</v>
      </c>
      <c r="P217" s="28">
        <f t="shared" si="66"/>
        <v>5.7293188165107901E-3</v>
      </c>
      <c r="Q217" s="28">
        <f t="shared" si="66"/>
        <v>0</v>
      </c>
      <c r="R217" s="28">
        <f t="shared" si="66"/>
        <v>0</v>
      </c>
      <c r="S217" s="28">
        <f t="shared" si="66"/>
        <v>2.2887180190058198E-2</v>
      </c>
      <c r="T217" s="28">
        <f t="shared" si="66"/>
        <v>0</v>
      </c>
      <c r="U217" s="28">
        <f t="shared" si="66"/>
        <v>0</v>
      </c>
      <c r="V217" s="28">
        <f t="shared" si="66"/>
        <v>0</v>
      </c>
      <c r="W217" s="28">
        <f t="shared" si="66"/>
        <v>2.3922160084433781E-2</v>
      </c>
      <c r="X217" s="28">
        <f t="shared" si="67"/>
        <v>0</v>
      </c>
      <c r="Y217" s="28">
        <f t="shared" si="67"/>
        <v>5.1179790769362542E-2</v>
      </c>
      <c r="Z217" s="28">
        <f t="shared" si="67"/>
        <v>8.5224631487493471E-3</v>
      </c>
      <c r="AA217" s="28">
        <f t="shared" si="67"/>
        <v>0</v>
      </c>
      <c r="AB217" s="28">
        <f t="shared" si="67"/>
        <v>0.88194995932970033</v>
      </c>
      <c r="AC217" s="28">
        <f t="shared" si="67"/>
        <v>9.034413232917709E-4</v>
      </c>
      <c r="AD217" s="28">
        <f t="shared" si="67"/>
        <v>4.556355740468164E-3</v>
      </c>
      <c r="AE217" s="28">
        <f t="shared" si="67"/>
        <v>0</v>
      </c>
      <c r="AF217" s="28">
        <f t="shared" si="67"/>
        <v>0</v>
      </c>
      <c r="AG217" s="28">
        <f t="shared" si="67"/>
        <v>0</v>
      </c>
      <c r="AH217" s="28">
        <f t="shared" si="69"/>
        <v>0.99999999999999989</v>
      </c>
    </row>
    <row r="218" spans="1:34" ht="10.5" x14ac:dyDescent="0.15">
      <c r="A218" s="895" t="s">
        <v>637</v>
      </c>
      <c r="B218" s="895" t="s">
        <v>638</v>
      </c>
      <c r="C218" s="896"/>
      <c r="D218" s="896">
        <v>3494979.3841555333</v>
      </c>
      <c r="E218" s="896"/>
      <c r="F218" s="896"/>
      <c r="G218" s="896"/>
      <c r="H218" s="896"/>
      <c r="I218" s="896"/>
      <c r="J218" s="896">
        <v>3494979.3841555333</v>
      </c>
      <c r="K218" s="24">
        <f t="shared" si="68"/>
        <v>2018</v>
      </c>
      <c r="L218" s="66"/>
      <c r="M218" s="33">
        <f t="shared" si="70"/>
        <v>0</v>
      </c>
      <c r="N218" s="28">
        <f t="shared" si="66"/>
        <v>0</v>
      </c>
      <c r="O218" s="28">
        <f t="shared" si="66"/>
        <v>0</v>
      </c>
      <c r="P218" s="28">
        <f t="shared" si="66"/>
        <v>0</v>
      </c>
      <c r="Q218" s="28">
        <f t="shared" si="66"/>
        <v>0</v>
      </c>
      <c r="R218" s="28">
        <f t="shared" si="66"/>
        <v>0</v>
      </c>
      <c r="S218" s="28">
        <f t="shared" si="66"/>
        <v>0</v>
      </c>
      <c r="T218" s="28">
        <f t="shared" si="66"/>
        <v>0</v>
      </c>
      <c r="U218" s="28">
        <f t="shared" si="66"/>
        <v>0</v>
      </c>
      <c r="V218" s="28">
        <f t="shared" si="66"/>
        <v>0</v>
      </c>
      <c r="W218" s="28">
        <f t="shared" si="66"/>
        <v>1</v>
      </c>
      <c r="X218" s="28">
        <f t="shared" si="67"/>
        <v>0</v>
      </c>
      <c r="Y218" s="28">
        <f t="shared" si="67"/>
        <v>0</v>
      </c>
      <c r="Z218" s="28">
        <f t="shared" si="67"/>
        <v>0</v>
      </c>
      <c r="AA218" s="28">
        <f t="shared" si="67"/>
        <v>0</v>
      </c>
      <c r="AB218" s="28">
        <f t="shared" si="67"/>
        <v>0</v>
      </c>
      <c r="AC218" s="28">
        <f t="shared" si="67"/>
        <v>0</v>
      </c>
      <c r="AD218" s="28">
        <f t="shared" si="67"/>
        <v>0</v>
      </c>
      <c r="AE218" s="28">
        <f t="shared" si="67"/>
        <v>0</v>
      </c>
      <c r="AF218" s="28">
        <f t="shared" si="67"/>
        <v>0</v>
      </c>
      <c r="AG218" s="28">
        <f t="shared" si="67"/>
        <v>0</v>
      </c>
      <c r="AH218" s="28">
        <f t="shared" si="69"/>
        <v>1</v>
      </c>
    </row>
    <row r="219" spans="1:34" ht="10.5" x14ac:dyDescent="0.15">
      <c r="A219" s="895" t="s">
        <v>2391</v>
      </c>
      <c r="B219" s="895" t="s">
        <v>2392</v>
      </c>
      <c r="C219" s="896"/>
      <c r="D219" s="900">
        <v>286192.59286943782</v>
      </c>
      <c r="E219" s="896"/>
      <c r="F219" s="896"/>
      <c r="G219" s="896"/>
      <c r="H219" s="896"/>
      <c r="I219" s="896"/>
      <c r="J219" s="896">
        <v>286192.59286943782</v>
      </c>
      <c r="K219" s="24">
        <f t="shared" si="68"/>
        <v>2018</v>
      </c>
      <c r="L219" s="66"/>
      <c r="M219" s="33">
        <f t="shared" si="70"/>
        <v>0</v>
      </c>
      <c r="N219" s="28">
        <f t="shared" ref="N219:W228" si="71">IF($M219=0,VLOOKUP(MID($A219,4,5),ProjectSplits,N$2,FALSE),IF(ISNA(VLOOKUP(LEFT($A219,8),Estimates,N$1,FALSE)),VLOOKUP(MID($A219,4,5),ProjectSplits,N$2,FALSE),VLOOKUP(LEFT($A219,8),Estimates,N$1,FALSE)))</f>
        <v>0</v>
      </c>
      <c r="O219" s="28">
        <f t="shared" si="71"/>
        <v>0</v>
      </c>
      <c r="P219" s="28">
        <f t="shared" si="71"/>
        <v>0</v>
      </c>
      <c r="Q219" s="28">
        <f t="shared" si="71"/>
        <v>0</v>
      </c>
      <c r="R219" s="28">
        <f t="shared" si="71"/>
        <v>0</v>
      </c>
      <c r="S219" s="28">
        <f t="shared" si="71"/>
        <v>0</v>
      </c>
      <c r="T219" s="28">
        <f t="shared" si="71"/>
        <v>0</v>
      </c>
      <c r="U219" s="28">
        <f t="shared" si="71"/>
        <v>1</v>
      </c>
      <c r="V219" s="28">
        <f t="shared" si="71"/>
        <v>0</v>
      </c>
      <c r="W219" s="28">
        <f t="shared" si="71"/>
        <v>0</v>
      </c>
      <c r="X219" s="28">
        <f t="shared" ref="X219:AG228" si="72">IF($M219=0,VLOOKUP(MID($A219,4,5),ProjectSplits,X$2,FALSE),IF(ISNA(VLOOKUP(LEFT($A219,8),Estimates,X$1,FALSE)),VLOOKUP(MID($A219,4,5),ProjectSplits,X$2,FALSE),VLOOKUP(LEFT($A219,8),Estimates,X$1,FALSE)))</f>
        <v>0</v>
      </c>
      <c r="Y219" s="28">
        <f t="shared" si="72"/>
        <v>0</v>
      </c>
      <c r="Z219" s="28">
        <f t="shared" si="72"/>
        <v>0</v>
      </c>
      <c r="AA219" s="28">
        <f t="shared" si="72"/>
        <v>0</v>
      </c>
      <c r="AB219" s="28">
        <f t="shared" si="72"/>
        <v>0</v>
      </c>
      <c r="AC219" s="28">
        <f t="shared" si="72"/>
        <v>0</v>
      </c>
      <c r="AD219" s="28">
        <f t="shared" si="72"/>
        <v>0</v>
      </c>
      <c r="AE219" s="28">
        <f t="shared" si="72"/>
        <v>0</v>
      </c>
      <c r="AF219" s="28">
        <f t="shared" si="72"/>
        <v>0</v>
      </c>
      <c r="AG219" s="28">
        <f t="shared" si="72"/>
        <v>0</v>
      </c>
      <c r="AH219" s="28">
        <f t="shared" si="69"/>
        <v>1</v>
      </c>
    </row>
    <row r="220" spans="1:34" ht="10.5" x14ac:dyDescent="0.15">
      <c r="A220" s="895" t="s">
        <v>2393</v>
      </c>
      <c r="B220" s="895" t="s">
        <v>2394</v>
      </c>
      <c r="C220" s="896"/>
      <c r="D220" s="896">
        <v>851436.8734843008</v>
      </c>
      <c r="E220" s="896"/>
      <c r="F220" s="896"/>
      <c r="G220" s="896"/>
      <c r="H220" s="896"/>
      <c r="I220" s="896"/>
      <c r="J220" s="896">
        <v>851436.8734843008</v>
      </c>
      <c r="K220" s="24">
        <f t="shared" si="68"/>
        <v>2018</v>
      </c>
      <c r="L220" s="66"/>
      <c r="M220" s="33">
        <f t="shared" si="70"/>
        <v>0</v>
      </c>
      <c r="N220" s="28">
        <f t="shared" si="71"/>
        <v>0.5</v>
      </c>
      <c r="O220" s="28">
        <f t="shared" si="71"/>
        <v>0</v>
      </c>
      <c r="P220" s="28">
        <f t="shared" si="71"/>
        <v>0</v>
      </c>
      <c r="Q220" s="28">
        <f t="shared" si="71"/>
        <v>0</v>
      </c>
      <c r="R220" s="28">
        <f t="shared" si="71"/>
        <v>0</v>
      </c>
      <c r="S220" s="28">
        <f t="shared" si="71"/>
        <v>0</v>
      </c>
      <c r="T220" s="28">
        <f t="shared" si="71"/>
        <v>0</v>
      </c>
      <c r="U220" s="28">
        <f t="shared" si="71"/>
        <v>0.5</v>
      </c>
      <c r="V220" s="28">
        <f t="shared" si="71"/>
        <v>0</v>
      </c>
      <c r="W220" s="28">
        <f t="shared" si="71"/>
        <v>0</v>
      </c>
      <c r="X220" s="28">
        <f t="shared" si="72"/>
        <v>0</v>
      </c>
      <c r="Y220" s="28">
        <f t="shared" si="72"/>
        <v>0</v>
      </c>
      <c r="Z220" s="28">
        <f t="shared" si="72"/>
        <v>0</v>
      </c>
      <c r="AA220" s="28">
        <f t="shared" si="72"/>
        <v>0</v>
      </c>
      <c r="AB220" s="28">
        <f t="shared" si="72"/>
        <v>0</v>
      </c>
      <c r="AC220" s="28">
        <f t="shared" si="72"/>
        <v>0</v>
      </c>
      <c r="AD220" s="28">
        <f t="shared" si="72"/>
        <v>0</v>
      </c>
      <c r="AE220" s="28">
        <f t="shared" si="72"/>
        <v>0</v>
      </c>
      <c r="AF220" s="28">
        <f t="shared" si="72"/>
        <v>0</v>
      </c>
      <c r="AG220" s="28">
        <f t="shared" si="72"/>
        <v>0</v>
      </c>
      <c r="AH220" s="28">
        <f t="shared" si="69"/>
        <v>1</v>
      </c>
    </row>
    <row r="221" spans="1:34" ht="10.5" x14ac:dyDescent="0.15">
      <c r="A221" s="895" t="s">
        <v>2395</v>
      </c>
      <c r="B221" s="895" t="s">
        <v>2396</v>
      </c>
      <c r="C221" s="896"/>
      <c r="D221" s="896"/>
      <c r="E221" s="896"/>
      <c r="F221" s="896"/>
      <c r="G221" s="896"/>
      <c r="H221" s="896">
        <v>39273777.890525319</v>
      </c>
      <c r="I221" s="896"/>
      <c r="J221" s="896">
        <v>39273777.890525319</v>
      </c>
      <c r="K221" s="24">
        <f t="shared" si="68"/>
        <v>2022</v>
      </c>
      <c r="L221" s="66"/>
      <c r="M221" s="33">
        <f t="shared" si="70"/>
        <v>27344228.40151</v>
      </c>
      <c r="N221" s="28">
        <f t="shared" si="71"/>
        <v>0</v>
      </c>
      <c r="O221" s="28">
        <f t="shared" si="71"/>
        <v>0</v>
      </c>
      <c r="P221" s="28">
        <f t="shared" si="71"/>
        <v>0</v>
      </c>
      <c r="Q221" s="28">
        <f t="shared" si="71"/>
        <v>0</v>
      </c>
      <c r="R221" s="28">
        <f t="shared" si="71"/>
        <v>0</v>
      </c>
      <c r="S221" s="28">
        <f t="shared" si="71"/>
        <v>0</v>
      </c>
      <c r="T221" s="28">
        <f t="shared" si="71"/>
        <v>0</v>
      </c>
      <c r="U221" s="28">
        <f t="shared" si="71"/>
        <v>0</v>
      </c>
      <c r="V221" s="28">
        <f t="shared" si="71"/>
        <v>0</v>
      </c>
      <c r="W221" s="28">
        <f t="shared" si="71"/>
        <v>0</v>
      </c>
      <c r="X221" s="28">
        <f t="shared" si="72"/>
        <v>0</v>
      </c>
      <c r="Y221" s="28">
        <f t="shared" si="72"/>
        <v>0</v>
      </c>
      <c r="Z221" s="28">
        <f t="shared" si="72"/>
        <v>0</v>
      </c>
      <c r="AA221" s="28">
        <f t="shared" si="72"/>
        <v>0</v>
      </c>
      <c r="AB221" s="28">
        <f t="shared" si="72"/>
        <v>0</v>
      </c>
      <c r="AC221" s="28">
        <f t="shared" si="72"/>
        <v>0</v>
      </c>
      <c r="AD221" s="28">
        <f t="shared" si="72"/>
        <v>0</v>
      </c>
      <c r="AE221" s="28">
        <f t="shared" si="72"/>
        <v>0</v>
      </c>
      <c r="AF221" s="28">
        <f t="shared" si="72"/>
        <v>0</v>
      </c>
      <c r="AG221" s="28">
        <f t="shared" si="72"/>
        <v>1</v>
      </c>
      <c r="AH221" s="28">
        <f t="shared" si="69"/>
        <v>0</v>
      </c>
    </row>
    <row r="222" spans="1:34" ht="10.5" x14ac:dyDescent="0.15">
      <c r="A222" s="895" t="s">
        <v>2397</v>
      </c>
      <c r="B222" s="895" t="s">
        <v>2398</v>
      </c>
      <c r="C222" s="896"/>
      <c r="D222" s="896"/>
      <c r="E222" s="896"/>
      <c r="F222" s="896"/>
      <c r="G222" s="896"/>
      <c r="H222" s="896"/>
      <c r="I222" s="896">
        <v>43358747.928720303</v>
      </c>
      <c r="J222" s="896">
        <v>43358747.928720303</v>
      </c>
      <c r="K222" s="24">
        <f t="shared" si="68"/>
        <v>2023</v>
      </c>
      <c r="L222" s="66"/>
      <c r="M222" s="33">
        <f t="shared" si="70"/>
        <v>29930532.46751</v>
      </c>
      <c r="N222" s="28">
        <f t="shared" si="71"/>
        <v>0</v>
      </c>
      <c r="O222" s="28">
        <f t="shared" si="71"/>
        <v>0</v>
      </c>
      <c r="P222" s="28">
        <f t="shared" si="71"/>
        <v>0</v>
      </c>
      <c r="Q222" s="28">
        <f t="shared" si="71"/>
        <v>0</v>
      </c>
      <c r="R222" s="28">
        <f t="shared" si="71"/>
        <v>0</v>
      </c>
      <c r="S222" s="28">
        <f t="shared" si="71"/>
        <v>0</v>
      </c>
      <c r="T222" s="28">
        <f t="shared" si="71"/>
        <v>0</v>
      </c>
      <c r="U222" s="28">
        <f t="shared" si="71"/>
        <v>0</v>
      </c>
      <c r="V222" s="28">
        <f t="shared" si="71"/>
        <v>0</v>
      </c>
      <c r="W222" s="28">
        <f t="shared" si="71"/>
        <v>0</v>
      </c>
      <c r="X222" s="28">
        <f t="shared" si="72"/>
        <v>0</v>
      </c>
      <c r="Y222" s="28">
        <f t="shared" si="72"/>
        <v>0</v>
      </c>
      <c r="Z222" s="28">
        <f t="shared" si="72"/>
        <v>0</v>
      </c>
      <c r="AA222" s="28">
        <f t="shared" si="72"/>
        <v>0</v>
      </c>
      <c r="AB222" s="28">
        <f t="shared" si="72"/>
        <v>0</v>
      </c>
      <c r="AC222" s="28">
        <f t="shared" si="72"/>
        <v>0</v>
      </c>
      <c r="AD222" s="28">
        <f t="shared" si="72"/>
        <v>0</v>
      </c>
      <c r="AE222" s="28">
        <f t="shared" si="72"/>
        <v>0</v>
      </c>
      <c r="AF222" s="28">
        <f t="shared" si="72"/>
        <v>0</v>
      </c>
      <c r="AG222" s="28">
        <f t="shared" si="72"/>
        <v>1</v>
      </c>
      <c r="AH222" s="28">
        <f t="shared" si="69"/>
        <v>0</v>
      </c>
    </row>
    <row r="223" spans="1:34" ht="10.5" x14ac:dyDescent="0.15">
      <c r="A223" s="895" t="s">
        <v>1097</v>
      </c>
      <c r="B223" s="895" t="s">
        <v>2401</v>
      </c>
      <c r="C223" s="896">
        <v>185471.46</v>
      </c>
      <c r="D223" s="896"/>
      <c r="E223" s="896"/>
      <c r="F223" s="896"/>
      <c r="G223" s="896"/>
      <c r="H223" s="896"/>
      <c r="I223" s="896"/>
      <c r="J223" s="896">
        <v>185471.46</v>
      </c>
      <c r="K223" s="24">
        <f t="shared" si="68"/>
        <v>2017</v>
      </c>
      <c r="L223" s="66"/>
      <c r="M223" s="33">
        <f>IF(K223=2017,0,IF(ISNA(VLOOKUP(LEFT($A223,8),Estimates,72,FALSE)),0,VLOOKUP(LEFT($A223,8),Estimates,72,FALSE)))</f>
        <v>0</v>
      </c>
      <c r="N223" s="28">
        <f t="shared" si="71"/>
        <v>0</v>
      </c>
      <c r="O223" s="28">
        <f t="shared" si="71"/>
        <v>0</v>
      </c>
      <c r="P223" s="28">
        <f t="shared" si="71"/>
        <v>0</v>
      </c>
      <c r="Q223" s="28">
        <f t="shared" si="71"/>
        <v>0</v>
      </c>
      <c r="R223" s="28">
        <f t="shared" si="71"/>
        <v>0</v>
      </c>
      <c r="S223" s="28">
        <f t="shared" si="71"/>
        <v>0</v>
      </c>
      <c r="T223" s="28">
        <f t="shared" si="71"/>
        <v>0</v>
      </c>
      <c r="U223" s="28">
        <f t="shared" si="71"/>
        <v>1</v>
      </c>
      <c r="V223" s="28">
        <f t="shared" si="71"/>
        <v>0</v>
      </c>
      <c r="W223" s="28">
        <f t="shared" si="71"/>
        <v>0</v>
      </c>
      <c r="X223" s="28">
        <f t="shared" si="72"/>
        <v>0</v>
      </c>
      <c r="Y223" s="28">
        <f t="shared" si="72"/>
        <v>0</v>
      </c>
      <c r="Z223" s="28">
        <f t="shared" si="72"/>
        <v>0</v>
      </c>
      <c r="AA223" s="28">
        <f t="shared" si="72"/>
        <v>0</v>
      </c>
      <c r="AB223" s="28">
        <f t="shared" si="72"/>
        <v>0</v>
      </c>
      <c r="AC223" s="28">
        <f t="shared" si="72"/>
        <v>0</v>
      </c>
      <c r="AD223" s="28">
        <f t="shared" si="72"/>
        <v>0</v>
      </c>
      <c r="AE223" s="28">
        <f t="shared" si="72"/>
        <v>0</v>
      </c>
      <c r="AF223" s="28">
        <f t="shared" si="72"/>
        <v>0</v>
      </c>
      <c r="AG223" s="28">
        <f t="shared" si="72"/>
        <v>0</v>
      </c>
      <c r="AH223" s="28">
        <f t="shared" si="69"/>
        <v>1</v>
      </c>
    </row>
    <row r="224" spans="1:34" ht="10.5" x14ac:dyDescent="0.15">
      <c r="A224" s="895" t="s">
        <v>2411</v>
      </c>
      <c r="B224" s="895" t="s">
        <v>2296</v>
      </c>
      <c r="C224" s="896"/>
      <c r="D224" s="896"/>
      <c r="E224" s="896">
        <v>138269.70333076845</v>
      </c>
      <c r="F224" s="896"/>
      <c r="G224" s="896"/>
      <c r="H224" s="896"/>
      <c r="I224" s="896"/>
      <c r="J224" s="896">
        <v>138269.70333076845</v>
      </c>
      <c r="K224" s="24">
        <f t="shared" si="68"/>
        <v>2019</v>
      </c>
      <c r="L224" s="66"/>
      <c r="M224" s="33">
        <f t="shared" ref="M224:M232" si="73">IF(ISNA(VLOOKUP(LEFT($A224,8),Estimates,72,FALSE)),0,VLOOKUP(LEFT($A224,8),Estimates,72,FALSE))</f>
        <v>24999.999999999996</v>
      </c>
      <c r="N224" s="28">
        <f t="shared" si="71"/>
        <v>0</v>
      </c>
      <c r="O224" s="28">
        <f t="shared" si="71"/>
        <v>0</v>
      </c>
      <c r="P224" s="28">
        <f t="shared" si="71"/>
        <v>0</v>
      </c>
      <c r="Q224" s="28">
        <f t="shared" si="71"/>
        <v>0</v>
      </c>
      <c r="R224" s="28">
        <f t="shared" si="71"/>
        <v>0</v>
      </c>
      <c r="S224" s="28">
        <f t="shared" si="71"/>
        <v>0</v>
      </c>
      <c r="T224" s="28">
        <f t="shared" si="71"/>
        <v>0</v>
      </c>
      <c r="U224" s="28">
        <f t="shared" si="71"/>
        <v>0</v>
      </c>
      <c r="V224" s="28">
        <f t="shared" si="71"/>
        <v>0</v>
      </c>
      <c r="W224" s="28">
        <f t="shared" si="71"/>
        <v>0</v>
      </c>
      <c r="X224" s="28">
        <f t="shared" si="72"/>
        <v>0</v>
      </c>
      <c r="Y224" s="28">
        <f t="shared" si="72"/>
        <v>0</v>
      </c>
      <c r="Z224" s="28">
        <f t="shared" si="72"/>
        <v>0</v>
      </c>
      <c r="AA224" s="28">
        <f t="shared" si="72"/>
        <v>0</v>
      </c>
      <c r="AB224" s="28">
        <f t="shared" si="72"/>
        <v>0</v>
      </c>
      <c r="AC224" s="28">
        <f t="shared" si="72"/>
        <v>1</v>
      </c>
      <c r="AD224" s="28">
        <f t="shared" si="72"/>
        <v>0</v>
      </c>
      <c r="AE224" s="28">
        <f t="shared" si="72"/>
        <v>0</v>
      </c>
      <c r="AF224" s="28">
        <f t="shared" si="72"/>
        <v>0</v>
      </c>
      <c r="AG224" s="28">
        <f t="shared" si="72"/>
        <v>0</v>
      </c>
      <c r="AH224" s="28">
        <f t="shared" si="69"/>
        <v>1</v>
      </c>
    </row>
    <row r="225" spans="1:34" ht="10.5" x14ac:dyDescent="0.15">
      <c r="A225" s="895" t="s">
        <v>2416</v>
      </c>
      <c r="B225" s="895" t="s">
        <v>2417</v>
      </c>
      <c r="C225" s="896"/>
      <c r="D225" s="896">
        <v>26996.851188550958</v>
      </c>
      <c r="E225" s="896"/>
      <c r="F225" s="896"/>
      <c r="G225" s="896"/>
      <c r="H225" s="896"/>
      <c r="I225" s="896"/>
      <c r="J225" s="896">
        <v>26996.851188550958</v>
      </c>
      <c r="K225" s="24">
        <f t="shared" si="68"/>
        <v>2018</v>
      </c>
      <c r="L225" s="66"/>
      <c r="M225" s="33">
        <f t="shared" si="73"/>
        <v>334426.19891999988</v>
      </c>
      <c r="N225" s="28">
        <f t="shared" si="71"/>
        <v>0</v>
      </c>
      <c r="O225" s="28">
        <f t="shared" si="71"/>
        <v>0</v>
      </c>
      <c r="P225" s="28">
        <f t="shared" si="71"/>
        <v>0</v>
      </c>
      <c r="Q225" s="28">
        <f t="shared" si="71"/>
        <v>0</v>
      </c>
      <c r="R225" s="28">
        <f t="shared" si="71"/>
        <v>0</v>
      </c>
      <c r="S225" s="28">
        <f t="shared" si="71"/>
        <v>0</v>
      </c>
      <c r="T225" s="28">
        <f t="shared" si="71"/>
        <v>0</v>
      </c>
      <c r="U225" s="28">
        <f t="shared" si="71"/>
        <v>0</v>
      </c>
      <c r="V225" s="28">
        <f t="shared" si="71"/>
        <v>0</v>
      </c>
      <c r="W225" s="28">
        <f t="shared" si="71"/>
        <v>0.93649720330350006</v>
      </c>
      <c r="X225" s="28">
        <f t="shared" si="72"/>
        <v>0</v>
      </c>
      <c r="Y225" s="28">
        <f t="shared" si="72"/>
        <v>6.3502796696499927E-2</v>
      </c>
      <c r="Z225" s="28">
        <f t="shared" si="72"/>
        <v>0</v>
      </c>
      <c r="AA225" s="28">
        <f t="shared" si="72"/>
        <v>0</v>
      </c>
      <c r="AB225" s="28">
        <f t="shared" si="72"/>
        <v>0</v>
      </c>
      <c r="AC225" s="28">
        <f t="shared" si="72"/>
        <v>0</v>
      </c>
      <c r="AD225" s="28">
        <f t="shared" si="72"/>
        <v>0</v>
      </c>
      <c r="AE225" s="28">
        <f t="shared" si="72"/>
        <v>0</v>
      </c>
      <c r="AF225" s="28">
        <f t="shared" si="72"/>
        <v>0</v>
      </c>
      <c r="AG225" s="28">
        <f t="shared" si="72"/>
        <v>0</v>
      </c>
      <c r="AH225" s="28">
        <f t="shared" si="69"/>
        <v>1</v>
      </c>
    </row>
    <row r="226" spans="1:34" ht="10.5" x14ac:dyDescent="0.15">
      <c r="A226" s="895" t="s">
        <v>2419</v>
      </c>
      <c r="B226" s="895" t="s">
        <v>2420</v>
      </c>
      <c r="C226" s="896"/>
      <c r="D226" s="896"/>
      <c r="E226" s="896"/>
      <c r="F226" s="896"/>
      <c r="G226" s="896"/>
      <c r="H226" s="896"/>
      <c r="I226" s="896">
        <v>2888956.4547685357</v>
      </c>
      <c r="J226" s="896">
        <v>2888956.4547685357</v>
      </c>
      <c r="K226" s="24">
        <f t="shared" si="68"/>
        <v>2023</v>
      </c>
      <c r="L226" s="66"/>
      <c r="M226" s="33">
        <f t="shared" si="73"/>
        <v>1459312.3068159986</v>
      </c>
      <c r="N226" s="28">
        <f t="shared" si="71"/>
        <v>0</v>
      </c>
      <c r="O226" s="28">
        <f t="shared" si="71"/>
        <v>0</v>
      </c>
      <c r="P226" s="28">
        <f t="shared" si="71"/>
        <v>0</v>
      </c>
      <c r="Q226" s="28">
        <f t="shared" si="71"/>
        <v>0</v>
      </c>
      <c r="R226" s="28">
        <f t="shared" si="71"/>
        <v>0</v>
      </c>
      <c r="S226" s="28">
        <f t="shared" si="71"/>
        <v>0</v>
      </c>
      <c r="T226" s="28">
        <f t="shared" si="71"/>
        <v>0</v>
      </c>
      <c r="U226" s="28">
        <f t="shared" si="71"/>
        <v>0</v>
      </c>
      <c r="V226" s="28">
        <f t="shared" si="71"/>
        <v>0</v>
      </c>
      <c r="W226" s="28">
        <f t="shared" si="71"/>
        <v>1</v>
      </c>
      <c r="X226" s="28">
        <f t="shared" si="72"/>
        <v>0</v>
      </c>
      <c r="Y226" s="28">
        <f t="shared" si="72"/>
        <v>0</v>
      </c>
      <c r="Z226" s="28">
        <f t="shared" si="72"/>
        <v>0</v>
      </c>
      <c r="AA226" s="28">
        <f t="shared" si="72"/>
        <v>0</v>
      </c>
      <c r="AB226" s="28">
        <f t="shared" si="72"/>
        <v>0</v>
      </c>
      <c r="AC226" s="28">
        <f t="shared" si="72"/>
        <v>0</v>
      </c>
      <c r="AD226" s="28">
        <f t="shared" si="72"/>
        <v>0</v>
      </c>
      <c r="AE226" s="28">
        <f t="shared" si="72"/>
        <v>0</v>
      </c>
      <c r="AF226" s="28">
        <f t="shared" si="72"/>
        <v>0</v>
      </c>
      <c r="AG226" s="28">
        <f t="shared" si="72"/>
        <v>0</v>
      </c>
      <c r="AH226" s="28">
        <f t="shared" si="69"/>
        <v>1</v>
      </c>
    </row>
    <row r="227" spans="1:34" ht="10.5" x14ac:dyDescent="0.15">
      <c r="A227" s="895" t="s">
        <v>2421</v>
      </c>
      <c r="B227" s="895" t="s">
        <v>2422</v>
      </c>
      <c r="C227" s="896"/>
      <c r="D227" s="896">
        <v>1996018.2334461315</v>
      </c>
      <c r="E227" s="896"/>
      <c r="F227" s="896"/>
      <c r="G227" s="896"/>
      <c r="H227" s="896"/>
      <c r="I227" s="896"/>
      <c r="J227" s="896">
        <v>1996018.2334461315</v>
      </c>
      <c r="K227" s="24">
        <f t="shared" si="68"/>
        <v>2018</v>
      </c>
      <c r="L227" s="66"/>
      <c r="M227" s="33">
        <f t="shared" si="73"/>
        <v>3398556.7399999956</v>
      </c>
      <c r="N227" s="28">
        <f t="shared" si="71"/>
        <v>0</v>
      </c>
      <c r="O227" s="28">
        <f t="shared" si="71"/>
        <v>0</v>
      </c>
      <c r="P227" s="28">
        <f t="shared" si="71"/>
        <v>0</v>
      </c>
      <c r="Q227" s="28">
        <f t="shared" si="71"/>
        <v>0</v>
      </c>
      <c r="R227" s="28">
        <f t="shared" si="71"/>
        <v>0</v>
      </c>
      <c r="S227" s="28">
        <f t="shared" si="71"/>
        <v>0</v>
      </c>
      <c r="T227" s="28">
        <f t="shared" si="71"/>
        <v>0</v>
      </c>
      <c r="U227" s="28">
        <f t="shared" si="71"/>
        <v>1</v>
      </c>
      <c r="V227" s="28">
        <f t="shared" si="71"/>
        <v>0</v>
      </c>
      <c r="W227" s="28">
        <f t="shared" si="71"/>
        <v>0</v>
      </c>
      <c r="X227" s="28">
        <f t="shared" si="72"/>
        <v>0</v>
      </c>
      <c r="Y227" s="28">
        <f t="shared" si="72"/>
        <v>0</v>
      </c>
      <c r="Z227" s="28">
        <f t="shared" si="72"/>
        <v>0</v>
      </c>
      <c r="AA227" s="28">
        <f t="shared" si="72"/>
        <v>0</v>
      </c>
      <c r="AB227" s="28">
        <f t="shared" si="72"/>
        <v>0</v>
      </c>
      <c r="AC227" s="28">
        <f t="shared" si="72"/>
        <v>0</v>
      </c>
      <c r="AD227" s="28">
        <f t="shared" si="72"/>
        <v>0</v>
      </c>
      <c r="AE227" s="28">
        <f t="shared" si="72"/>
        <v>0</v>
      </c>
      <c r="AF227" s="28">
        <f t="shared" si="72"/>
        <v>0</v>
      </c>
      <c r="AG227" s="28">
        <f t="shared" si="72"/>
        <v>0</v>
      </c>
      <c r="AH227" s="28">
        <f t="shared" si="69"/>
        <v>1</v>
      </c>
    </row>
    <row r="228" spans="1:34" ht="10.5" x14ac:dyDescent="0.15">
      <c r="A228" s="895" t="s">
        <v>2423</v>
      </c>
      <c r="B228" s="895" t="s">
        <v>2424</v>
      </c>
      <c r="C228" s="896"/>
      <c r="D228" s="896">
        <v>768642.48490357504</v>
      </c>
      <c r="E228" s="896"/>
      <c r="F228" s="896"/>
      <c r="G228" s="896"/>
      <c r="H228" s="896"/>
      <c r="I228" s="896"/>
      <c r="J228" s="896">
        <v>768642.48490357504</v>
      </c>
      <c r="K228" s="24">
        <f t="shared" si="68"/>
        <v>2018</v>
      </c>
      <c r="L228" s="66"/>
      <c r="M228" s="33">
        <f t="shared" si="73"/>
        <v>0</v>
      </c>
      <c r="N228" s="28">
        <f t="shared" si="71"/>
        <v>0</v>
      </c>
      <c r="O228" s="28">
        <f t="shared" si="71"/>
        <v>0</v>
      </c>
      <c r="P228" s="28">
        <f t="shared" si="71"/>
        <v>0</v>
      </c>
      <c r="Q228" s="28">
        <f t="shared" si="71"/>
        <v>0</v>
      </c>
      <c r="R228" s="28">
        <f t="shared" si="71"/>
        <v>0</v>
      </c>
      <c r="S228" s="28">
        <f t="shared" si="71"/>
        <v>0</v>
      </c>
      <c r="T228" s="28">
        <f t="shared" si="71"/>
        <v>0</v>
      </c>
      <c r="U228" s="28">
        <f t="shared" si="71"/>
        <v>1</v>
      </c>
      <c r="V228" s="28">
        <f t="shared" si="71"/>
        <v>0</v>
      </c>
      <c r="W228" s="28">
        <f t="shared" si="71"/>
        <v>0</v>
      </c>
      <c r="X228" s="28">
        <f t="shared" si="72"/>
        <v>0</v>
      </c>
      <c r="Y228" s="28">
        <f t="shared" si="72"/>
        <v>0</v>
      </c>
      <c r="Z228" s="28">
        <f t="shared" si="72"/>
        <v>0</v>
      </c>
      <c r="AA228" s="28">
        <f t="shared" si="72"/>
        <v>0</v>
      </c>
      <c r="AB228" s="28">
        <f t="shared" si="72"/>
        <v>0</v>
      </c>
      <c r="AC228" s="28">
        <f t="shared" si="72"/>
        <v>0</v>
      </c>
      <c r="AD228" s="28">
        <f t="shared" si="72"/>
        <v>0</v>
      </c>
      <c r="AE228" s="28">
        <f t="shared" si="72"/>
        <v>0</v>
      </c>
      <c r="AF228" s="28">
        <f t="shared" si="72"/>
        <v>0</v>
      </c>
      <c r="AG228" s="28">
        <f t="shared" si="72"/>
        <v>0</v>
      </c>
      <c r="AH228" s="28">
        <f t="shared" si="69"/>
        <v>1</v>
      </c>
    </row>
    <row r="229" spans="1:34" ht="10.5" x14ac:dyDescent="0.15">
      <c r="A229" s="905" t="s">
        <v>2425</v>
      </c>
      <c r="B229" s="905" t="s">
        <v>2426</v>
      </c>
      <c r="C229" s="899"/>
      <c r="D229" s="899"/>
      <c r="E229" s="899">
        <v>2762127.6030657641</v>
      </c>
      <c r="F229" s="899"/>
      <c r="G229" s="899"/>
      <c r="H229" s="899"/>
      <c r="I229" s="899"/>
      <c r="J229" s="899">
        <v>2762127.6030657641</v>
      </c>
      <c r="K229" s="24">
        <f t="shared" si="68"/>
        <v>2019</v>
      </c>
      <c r="L229" s="66"/>
      <c r="M229" s="33">
        <f t="shared" si="73"/>
        <v>1999024.1811125001</v>
      </c>
      <c r="N229" s="28">
        <f t="shared" ref="N229:W238" si="74">IF($M229=0,VLOOKUP(MID($A229,4,5),ProjectSplits,N$2,FALSE),IF(ISNA(VLOOKUP(LEFT($A229,8),Estimates,N$1,FALSE)),VLOOKUP(MID($A229,4,5),ProjectSplits,N$2,FALSE),VLOOKUP(LEFT($A229,8),Estimates,N$1,FALSE)))</f>
        <v>0</v>
      </c>
      <c r="O229" s="28">
        <f t="shared" si="74"/>
        <v>0.56420380507469547</v>
      </c>
      <c r="P229" s="28">
        <f t="shared" si="74"/>
        <v>0.40690709966665639</v>
      </c>
      <c r="Q229" s="28">
        <f t="shared" si="74"/>
        <v>0</v>
      </c>
      <c r="R229" s="28">
        <f t="shared" si="74"/>
        <v>0</v>
      </c>
      <c r="S229" s="28">
        <f t="shared" si="74"/>
        <v>0</v>
      </c>
      <c r="T229" s="28">
        <f t="shared" si="74"/>
        <v>0</v>
      </c>
      <c r="U229" s="28">
        <f t="shared" si="74"/>
        <v>0</v>
      </c>
      <c r="V229" s="28">
        <f t="shared" si="74"/>
        <v>0</v>
      </c>
      <c r="W229" s="28">
        <f t="shared" si="74"/>
        <v>0</v>
      </c>
      <c r="X229" s="28">
        <f t="shared" ref="X229:AG238" si="75">IF($M229=0,VLOOKUP(MID($A229,4,5),ProjectSplits,X$2,FALSE),IF(ISNA(VLOOKUP(LEFT($A229,8),Estimates,X$1,FALSE)),VLOOKUP(MID($A229,4,5),ProjectSplits,X$2,FALSE),VLOOKUP(LEFT($A229,8),Estimates,X$1,FALSE)))</f>
        <v>0</v>
      </c>
      <c r="Y229" s="28">
        <f t="shared" si="75"/>
        <v>0</v>
      </c>
      <c r="Z229" s="28">
        <f t="shared" si="75"/>
        <v>2.8889095258648089E-2</v>
      </c>
      <c r="AA229" s="28">
        <f t="shared" si="75"/>
        <v>0</v>
      </c>
      <c r="AB229" s="28">
        <f t="shared" si="75"/>
        <v>0</v>
      </c>
      <c r="AC229" s="28">
        <f t="shared" si="75"/>
        <v>0</v>
      </c>
      <c r="AD229" s="28">
        <f t="shared" si="75"/>
        <v>0</v>
      </c>
      <c r="AE229" s="28">
        <f t="shared" si="75"/>
        <v>0</v>
      </c>
      <c r="AF229" s="28">
        <f t="shared" si="75"/>
        <v>0</v>
      </c>
      <c r="AG229" s="28">
        <f t="shared" si="75"/>
        <v>0</v>
      </c>
      <c r="AH229" s="28">
        <f t="shared" si="69"/>
        <v>1</v>
      </c>
    </row>
    <row r="230" spans="1:34" ht="10.5" x14ac:dyDescent="0.15">
      <c r="A230" s="904" t="s">
        <v>3136</v>
      </c>
      <c r="B230" s="904" t="s">
        <v>3137</v>
      </c>
      <c r="C230" s="902"/>
      <c r="D230" s="902"/>
      <c r="E230" s="902"/>
      <c r="F230" s="902">
        <v>292729.84672014345</v>
      </c>
      <c r="G230" s="902"/>
      <c r="H230" s="902"/>
      <c r="I230" s="902"/>
      <c r="J230" s="902">
        <v>292729.84672014345</v>
      </c>
      <c r="K230" s="24">
        <f t="shared" si="68"/>
        <v>2020</v>
      </c>
      <c r="L230" s="66"/>
      <c r="M230" s="33">
        <f t="shared" si="73"/>
        <v>1999024.1811125001</v>
      </c>
      <c r="N230" s="28">
        <f t="shared" si="74"/>
        <v>0</v>
      </c>
      <c r="O230" s="28">
        <f t="shared" si="74"/>
        <v>0.56420380507469547</v>
      </c>
      <c r="P230" s="28">
        <f t="shared" si="74"/>
        <v>0.40690709966665639</v>
      </c>
      <c r="Q230" s="28">
        <f t="shared" si="74"/>
        <v>0</v>
      </c>
      <c r="R230" s="28">
        <f t="shared" si="74"/>
        <v>0</v>
      </c>
      <c r="S230" s="28">
        <f t="shared" si="74"/>
        <v>0</v>
      </c>
      <c r="T230" s="28">
        <f t="shared" si="74"/>
        <v>0</v>
      </c>
      <c r="U230" s="28">
        <f t="shared" si="74"/>
        <v>0</v>
      </c>
      <c r="V230" s="28">
        <f t="shared" si="74"/>
        <v>0</v>
      </c>
      <c r="W230" s="28">
        <f t="shared" si="74"/>
        <v>0</v>
      </c>
      <c r="X230" s="28">
        <f t="shared" si="75"/>
        <v>0</v>
      </c>
      <c r="Y230" s="28">
        <f t="shared" si="75"/>
        <v>0</v>
      </c>
      <c r="Z230" s="28">
        <f t="shared" si="75"/>
        <v>2.8889095258648089E-2</v>
      </c>
      <c r="AA230" s="28">
        <f t="shared" si="75"/>
        <v>0</v>
      </c>
      <c r="AB230" s="28">
        <f t="shared" si="75"/>
        <v>0</v>
      </c>
      <c r="AC230" s="28">
        <f t="shared" si="75"/>
        <v>0</v>
      </c>
      <c r="AD230" s="28">
        <f t="shared" si="75"/>
        <v>0</v>
      </c>
      <c r="AE230" s="28">
        <f t="shared" si="75"/>
        <v>0</v>
      </c>
      <c r="AF230" s="28">
        <f t="shared" si="75"/>
        <v>0</v>
      </c>
      <c r="AG230" s="28">
        <f t="shared" si="75"/>
        <v>0</v>
      </c>
      <c r="AH230" s="28">
        <f t="shared" si="69"/>
        <v>1</v>
      </c>
    </row>
    <row r="231" spans="1:34" ht="10.5" x14ac:dyDescent="0.15">
      <c r="A231" s="904" t="s">
        <v>3138</v>
      </c>
      <c r="B231" s="904" t="s">
        <v>3137</v>
      </c>
      <c r="C231" s="902"/>
      <c r="D231" s="902"/>
      <c r="E231" s="902"/>
      <c r="F231" s="902"/>
      <c r="G231" s="902">
        <v>709545.31430132454</v>
      </c>
      <c r="H231" s="902"/>
      <c r="I231" s="902"/>
      <c r="J231" s="902">
        <v>709545.31430132454</v>
      </c>
      <c r="K231" s="24">
        <f t="shared" si="68"/>
        <v>2021</v>
      </c>
      <c r="L231" s="66"/>
      <c r="M231" s="33">
        <f t="shared" si="73"/>
        <v>1999024.1811125001</v>
      </c>
      <c r="N231" s="28">
        <f t="shared" si="74"/>
        <v>0</v>
      </c>
      <c r="O231" s="28">
        <f t="shared" si="74"/>
        <v>0.56420380507469547</v>
      </c>
      <c r="P231" s="28">
        <f t="shared" si="74"/>
        <v>0.40690709966665639</v>
      </c>
      <c r="Q231" s="28">
        <f t="shared" si="74"/>
        <v>0</v>
      </c>
      <c r="R231" s="28">
        <f t="shared" si="74"/>
        <v>0</v>
      </c>
      <c r="S231" s="28">
        <f t="shared" si="74"/>
        <v>0</v>
      </c>
      <c r="T231" s="28">
        <f t="shared" si="74"/>
        <v>0</v>
      </c>
      <c r="U231" s="28">
        <f t="shared" si="74"/>
        <v>0</v>
      </c>
      <c r="V231" s="28">
        <f t="shared" si="74"/>
        <v>0</v>
      </c>
      <c r="W231" s="28">
        <f t="shared" si="74"/>
        <v>0</v>
      </c>
      <c r="X231" s="28">
        <f t="shared" si="75"/>
        <v>0</v>
      </c>
      <c r="Y231" s="28">
        <f t="shared" si="75"/>
        <v>0</v>
      </c>
      <c r="Z231" s="28">
        <f t="shared" si="75"/>
        <v>2.8889095258648089E-2</v>
      </c>
      <c r="AA231" s="28">
        <f t="shared" si="75"/>
        <v>0</v>
      </c>
      <c r="AB231" s="28">
        <f t="shared" si="75"/>
        <v>0</v>
      </c>
      <c r="AC231" s="28">
        <f t="shared" si="75"/>
        <v>0</v>
      </c>
      <c r="AD231" s="28">
        <f t="shared" si="75"/>
        <v>0</v>
      </c>
      <c r="AE231" s="28">
        <f t="shared" si="75"/>
        <v>0</v>
      </c>
      <c r="AF231" s="28">
        <f t="shared" si="75"/>
        <v>0</v>
      </c>
      <c r="AG231" s="28">
        <f t="shared" si="75"/>
        <v>0</v>
      </c>
      <c r="AH231" s="28">
        <f t="shared" si="69"/>
        <v>1</v>
      </c>
    </row>
    <row r="232" spans="1:34" ht="10.5" x14ac:dyDescent="0.15">
      <c r="A232" s="895" t="s">
        <v>2429</v>
      </c>
      <c r="B232" s="895" t="s">
        <v>2430</v>
      </c>
      <c r="C232" s="896"/>
      <c r="D232" s="896"/>
      <c r="E232" s="896"/>
      <c r="F232" s="896"/>
      <c r="G232" s="896"/>
      <c r="H232" s="896">
        <v>4983404.785143815</v>
      </c>
      <c r="I232" s="896"/>
      <c r="J232" s="896">
        <v>4983404.785143815</v>
      </c>
      <c r="K232" s="24">
        <f t="shared" si="68"/>
        <v>2022</v>
      </c>
      <c r="L232" s="66"/>
      <c r="M232" s="33">
        <f t="shared" si="73"/>
        <v>3205211.0000000005</v>
      </c>
      <c r="N232" s="28">
        <f t="shared" si="74"/>
        <v>0</v>
      </c>
      <c r="O232" s="28">
        <f t="shared" si="74"/>
        <v>0</v>
      </c>
      <c r="P232" s="28">
        <f t="shared" si="74"/>
        <v>0</v>
      </c>
      <c r="Q232" s="28">
        <f t="shared" si="74"/>
        <v>0</v>
      </c>
      <c r="R232" s="28">
        <f t="shared" si="74"/>
        <v>0</v>
      </c>
      <c r="S232" s="28">
        <f t="shared" si="74"/>
        <v>0</v>
      </c>
      <c r="T232" s="28">
        <f t="shared" si="74"/>
        <v>0</v>
      </c>
      <c r="U232" s="28">
        <f t="shared" si="74"/>
        <v>0</v>
      </c>
      <c r="V232" s="28">
        <f t="shared" si="74"/>
        <v>0</v>
      </c>
      <c r="W232" s="28">
        <f t="shared" si="74"/>
        <v>4.4178058792385269E-3</v>
      </c>
      <c r="X232" s="28">
        <f t="shared" si="75"/>
        <v>0</v>
      </c>
      <c r="Y232" s="28">
        <f t="shared" si="75"/>
        <v>1.8719516437451386E-2</v>
      </c>
      <c r="Z232" s="28">
        <f t="shared" si="75"/>
        <v>0</v>
      </c>
      <c r="AA232" s="28">
        <f t="shared" si="75"/>
        <v>0</v>
      </c>
      <c r="AB232" s="28">
        <f t="shared" si="75"/>
        <v>0.97686267768331014</v>
      </c>
      <c r="AC232" s="28">
        <f t="shared" si="75"/>
        <v>0</v>
      </c>
      <c r="AD232" s="28">
        <f t="shared" si="75"/>
        <v>0</v>
      </c>
      <c r="AE232" s="28">
        <f t="shared" si="75"/>
        <v>0</v>
      </c>
      <c r="AF232" s="28">
        <f t="shared" si="75"/>
        <v>0</v>
      </c>
      <c r="AG232" s="28">
        <f t="shared" si="75"/>
        <v>0</v>
      </c>
      <c r="AH232" s="28">
        <f t="shared" si="69"/>
        <v>1</v>
      </c>
    </row>
    <row r="233" spans="1:34" ht="10.5" x14ac:dyDescent="0.15">
      <c r="A233" s="895" t="s">
        <v>2431</v>
      </c>
      <c r="B233" s="895" t="s">
        <v>2432</v>
      </c>
      <c r="C233" s="896">
        <v>53395.19</v>
      </c>
      <c r="D233" s="896"/>
      <c r="E233" s="896"/>
      <c r="F233" s="896"/>
      <c r="G233" s="896"/>
      <c r="H233" s="896"/>
      <c r="I233" s="896"/>
      <c r="J233" s="896">
        <v>53395.19</v>
      </c>
      <c r="K233" s="24">
        <f t="shared" si="68"/>
        <v>2017</v>
      </c>
      <c r="L233" s="66"/>
      <c r="M233" s="33">
        <f>IF(K233=2017,0,IF(ISNA(VLOOKUP(LEFT($A233,8),Estimates,72,FALSE)),0,VLOOKUP(LEFT($A233,8),Estimates,72,FALSE)))</f>
        <v>0</v>
      </c>
      <c r="N233" s="28">
        <f t="shared" si="74"/>
        <v>0</v>
      </c>
      <c r="O233" s="28">
        <f t="shared" si="74"/>
        <v>0</v>
      </c>
      <c r="P233" s="28">
        <f t="shared" si="74"/>
        <v>0</v>
      </c>
      <c r="Q233" s="28">
        <f t="shared" si="74"/>
        <v>0</v>
      </c>
      <c r="R233" s="28">
        <f t="shared" si="74"/>
        <v>0</v>
      </c>
      <c r="S233" s="28">
        <f t="shared" si="74"/>
        <v>0</v>
      </c>
      <c r="T233" s="28">
        <f t="shared" si="74"/>
        <v>0</v>
      </c>
      <c r="U233" s="28">
        <f t="shared" si="74"/>
        <v>1</v>
      </c>
      <c r="V233" s="28">
        <f t="shared" si="74"/>
        <v>0</v>
      </c>
      <c r="W233" s="28">
        <f t="shared" si="74"/>
        <v>0</v>
      </c>
      <c r="X233" s="28">
        <f t="shared" si="75"/>
        <v>0</v>
      </c>
      <c r="Y233" s="28">
        <f t="shared" si="75"/>
        <v>0</v>
      </c>
      <c r="Z233" s="28">
        <f t="shared" si="75"/>
        <v>0</v>
      </c>
      <c r="AA233" s="28">
        <f t="shared" si="75"/>
        <v>0</v>
      </c>
      <c r="AB233" s="28">
        <f t="shared" si="75"/>
        <v>0</v>
      </c>
      <c r="AC233" s="28">
        <f t="shared" si="75"/>
        <v>0</v>
      </c>
      <c r="AD233" s="28">
        <f t="shared" si="75"/>
        <v>0</v>
      </c>
      <c r="AE233" s="28">
        <f t="shared" si="75"/>
        <v>0</v>
      </c>
      <c r="AF233" s="28">
        <f t="shared" si="75"/>
        <v>0</v>
      </c>
      <c r="AG233" s="28">
        <f t="shared" si="75"/>
        <v>0</v>
      </c>
      <c r="AH233" s="28">
        <f t="shared" si="69"/>
        <v>1</v>
      </c>
    </row>
    <row r="234" spans="1:34" ht="10.5" x14ac:dyDescent="0.15">
      <c r="A234" s="895" t="s">
        <v>2435</v>
      </c>
      <c r="B234" s="895" t="s">
        <v>2436</v>
      </c>
      <c r="C234" s="896"/>
      <c r="D234" s="896">
        <v>582196.36723480106</v>
      </c>
      <c r="E234" s="896"/>
      <c r="F234" s="896"/>
      <c r="G234" s="896"/>
      <c r="H234" s="896"/>
      <c r="I234" s="896"/>
      <c r="J234" s="896">
        <v>582196.36723480106</v>
      </c>
      <c r="K234" s="24">
        <f t="shared" si="68"/>
        <v>2018</v>
      </c>
      <c r="L234" s="66"/>
      <c r="M234" s="33">
        <f t="shared" ref="M234:M261" si="76">IF(ISNA(VLOOKUP(LEFT($A234,8),Estimates,72,FALSE)),0,VLOOKUP(LEFT($A234,8),Estimates,72,FALSE))</f>
        <v>0</v>
      </c>
      <c r="N234" s="28">
        <f t="shared" si="74"/>
        <v>0</v>
      </c>
      <c r="O234" s="28">
        <f t="shared" si="74"/>
        <v>0</v>
      </c>
      <c r="P234" s="28">
        <f t="shared" si="74"/>
        <v>0</v>
      </c>
      <c r="Q234" s="28">
        <f t="shared" si="74"/>
        <v>0</v>
      </c>
      <c r="R234" s="28">
        <f t="shared" si="74"/>
        <v>0</v>
      </c>
      <c r="S234" s="28">
        <f t="shared" si="74"/>
        <v>0</v>
      </c>
      <c r="T234" s="28">
        <f t="shared" si="74"/>
        <v>0</v>
      </c>
      <c r="U234" s="28">
        <f t="shared" si="74"/>
        <v>0</v>
      </c>
      <c r="V234" s="28">
        <f t="shared" si="74"/>
        <v>0</v>
      </c>
      <c r="W234" s="28">
        <f t="shared" si="74"/>
        <v>0</v>
      </c>
      <c r="X234" s="28">
        <f t="shared" si="75"/>
        <v>0</v>
      </c>
      <c r="Y234" s="28">
        <f t="shared" si="75"/>
        <v>0</v>
      </c>
      <c r="Z234" s="28">
        <f t="shared" si="75"/>
        <v>0</v>
      </c>
      <c r="AA234" s="28">
        <f t="shared" si="75"/>
        <v>0</v>
      </c>
      <c r="AB234" s="28">
        <f t="shared" si="75"/>
        <v>1</v>
      </c>
      <c r="AC234" s="28">
        <f t="shared" si="75"/>
        <v>0</v>
      </c>
      <c r="AD234" s="28">
        <f t="shared" si="75"/>
        <v>0</v>
      </c>
      <c r="AE234" s="28">
        <f t="shared" si="75"/>
        <v>0</v>
      </c>
      <c r="AF234" s="28">
        <f t="shared" si="75"/>
        <v>0</v>
      </c>
      <c r="AG234" s="28">
        <f t="shared" si="75"/>
        <v>0</v>
      </c>
      <c r="AH234" s="28">
        <f t="shared" si="69"/>
        <v>1</v>
      </c>
    </row>
    <row r="235" spans="1:34" ht="10.5" x14ac:dyDescent="0.15">
      <c r="A235" s="895" t="s">
        <v>2437</v>
      </c>
      <c r="B235" s="895" t="s">
        <v>2438</v>
      </c>
      <c r="C235" s="896"/>
      <c r="D235" s="896">
        <v>5724561.4468944632</v>
      </c>
      <c r="E235" s="896"/>
      <c r="F235" s="896"/>
      <c r="G235" s="896"/>
      <c r="H235" s="896"/>
      <c r="I235" s="896"/>
      <c r="J235" s="896">
        <v>5724561.4468944632</v>
      </c>
      <c r="K235" s="24">
        <f t="shared" si="68"/>
        <v>2018</v>
      </c>
      <c r="L235" s="66"/>
      <c r="M235" s="33">
        <f t="shared" si="76"/>
        <v>0</v>
      </c>
      <c r="N235" s="28">
        <f t="shared" si="74"/>
        <v>1</v>
      </c>
      <c r="O235" s="28">
        <f t="shared" si="74"/>
        <v>0</v>
      </c>
      <c r="P235" s="28">
        <f t="shared" si="74"/>
        <v>0</v>
      </c>
      <c r="Q235" s="28">
        <f t="shared" si="74"/>
        <v>0</v>
      </c>
      <c r="R235" s="28">
        <f t="shared" si="74"/>
        <v>0</v>
      </c>
      <c r="S235" s="28">
        <f t="shared" si="74"/>
        <v>0</v>
      </c>
      <c r="T235" s="28">
        <f t="shared" si="74"/>
        <v>0</v>
      </c>
      <c r="U235" s="28">
        <f t="shared" si="74"/>
        <v>0</v>
      </c>
      <c r="V235" s="28">
        <f t="shared" si="74"/>
        <v>0</v>
      </c>
      <c r="W235" s="28">
        <f t="shared" si="74"/>
        <v>0</v>
      </c>
      <c r="X235" s="28">
        <f t="shared" si="75"/>
        <v>0</v>
      </c>
      <c r="Y235" s="28">
        <f t="shared" si="75"/>
        <v>0</v>
      </c>
      <c r="Z235" s="28">
        <f t="shared" si="75"/>
        <v>0</v>
      </c>
      <c r="AA235" s="28">
        <f t="shared" si="75"/>
        <v>0</v>
      </c>
      <c r="AB235" s="28">
        <f t="shared" si="75"/>
        <v>0</v>
      </c>
      <c r="AC235" s="28">
        <f t="shared" si="75"/>
        <v>0</v>
      </c>
      <c r="AD235" s="28">
        <f t="shared" si="75"/>
        <v>0</v>
      </c>
      <c r="AE235" s="28">
        <f t="shared" si="75"/>
        <v>0</v>
      </c>
      <c r="AF235" s="28">
        <f t="shared" si="75"/>
        <v>0</v>
      </c>
      <c r="AG235" s="28">
        <f t="shared" si="75"/>
        <v>0</v>
      </c>
      <c r="AH235" s="28">
        <f t="shared" si="69"/>
        <v>1</v>
      </c>
    </row>
    <row r="236" spans="1:34" ht="10.5" x14ac:dyDescent="0.15">
      <c r="A236" s="895" t="s">
        <v>2439</v>
      </c>
      <c r="B236" s="895" t="s">
        <v>2440</v>
      </c>
      <c r="C236" s="900"/>
      <c r="D236" s="900">
        <v>3001048.8402204313</v>
      </c>
      <c r="E236" s="900"/>
      <c r="F236" s="896"/>
      <c r="G236" s="896"/>
      <c r="H236" s="896"/>
      <c r="I236" s="896"/>
      <c r="J236" s="896">
        <v>3001048.8402204313</v>
      </c>
      <c r="K236" s="24">
        <f t="shared" si="68"/>
        <v>2018</v>
      </c>
      <c r="L236" s="66"/>
      <c r="M236" s="33">
        <f t="shared" si="76"/>
        <v>0</v>
      </c>
      <c r="N236" s="28">
        <f t="shared" si="74"/>
        <v>0</v>
      </c>
      <c r="O236" s="28">
        <f t="shared" si="74"/>
        <v>0</v>
      </c>
      <c r="P236" s="28">
        <f t="shared" si="74"/>
        <v>0</v>
      </c>
      <c r="Q236" s="28">
        <f t="shared" si="74"/>
        <v>0</v>
      </c>
      <c r="R236" s="28">
        <f t="shared" si="74"/>
        <v>0</v>
      </c>
      <c r="S236" s="28">
        <f t="shared" si="74"/>
        <v>0</v>
      </c>
      <c r="T236" s="28">
        <f t="shared" si="74"/>
        <v>0</v>
      </c>
      <c r="U236" s="28">
        <f t="shared" si="74"/>
        <v>0</v>
      </c>
      <c r="V236" s="28">
        <f t="shared" si="74"/>
        <v>0</v>
      </c>
      <c r="W236" s="28">
        <f t="shared" si="74"/>
        <v>0</v>
      </c>
      <c r="X236" s="28">
        <f t="shared" si="75"/>
        <v>0</v>
      </c>
      <c r="Y236" s="28">
        <f t="shared" si="75"/>
        <v>0</v>
      </c>
      <c r="Z236" s="28">
        <f t="shared" si="75"/>
        <v>0</v>
      </c>
      <c r="AA236" s="28">
        <f t="shared" si="75"/>
        <v>0</v>
      </c>
      <c r="AB236" s="28">
        <f t="shared" si="75"/>
        <v>0</v>
      </c>
      <c r="AC236" s="28">
        <f t="shared" si="75"/>
        <v>1</v>
      </c>
      <c r="AD236" s="28">
        <f t="shared" si="75"/>
        <v>0</v>
      </c>
      <c r="AE236" s="28">
        <f t="shared" si="75"/>
        <v>0</v>
      </c>
      <c r="AF236" s="28">
        <f t="shared" si="75"/>
        <v>0</v>
      </c>
      <c r="AG236" s="28">
        <f t="shared" si="75"/>
        <v>0</v>
      </c>
      <c r="AH236" s="28">
        <f t="shared" si="69"/>
        <v>1</v>
      </c>
    </row>
    <row r="237" spans="1:34" ht="10.5" x14ac:dyDescent="0.15">
      <c r="A237" s="895" t="s">
        <v>2604</v>
      </c>
      <c r="B237" s="895" t="s">
        <v>2605</v>
      </c>
      <c r="C237" s="900"/>
      <c r="D237" s="900"/>
      <c r="E237" s="900">
        <v>3624784.8506622449</v>
      </c>
      <c r="F237" s="896"/>
      <c r="G237" s="896"/>
      <c r="H237" s="896"/>
      <c r="I237" s="896"/>
      <c r="J237" s="896">
        <v>3624784.8506622449</v>
      </c>
      <c r="K237" s="24">
        <f t="shared" si="68"/>
        <v>2019</v>
      </c>
      <c r="L237" s="66"/>
      <c r="M237" s="33">
        <f t="shared" si="76"/>
        <v>3954701.0815000013</v>
      </c>
      <c r="N237" s="28">
        <f t="shared" si="74"/>
        <v>0</v>
      </c>
      <c r="O237" s="28">
        <f t="shared" si="74"/>
        <v>0.99946898641471948</v>
      </c>
      <c r="P237" s="28">
        <f t="shared" si="74"/>
        <v>5.3101358528050353E-4</v>
      </c>
      <c r="Q237" s="28">
        <f t="shared" si="74"/>
        <v>0</v>
      </c>
      <c r="R237" s="28">
        <f t="shared" si="74"/>
        <v>0</v>
      </c>
      <c r="S237" s="28">
        <f t="shared" si="74"/>
        <v>0</v>
      </c>
      <c r="T237" s="28">
        <f t="shared" si="74"/>
        <v>0</v>
      </c>
      <c r="U237" s="28">
        <f t="shared" si="74"/>
        <v>0</v>
      </c>
      <c r="V237" s="28">
        <f t="shared" si="74"/>
        <v>0</v>
      </c>
      <c r="W237" s="28">
        <f t="shared" si="74"/>
        <v>0</v>
      </c>
      <c r="X237" s="28">
        <f t="shared" si="75"/>
        <v>0</v>
      </c>
      <c r="Y237" s="28">
        <f t="shared" si="75"/>
        <v>0</v>
      </c>
      <c r="Z237" s="28">
        <f t="shared" si="75"/>
        <v>0</v>
      </c>
      <c r="AA237" s="28">
        <f t="shared" si="75"/>
        <v>0</v>
      </c>
      <c r="AB237" s="28">
        <f t="shared" si="75"/>
        <v>0</v>
      </c>
      <c r="AC237" s="28">
        <f t="shared" si="75"/>
        <v>0</v>
      </c>
      <c r="AD237" s="28">
        <f t="shared" si="75"/>
        <v>0</v>
      </c>
      <c r="AE237" s="28">
        <f t="shared" si="75"/>
        <v>0</v>
      </c>
      <c r="AF237" s="28">
        <f t="shared" si="75"/>
        <v>0</v>
      </c>
      <c r="AG237" s="28">
        <f t="shared" si="75"/>
        <v>0</v>
      </c>
      <c r="AH237" s="28">
        <f t="shared" si="69"/>
        <v>1</v>
      </c>
    </row>
    <row r="238" spans="1:34" ht="10.5" x14ac:dyDescent="0.15">
      <c r="A238" s="895" t="s">
        <v>2606</v>
      </c>
      <c r="B238" s="895" t="s">
        <v>2607</v>
      </c>
      <c r="C238" s="900"/>
      <c r="D238" s="900"/>
      <c r="E238" s="900">
        <v>3879287.6316064815</v>
      </c>
      <c r="F238" s="896"/>
      <c r="G238" s="896"/>
      <c r="H238" s="896"/>
      <c r="I238" s="896"/>
      <c r="J238" s="896">
        <v>3879287.6316064815</v>
      </c>
      <c r="K238" s="24">
        <f t="shared" si="68"/>
        <v>2019</v>
      </c>
      <c r="L238" s="66"/>
      <c r="M238" s="33">
        <f t="shared" si="76"/>
        <v>5306398.7020000014</v>
      </c>
      <c r="N238" s="28">
        <f t="shared" si="74"/>
        <v>0</v>
      </c>
      <c r="O238" s="28">
        <f t="shared" si="74"/>
        <v>0.99960425137311892</v>
      </c>
      <c r="P238" s="28">
        <f t="shared" si="74"/>
        <v>3.9574862688107143E-4</v>
      </c>
      <c r="Q238" s="28">
        <f t="shared" si="74"/>
        <v>0</v>
      </c>
      <c r="R238" s="28">
        <f t="shared" si="74"/>
        <v>0</v>
      </c>
      <c r="S238" s="28">
        <f t="shared" si="74"/>
        <v>0</v>
      </c>
      <c r="T238" s="28">
        <f t="shared" si="74"/>
        <v>0</v>
      </c>
      <c r="U238" s="28">
        <f t="shared" si="74"/>
        <v>0</v>
      </c>
      <c r="V238" s="28">
        <f t="shared" si="74"/>
        <v>0</v>
      </c>
      <c r="W238" s="28">
        <f t="shared" si="74"/>
        <v>0</v>
      </c>
      <c r="X238" s="28">
        <f t="shared" si="75"/>
        <v>0</v>
      </c>
      <c r="Y238" s="28">
        <f t="shared" si="75"/>
        <v>0</v>
      </c>
      <c r="Z238" s="28">
        <f t="shared" si="75"/>
        <v>0</v>
      </c>
      <c r="AA238" s="28">
        <f t="shared" si="75"/>
        <v>0</v>
      </c>
      <c r="AB238" s="28">
        <f t="shared" si="75"/>
        <v>0</v>
      </c>
      <c r="AC238" s="28">
        <f t="shared" si="75"/>
        <v>0</v>
      </c>
      <c r="AD238" s="28">
        <f t="shared" si="75"/>
        <v>0</v>
      </c>
      <c r="AE238" s="28">
        <f t="shared" si="75"/>
        <v>0</v>
      </c>
      <c r="AF238" s="28">
        <f t="shared" si="75"/>
        <v>0</v>
      </c>
      <c r="AG238" s="28">
        <f t="shared" si="75"/>
        <v>0</v>
      </c>
      <c r="AH238" s="28">
        <f t="shared" si="69"/>
        <v>1</v>
      </c>
    </row>
    <row r="239" spans="1:34" ht="10.5" x14ac:dyDescent="0.15">
      <c r="A239" s="895" t="s">
        <v>2608</v>
      </c>
      <c r="B239" s="895" t="s">
        <v>2609</v>
      </c>
      <c r="C239" s="900"/>
      <c r="D239" s="900"/>
      <c r="E239" s="900">
        <v>433486.37706520269</v>
      </c>
      <c r="F239" s="896"/>
      <c r="G239" s="896"/>
      <c r="H239" s="896"/>
      <c r="I239" s="896"/>
      <c r="J239" s="896">
        <v>433486.37706520269</v>
      </c>
      <c r="K239" s="24">
        <f t="shared" si="68"/>
        <v>2019</v>
      </c>
      <c r="L239" s="66"/>
      <c r="M239" s="33">
        <f t="shared" si="76"/>
        <v>215159.99999999988</v>
      </c>
      <c r="N239" s="28">
        <f t="shared" ref="N239:W248" si="77">IF($M239=0,VLOOKUP(MID($A239,4,5),ProjectSplits,N$2,FALSE),IF(ISNA(VLOOKUP(LEFT($A239,8),Estimates,N$1,FALSE)),VLOOKUP(MID($A239,4,5),ProjectSplits,N$2,FALSE),VLOOKUP(LEFT($A239,8),Estimates,N$1,FALSE)))</f>
        <v>0</v>
      </c>
      <c r="O239" s="28">
        <f t="shared" si="77"/>
        <v>0</v>
      </c>
      <c r="P239" s="28">
        <f t="shared" si="77"/>
        <v>0</v>
      </c>
      <c r="Q239" s="28">
        <f t="shared" si="77"/>
        <v>0</v>
      </c>
      <c r="R239" s="28">
        <f t="shared" si="77"/>
        <v>0</v>
      </c>
      <c r="S239" s="28">
        <f t="shared" si="77"/>
        <v>0</v>
      </c>
      <c r="T239" s="28">
        <f t="shared" si="77"/>
        <v>0</v>
      </c>
      <c r="U239" s="28">
        <f t="shared" si="77"/>
        <v>0</v>
      </c>
      <c r="V239" s="28">
        <f t="shared" si="77"/>
        <v>0</v>
      </c>
      <c r="W239" s="28">
        <f t="shared" si="77"/>
        <v>6.5811489124372541E-2</v>
      </c>
      <c r="X239" s="28">
        <f t="shared" ref="X239:AG248" si="78">IF($M239=0,VLOOKUP(MID($A239,4,5),ProjectSplits,X$2,FALSE),IF(ISNA(VLOOKUP(LEFT($A239,8),Estimates,X$1,FALSE)),VLOOKUP(MID($A239,4,5),ProjectSplits,X$2,FALSE),VLOOKUP(LEFT($A239,8),Estimates,X$1,FALSE)))</f>
        <v>0</v>
      </c>
      <c r="Y239" s="28">
        <f t="shared" si="78"/>
        <v>0</v>
      </c>
      <c r="Z239" s="28">
        <f t="shared" si="78"/>
        <v>0</v>
      </c>
      <c r="AA239" s="28">
        <f t="shared" si="78"/>
        <v>0</v>
      </c>
      <c r="AB239" s="28">
        <f t="shared" si="78"/>
        <v>0.86447295036252081</v>
      </c>
      <c r="AC239" s="28">
        <f t="shared" si="78"/>
        <v>0</v>
      </c>
      <c r="AD239" s="28">
        <f t="shared" si="78"/>
        <v>6.9715560513106511E-2</v>
      </c>
      <c r="AE239" s="28">
        <f t="shared" si="78"/>
        <v>0</v>
      </c>
      <c r="AF239" s="28">
        <f t="shared" si="78"/>
        <v>0</v>
      </c>
      <c r="AG239" s="28">
        <f t="shared" si="78"/>
        <v>0</v>
      </c>
      <c r="AH239" s="28">
        <f t="shared" si="69"/>
        <v>0.99999999999999978</v>
      </c>
    </row>
    <row r="240" spans="1:34" ht="10.5" x14ac:dyDescent="0.15">
      <c r="A240" s="895" t="s">
        <v>2610</v>
      </c>
      <c r="B240" s="895" t="s">
        <v>2611</v>
      </c>
      <c r="C240" s="900"/>
      <c r="D240" s="900">
        <v>964004.65718294226</v>
      </c>
      <c r="E240" s="900"/>
      <c r="F240" s="896"/>
      <c r="G240" s="896"/>
      <c r="H240" s="896"/>
      <c r="I240" s="896"/>
      <c r="J240" s="896">
        <v>964004.65718294226</v>
      </c>
      <c r="K240" s="24">
        <f t="shared" si="68"/>
        <v>2018</v>
      </c>
      <c r="L240" s="66"/>
      <c r="M240" s="33">
        <f t="shared" si="76"/>
        <v>0</v>
      </c>
      <c r="N240" s="28">
        <f t="shared" si="77"/>
        <v>0</v>
      </c>
      <c r="O240" s="28">
        <f t="shared" si="77"/>
        <v>0</v>
      </c>
      <c r="P240" s="28">
        <f t="shared" si="77"/>
        <v>0</v>
      </c>
      <c r="Q240" s="28">
        <f t="shared" si="77"/>
        <v>0</v>
      </c>
      <c r="R240" s="28">
        <f t="shared" si="77"/>
        <v>0</v>
      </c>
      <c r="S240" s="28">
        <f t="shared" si="77"/>
        <v>0</v>
      </c>
      <c r="T240" s="28">
        <f t="shared" si="77"/>
        <v>0</v>
      </c>
      <c r="U240" s="28">
        <f t="shared" si="77"/>
        <v>0</v>
      </c>
      <c r="V240" s="28">
        <f t="shared" si="77"/>
        <v>0</v>
      </c>
      <c r="W240" s="28">
        <f t="shared" si="77"/>
        <v>0</v>
      </c>
      <c r="X240" s="28">
        <f t="shared" si="78"/>
        <v>0</v>
      </c>
      <c r="Y240" s="28">
        <f t="shared" si="78"/>
        <v>0</v>
      </c>
      <c r="Z240" s="28">
        <f t="shared" si="78"/>
        <v>0</v>
      </c>
      <c r="AA240" s="28">
        <f t="shared" si="78"/>
        <v>0</v>
      </c>
      <c r="AB240" s="28">
        <f t="shared" si="78"/>
        <v>1</v>
      </c>
      <c r="AC240" s="28">
        <f t="shared" si="78"/>
        <v>0</v>
      </c>
      <c r="AD240" s="28">
        <f t="shared" si="78"/>
        <v>0</v>
      </c>
      <c r="AE240" s="28">
        <f t="shared" si="78"/>
        <v>0</v>
      </c>
      <c r="AF240" s="28">
        <f t="shared" si="78"/>
        <v>0</v>
      </c>
      <c r="AG240" s="28">
        <f t="shared" si="78"/>
        <v>0</v>
      </c>
      <c r="AH240" s="28">
        <f t="shared" si="69"/>
        <v>1</v>
      </c>
    </row>
    <row r="241" spans="1:34" ht="10.5" x14ac:dyDescent="0.15">
      <c r="A241" s="904" t="s">
        <v>2612</v>
      </c>
      <c r="B241" s="904" t="s">
        <v>2613</v>
      </c>
      <c r="C241" s="902"/>
      <c r="D241" s="902">
        <v>1974500.2530369926</v>
      </c>
      <c r="E241" s="902"/>
      <c r="F241" s="902"/>
      <c r="G241" s="902"/>
      <c r="H241" s="902"/>
      <c r="I241" s="902"/>
      <c r="J241" s="902">
        <v>1974500.2530369926</v>
      </c>
      <c r="K241" s="24">
        <f t="shared" si="68"/>
        <v>2018</v>
      </c>
      <c r="L241" s="66"/>
      <c r="M241" s="33">
        <f t="shared" si="76"/>
        <v>1860929.1815088</v>
      </c>
      <c r="N241" s="28">
        <f t="shared" si="77"/>
        <v>0</v>
      </c>
      <c r="O241" s="28">
        <f t="shared" si="77"/>
        <v>5.373659620884777E-3</v>
      </c>
      <c r="P241" s="28">
        <f t="shared" si="77"/>
        <v>0</v>
      </c>
      <c r="Q241" s="28">
        <f t="shared" si="77"/>
        <v>0</v>
      </c>
      <c r="R241" s="28">
        <f t="shared" si="77"/>
        <v>0</v>
      </c>
      <c r="S241" s="28">
        <f t="shared" si="77"/>
        <v>0</v>
      </c>
      <c r="T241" s="28">
        <f t="shared" si="77"/>
        <v>0</v>
      </c>
      <c r="U241" s="28">
        <f t="shared" si="77"/>
        <v>0</v>
      </c>
      <c r="V241" s="28">
        <f t="shared" si="77"/>
        <v>0</v>
      </c>
      <c r="W241" s="28">
        <f t="shared" si="77"/>
        <v>0</v>
      </c>
      <c r="X241" s="28">
        <f t="shared" si="78"/>
        <v>0</v>
      </c>
      <c r="Y241" s="28">
        <f t="shared" si="78"/>
        <v>0.99462634037911524</v>
      </c>
      <c r="Z241" s="28">
        <f t="shared" si="78"/>
        <v>0</v>
      </c>
      <c r="AA241" s="28">
        <f t="shared" si="78"/>
        <v>0</v>
      </c>
      <c r="AB241" s="28">
        <f t="shared" si="78"/>
        <v>0</v>
      </c>
      <c r="AC241" s="28">
        <f t="shared" si="78"/>
        <v>0</v>
      </c>
      <c r="AD241" s="28">
        <f t="shared" si="78"/>
        <v>0</v>
      </c>
      <c r="AE241" s="28">
        <f t="shared" si="78"/>
        <v>0</v>
      </c>
      <c r="AF241" s="28">
        <f t="shared" si="78"/>
        <v>0</v>
      </c>
      <c r="AG241" s="28">
        <f t="shared" si="78"/>
        <v>0</v>
      </c>
      <c r="AH241" s="28">
        <f t="shared" si="69"/>
        <v>1</v>
      </c>
    </row>
    <row r="242" spans="1:34" ht="10.5" x14ac:dyDescent="0.15">
      <c r="A242" s="904" t="s">
        <v>3111</v>
      </c>
      <c r="B242" s="904" t="s">
        <v>2613</v>
      </c>
      <c r="C242" s="902"/>
      <c r="D242" s="902"/>
      <c r="E242" s="902">
        <v>1228297.9036587297</v>
      </c>
      <c r="F242" s="902"/>
      <c r="G242" s="902"/>
      <c r="H242" s="902"/>
      <c r="I242" s="902"/>
      <c r="J242" s="902">
        <v>1228297.9036587297</v>
      </c>
      <c r="K242" s="24">
        <f t="shared" si="68"/>
        <v>2019</v>
      </c>
      <c r="L242" s="66"/>
      <c r="M242" s="33">
        <f t="shared" si="76"/>
        <v>1860929.1815088</v>
      </c>
      <c r="N242" s="28">
        <f t="shared" si="77"/>
        <v>0</v>
      </c>
      <c r="O242" s="28">
        <f t="shared" si="77"/>
        <v>5.373659620884777E-3</v>
      </c>
      <c r="P242" s="28">
        <f t="shared" si="77"/>
        <v>0</v>
      </c>
      <c r="Q242" s="28">
        <f t="shared" si="77"/>
        <v>0</v>
      </c>
      <c r="R242" s="28">
        <f t="shared" si="77"/>
        <v>0</v>
      </c>
      <c r="S242" s="28">
        <f t="shared" si="77"/>
        <v>0</v>
      </c>
      <c r="T242" s="28">
        <f t="shared" si="77"/>
        <v>0</v>
      </c>
      <c r="U242" s="28">
        <f t="shared" si="77"/>
        <v>0</v>
      </c>
      <c r="V242" s="28">
        <f t="shared" si="77"/>
        <v>0</v>
      </c>
      <c r="W242" s="28">
        <f t="shared" si="77"/>
        <v>0</v>
      </c>
      <c r="X242" s="28">
        <f t="shared" si="78"/>
        <v>0</v>
      </c>
      <c r="Y242" s="28">
        <f t="shared" si="78"/>
        <v>0.99462634037911524</v>
      </c>
      <c r="Z242" s="28">
        <f t="shared" si="78"/>
        <v>0</v>
      </c>
      <c r="AA242" s="28">
        <f t="shared" si="78"/>
        <v>0</v>
      </c>
      <c r="AB242" s="28">
        <f t="shared" si="78"/>
        <v>0</v>
      </c>
      <c r="AC242" s="28">
        <f t="shared" si="78"/>
        <v>0</v>
      </c>
      <c r="AD242" s="28">
        <f t="shared" si="78"/>
        <v>0</v>
      </c>
      <c r="AE242" s="28">
        <f t="shared" si="78"/>
        <v>0</v>
      </c>
      <c r="AF242" s="28">
        <f t="shared" si="78"/>
        <v>0</v>
      </c>
      <c r="AG242" s="28">
        <f t="shared" si="78"/>
        <v>0</v>
      </c>
      <c r="AH242" s="28">
        <f t="shared" si="69"/>
        <v>1</v>
      </c>
    </row>
    <row r="243" spans="1:34" ht="10.5" x14ac:dyDescent="0.15">
      <c r="A243" s="895" t="s">
        <v>2614</v>
      </c>
      <c r="B243" s="895" t="s">
        <v>2615</v>
      </c>
      <c r="C243" s="900"/>
      <c r="D243" s="900"/>
      <c r="E243" s="900">
        <v>2563335.1101571983</v>
      </c>
      <c r="F243" s="896"/>
      <c r="G243" s="896"/>
      <c r="H243" s="896"/>
      <c r="I243" s="896"/>
      <c r="J243" s="896">
        <v>2563335.1101571983</v>
      </c>
      <c r="K243" s="24">
        <f t="shared" si="68"/>
        <v>2019</v>
      </c>
      <c r="L243" s="66"/>
      <c r="M243" s="33">
        <f t="shared" si="76"/>
        <v>2046241.4799999997</v>
      </c>
      <c r="N243" s="28">
        <f t="shared" si="77"/>
        <v>0</v>
      </c>
      <c r="O243" s="28">
        <f t="shared" si="77"/>
        <v>0</v>
      </c>
      <c r="P243" s="28">
        <f t="shared" si="77"/>
        <v>0</v>
      </c>
      <c r="Q243" s="28">
        <f t="shared" si="77"/>
        <v>0</v>
      </c>
      <c r="R243" s="28">
        <f t="shared" si="77"/>
        <v>0</v>
      </c>
      <c r="S243" s="28">
        <f t="shared" si="77"/>
        <v>0</v>
      </c>
      <c r="T243" s="28">
        <f t="shared" si="77"/>
        <v>0</v>
      </c>
      <c r="U243" s="28">
        <f t="shared" si="77"/>
        <v>0</v>
      </c>
      <c r="V243" s="28">
        <f t="shared" si="77"/>
        <v>0</v>
      </c>
      <c r="W243" s="28">
        <f t="shared" si="77"/>
        <v>0.94319268711139603</v>
      </c>
      <c r="X243" s="28">
        <f t="shared" si="78"/>
        <v>0</v>
      </c>
      <c r="Y243" s="28">
        <f t="shared" si="78"/>
        <v>0</v>
      </c>
      <c r="Z243" s="28">
        <f t="shared" si="78"/>
        <v>0</v>
      </c>
      <c r="AA243" s="28">
        <f t="shared" si="78"/>
        <v>0</v>
      </c>
      <c r="AB243" s="28">
        <f t="shared" si="78"/>
        <v>0</v>
      </c>
      <c r="AC243" s="28">
        <f t="shared" si="78"/>
        <v>0</v>
      </c>
      <c r="AD243" s="28">
        <f t="shared" si="78"/>
        <v>5.6807312888603925E-2</v>
      </c>
      <c r="AE243" s="28">
        <f t="shared" si="78"/>
        <v>0</v>
      </c>
      <c r="AF243" s="28">
        <f t="shared" si="78"/>
        <v>0</v>
      </c>
      <c r="AG243" s="28">
        <f t="shared" si="78"/>
        <v>0</v>
      </c>
      <c r="AH243" s="28">
        <f t="shared" si="69"/>
        <v>1</v>
      </c>
    </row>
    <row r="244" spans="1:34" ht="10.5" x14ac:dyDescent="0.15">
      <c r="A244" s="895" t="s">
        <v>2616</v>
      </c>
      <c r="B244" s="895" t="s">
        <v>2617</v>
      </c>
      <c r="C244" s="900"/>
      <c r="D244" s="900">
        <v>251742.43239878406</v>
      </c>
      <c r="E244" s="900"/>
      <c r="F244" s="896"/>
      <c r="G244" s="896"/>
      <c r="H244" s="896"/>
      <c r="I244" s="896"/>
      <c r="J244" s="896">
        <v>251742.43239878406</v>
      </c>
      <c r="K244" s="24">
        <f t="shared" si="68"/>
        <v>2018</v>
      </c>
      <c r="L244" s="66"/>
      <c r="M244" s="33">
        <f t="shared" si="76"/>
        <v>874921.82773997076</v>
      </c>
      <c r="N244" s="28">
        <f t="shared" si="77"/>
        <v>0</v>
      </c>
      <c r="O244" s="28">
        <f t="shared" si="77"/>
        <v>0</v>
      </c>
      <c r="P244" s="28">
        <f t="shared" si="77"/>
        <v>0</v>
      </c>
      <c r="Q244" s="28">
        <f t="shared" si="77"/>
        <v>0</v>
      </c>
      <c r="R244" s="28">
        <f t="shared" si="77"/>
        <v>0</v>
      </c>
      <c r="S244" s="28">
        <f t="shared" si="77"/>
        <v>0</v>
      </c>
      <c r="T244" s="28">
        <f t="shared" si="77"/>
        <v>0</v>
      </c>
      <c r="U244" s="28">
        <f t="shared" si="77"/>
        <v>0</v>
      </c>
      <c r="V244" s="28">
        <f t="shared" si="77"/>
        <v>0</v>
      </c>
      <c r="W244" s="28">
        <f t="shared" si="77"/>
        <v>0.47207511893824683</v>
      </c>
      <c r="X244" s="28">
        <f t="shared" si="78"/>
        <v>0</v>
      </c>
      <c r="Y244" s="28">
        <f t="shared" si="78"/>
        <v>0.12548892528977545</v>
      </c>
      <c r="Z244" s="28">
        <f t="shared" si="78"/>
        <v>0</v>
      </c>
      <c r="AA244" s="28">
        <f t="shared" si="78"/>
        <v>0</v>
      </c>
      <c r="AB244" s="28">
        <f t="shared" si="78"/>
        <v>0.36814717813627323</v>
      </c>
      <c r="AC244" s="28">
        <f t="shared" si="78"/>
        <v>3.4288777635704482E-2</v>
      </c>
      <c r="AD244" s="28">
        <f t="shared" si="78"/>
        <v>0</v>
      </c>
      <c r="AE244" s="28">
        <f t="shared" si="78"/>
        <v>0</v>
      </c>
      <c r="AF244" s="28">
        <f t="shared" si="78"/>
        <v>0</v>
      </c>
      <c r="AG244" s="28">
        <f t="shared" si="78"/>
        <v>0</v>
      </c>
      <c r="AH244" s="28">
        <f t="shared" si="69"/>
        <v>1</v>
      </c>
    </row>
    <row r="245" spans="1:34" ht="10.5" x14ac:dyDescent="0.15">
      <c r="A245" s="895" t="s">
        <v>2633</v>
      </c>
      <c r="B245" s="895" t="s">
        <v>2634</v>
      </c>
      <c r="C245" s="900"/>
      <c r="D245" s="900">
        <v>584216.49124907749</v>
      </c>
      <c r="E245" s="900"/>
      <c r="F245" s="896"/>
      <c r="G245" s="896"/>
      <c r="H245" s="896"/>
      <c r="I245" s="896"/>
      <c r="J245" s="896">
        <v>584216.49124907749</v>
      </c>
      <c r="K245" s="24">
        <f t="shared" si="68"/>
        <v>2018</v>
      </c>
      <c r="L245" s="66"/>
      <c r="M245" s="33">
        <f t="shared" si="76"/>
        <v>663206.21722999995</v>
      </c>
      <c r="N245" s="28">
        <f t="shared" si="77"/>
        <v>0</v>
      </c>
      <c r="O245" s="28">
        <f t="shared" si="77"/>
        <v>6.7851500876980109E-2</v>
      </c>
      <c r="P245" s="28">
        <f t="shared" si="77"/>
        <v>0.63058317177229628</v>
      </c>
      <c r="Q245" s="28">
        <f t="shared" si="77"/>
        <v>0</v>
      </c>
      <c r="R245" s="28">
        <f t="shared" si="77"/>
        <v>0</v>
      </c>
      <c r="S245" s="28">
        <f t="shared" si="77"/>
        <v>0</v>
      </c>
      <c r="T245" s="28">
        <f t="shared" si="77"/>
        <v>0</v>
      </c>
      <c r="U245" s="28">
        <f t="shared" si="77"/>
        <v>0</v>
      </c>
      <c r="V245" s="28">
        <f t="shared" si="77"/>
        <v>0</v>
      </c>
      <c r="W245" s="28">
        <f t="shared" si="77"/>
        <v>0</v>
      </c>
      <c r="X245" s="28">
        <f t="shared" si="78"/>
        <v>0.30156532735072356</v>
      </c>
      <c r="Y245" s="28">
        <f t="shared" si="78"/>
        <v>0</v>
      </c>
      <c r="Z245" s="28">
        <f t="shared" si="78"/>
        <v>0</v>
      </c>
      <c r="AA245" s="28">
        <f t="shared" si="78"/>
        <v>0</v>
      </c>
      <c r="AB245" s="28">
        <f t="shared" si="78"/>
        <v>0</v>
      </c>
      <c r="AC245" s="28">
        <f t="shared" si="78"/>
        <v>0</v>
      </c>
      <c r="AD245" s="28">
        <f t="shared" si="78"/>
        <v>0</v>
      </c>
      <c r="AE245" s="28">
        <f t="shared" si="78"/>
        <v>0</v>
      </c>
      <c r="AF245" s="28">
        <f t="shared" si="78"/>
        <v>0</v>
      </c>
      <c r="AG245" s="28">
        <f t="shared" si="78"/>
        <v>0</v>
      </c>
      <c r="AH245" s="28">
        <f t="shared" si="69"/>
        <v>1</v>
      </c>
    </row>
    <row r="246" spans="1:34" ht="10.5" x14ac:dyDescent="0.15">
      <c r="A246" s="895" t="s">
        <v>2635</v>
      </c>
      <c r="B246" s="895" t="s">
        <v>2636</v>
      </c>
      <c r="C246" s="900"/>
      <c r="D246" s="900"/>
      <c r="E246" s="900"/>
      <c r="F246" s="896"/>
      <c r="G246" s="896"/>
      <c r="H246" s="896"/>
      <c r="I246" s="896">
        <v>1418605.4795163563</v>
      </c>
      <c r="J246" s="896">
        <v>1418605.4795163563</v>
      </c>
      <c r="K246" s="24">
        <f t="shared" si="68"/>
        <v>2023</v>
      </c>
      <c r="L246" s="66"/>
      <c r="M246" s="33">
        <f t="shared" si="76"/>
        <v>587549.63924349891</v>
      </c>
      <c r="N246" s="28">
        <f t="shared" si="77"/>
        <v>0</v>
      </c>
      <c r="O246" s="28">
        <f t="shared" si="77"/>
        <v>0</v>
      </c>
      <c r="P246" s="28">
        <f t="shared" si="77"/>
        <v>0.24508567389371105</v>
      </c>
      <c r="Q246" s="28">
        <f t="shared" si="77"/>
        <v>0</v>
      </c>
      <c r="R246" s="28">
        <f t="shared" si="77"/>
        <v>0</v>
      </c>
      <c r="S246" s="28">
        <f t="shared" si="77"/>
        <v>0</v>
      </c>
      <c r="T246" s="28">
        <f t="shared" si="77"/>
        <v>0</v>
      </c>
      <c r="U246" s="28">
        <f t="shared" si="77"/>
        <v>0</v>
      </c>
      <c r="V246" s="28">
        <f t="shared" si="77"/>
        <v>0</v>
      </c>
      <c r="W246" s="28">
        <f t="shared" si="77"/>
        <v>0</v>
      </c>
      <c r="X246" s="28">
        <f t="shared" si="78"/>
        <v>0</v>
      </c>
      <c r="Y246" s="28">
        <f t="shared" si="78"/>
        <v>0</v>
      </c>
      <c r="Z246" s="28">
        <f t="shared" si="78"/>
        <v>0</v>
      </c>
      <c r="AA246" s="28">
        <f t="shared" si="78"/>
        <v>0</v>
      </c>
      <c r="AB246" s="28">
        <f t="shared" si="78"/>
        <v>0.75491432610628895</v>
      </c>
      <c r="AC246" s="28">
        <f t="shared" si="78"/>
        <v>0</v>
      </c>
      <c r="AD246" s="28">
        <f t="shared" si="78"/>
        <v>0</v>
      </c>
      <c r="AE246" s="28">
        <f t="shared" si="78"/>
        <v>0</v>
      </c>
      <c r="AF246" s="28">
        <f t="shared" si="78"/>
        <v>0</v>
      </c>
      <c r="AG246" s="28">
        <f t="shared" si="78"/>
        <v>0</v>
      </c>
      <c r="AH246" s="28">
        <f t="shared" si="69"/>
        <v>1</v>
      </c>
    </row>
    <row r="247" spans="1:34" ht="10.5" x14ac:dyDescent="0.15">
      <c r="A247" s="895" t="s">
        <v>2637</v>
      </c>
      <c r="B247" s="895" t="s">
        <v>2638</v>
      </c>
      <c r="C247" s="900"/>
      <c r="D247" s="900">
        <v>363366.8224091478</v>
      </c>
      <c r="E247" s="900"/>
      <c r="F247" s="896"/>
      <c r="G247" s="896"/>
      <c r="H247" s="896"/>
      <c r="I247" s="896"/>
      <c r="J247" s="896">
        <v>363366.8224091478</v>
      </c>
      <c r="K247" s="24">
        <f t="shared" si="68"/>
        <v>2018</v>
      </c>
      <c r="L247" s="66"/>
      <c r="M247" s="33">
        <f t="shared" si="76"/>
        <v>612419.78339999984</v>
      </c>
      <c r="N247" s="28">
        <f t="shared" si="77"/>
        <v>0</v>
      </c>
      <c r="O247" s="28">
        <f t="shared" si="77"/>
        <v>2.9391545616094802E-2</v>
      </c>
      <c r="P247" s="28">
        <f t="shared" si="77"/>
        <v>0.92162244705173246</v>
      </c>
      <c r="Q247" s="28">
        <f t="shared" si="77"/>
        <v>0</v>
      </c>
      <c r="R247" s="28">
        <f t="shared" si="77"/>
        <v>0</v>
      </c>
      <c r="S247" s="28">
        <f t="shared" si="77"/>
        <v>0</v>
      </c>
      <c r="T247" s="28">
        <f t="shared" si="77"/>
        <v>0</v>
      </c>
      <c r="U247" s="28">
        <f t="shared" si="77"/>
        <v>0</v>
      </c>
      <c r="V247" s="28">
        <f t="shared" si="77"/>
        <v>0</v>
      </c>
      <c r="W247" s="28">
        <f t="shared" si="77"/>
        <v>0</v>
      </c>
      <c r="X247" s="28">
        <f t="shared" si="78"/>
        <v>0</v>
      </c>
      <c r="Y247" s="28">
        <f t="shared" si="78"/>
        <v>0</v>
      </c>
      <c r="Z247" s="28">
        <f t="shared" si="78"/>
        <v>0</v>
      </c>
      <c r="AA247" s="28">
        <f t="shared" si="78"/>
        <v>0</v>
      </c>
      <c r="AB247" s="28">
        <f t="shared" si="78"/>
        <v>0</v>
      </c>
      <c r="AC247" s="28">
        <f t="shared" si="78"/>
        <v>4.8986007332172676E-2</v>
      </c>
      <c r="AD247" s="28">
        <f t="shared" si="78"/>
        <v>0</v>
      </c>
      <c r="AE247" s="28">
        <f t="shared" si="78"/>
        <v>0</v>
      </c>
      <c r="AF247" s="28">
        <f t="shared" si="78"/>
        <v>0</v>
      </c>
      <c r="AG247" s="28">
        <f t="shared" si="78"/>
        <v>0</v>
      </c>
      <c r="AH247" s="28">
        <f t="shared" si="69"/>
        <v>1</v>
      </c>
    </row>
    <row r="248" spans="1:34" ht="10.5" x14ac:dyDescent="0.15">
      <c r="A248" s="895" t="s">
        <v>2639</v>
      </c>
      <c r="B248" s="895" t="s">
        <v>2640</v>
      </c>
      <c r="C248" s="900"/>
      <c r="D248" s="900"/>
      <c r="E248" s="900"/>
      <c r="F248" s="896"/>
      <c r="G248" s="896"/>
      <c r="H248" s="896"/>
      <c r="I248" s="896">
        <v>2286614.8384598661</v>
      </c>
      <c r="J248" s="896">
        <v>2286614.8384598661</v>
      </c>
      <c r="K248" s="24">
        <f t="shared" si="68"/>
        <v>2023</v>
      </c>
      <c r="L248" s="66"/>
      <c r="M248" s="33">
        <f t="shared" si="76"/>
        <v>340000</v>
      </c>
      <c r="N248" s="28">
        <f t="shared" si="77"/>
        <v>0</v>
      </c>
      <c r="O248" s="28">
        <f t="shared" si="77"/>
        <v>0</v>
      </c>
      <c r="P248" s="28">
        <f t="shared" si="77"/>
        <v>0</v>
      </c>
      <c r="Q248" s="28">
        <f t="shared" si="77"/>
        <v>0</v>
      </c>
      <c r="R248" s="28">
        <f t="shared" si="77"/>
        <v>0</v>
      </c>
      <c r="S248" s="28">
        <f t="shared" si="77"/>
        <v>0</v>
      </c>
      <c r="T248" s="28">
        <f t="shared" si="77"/>
        <v>0</v>
      </c>
      <c r="U248" s="28">
        <f t="shared" si="77"/>
        <v>0</v>
      </c>
      <c r="V248" s="28">
        <f t="shared" si="77"/>
        <v>0</v>
      </c>
      <c r="W248" s="28">
        <f t="shared" si="77"/>
        <v>0</v>
      </c>
      <c r="X248" s="28">
        <f t="shared" si="78"/>
        <v>0</v>
      </c>
      <c r="Y248" s="28">
        <f t="shared" si="78"/>
        <v>0</v>
      </c>
      <c r="Z248" s="28">
        <f t="shared" si="78"/>
        <v>0</v>
      </c>
      <c r="AA248" s="28">
        <f t="shared" si="78"/>
        <v>0</v>
      </c>
      <c r="AB248" s="28">
        <f t="shared" si="78"/>
        <v>1</v>
      </c>
      <c r="AC248" s="28">
        <f t="shared" si="78"/>
        <v>0</v>
      </c>
      <c r="AD248" s="28">
        <f t="shared" si="78"/>
        <v>0</v>
      </c>
      <c r="AE248" s="28">
        <f t="shared" si="78"/>
        <v>0</v>
      </c>
      <c r="AF248" s="28">
        <f t="shared" si="78"/>
        <v>0</v>
      </c>
      <c r="AG248" s="28">
        <f t="shared" si="78"/>
        <v>0</v>
      </c>
      <c r="AH248" s="28">
        <f t="shared" si="69"/>
        <v>1</v>
      </c>
    </row>
    <row r="249" spans="1:34" ht="10.5" x14ac:dyDescent="0.15">
      <c r="A249" s="895" t="s">
        <v>2641</v>
      </c>
      <c r="B249" s="895" t="s">
        <v>2642</v>
      </c>
      <c r="C249" s="896"/>
      <c r="D249" s="896">
        <v>250569.00691425669</v>
      </c>
      <c r="E249" s="896"/>
      <c r="F249" s="896"/>
      <c r="G249" s="896"/>
      <c r="H249" s="896"/>
      <c r="I249" s="896"/>
      <c r="J249" s="896">
        <v>250569.00691425669</v>
      </c>
      <c r="K249" s="24">
        <f t="shared" si="68"/>
        <v>2018</v>
      </c>
      <c r="L249" s="66"/>
      <c r="M249" s="33">
        <f t="shared" si="76"/>
        <v>95000.000000000044</v>
      </c>
      <c r="N249" s="28">
        <f t="shared" ref="N249:W261" si="79">IF($M249=0,VLOOKUP(MID($A249,4,5),ProjectSplits,N$2,FALSE),IF(ISNA(VLOOKUP(LEFT($A249,8),Estimates,N$1,FALSE)),VLOOKUP(MID($A249,4,5),ProjectSplits,N$2,FALSE),VLOOKUP(LEFT($A249,8),Estimates,N$1,FALSE)))</f>
        <v>0</v>
      </c>
      <c r="O249" s="28">
        <f t="shared" si="79"/>
        <v>0</v>
      </c>
      <c r="P249" s="28">
        <f t="shared" si="79"/>
        <v>0</v>
      </c>
      <c r="Q249" s="28">
        <f t="shared" si="79"/>
        <v>0</v>
      </c>
      <c r="R249" s="28">
        <f t="shared" si="79"/>
        <v>0</v>
      </c>
      <c r="S249" s="28">
        <f t="shared" si="79"/>
        <v>0</v>
      </c>
      <c r="T249" s="28">
        <f t="shared" si="79"/>
        <v>0</v>
      </c>
      <c r="U249" s="28">
        <f t="shared" si="79"/>
        <v>1</v>
      </c>
      <c r="V249" s="28">
        <f t="shared" si="79"/>
        <v>0</v>
      </c>
      <c r="W249" s="28">
        <f t="shared" si="79"/>
        <v>0</v>
      </c>
      <c r="X249" s="28">
        <f t="shared" ref="X249:AG261" si="80">IF($M249=0,VLOOKUP(MID($A249,4,5),ProjectSplits,X$2,FALSE),IF(ISNA(VLOOKUP(LEFT($A249,8),Estimates,X$1,FALSE)),VLOOKUP(MID($A249,4,5),ProjectSplits,X$2,FALSE),VLOOKUP(LEFT($A249,8),Estimates,X$1,FALSE)))</f>
        <v>0</v>
      </c>
      <c r="Y249" s="28">
        <f t="shared" si="80"/>
        <v>0</v>
      </c>
      <c r="Z249" s="28">
        <f t="shared" si="80"/>
        <v>0</v>
      </c>
      <c r="AA249" s="28">
        <f t="shared" si="80"/>
        <v>0</v>
      </c>
      <c r="AB249" s="28">
        <f t="shared" si="80"/>
        <v>0</v>
      </c>
      <c r="AC249" s="28">
        <f t="shared" si="80"/>
        <v>0</v>
      </c>
      <c r="AD249" s="28">
        <f t="shared" si="80"/>
        <v>0</v>
      </c>
      <c r="AE249" s="28">
        <f t="shared" si="80"/>
        <v>0</v>
      </c>
      <c r="AF249" s="28">
        <f t="shared" si="80"/>
        <v>0</v>
      </c>
      <c r="AG249" s="28">
        <f t="shared" si="80"/>
        <v>0</v>
      </c>
      <c r="AH249" s="28">
        <f t="shared" si="69"/>
        <v>1</v>
      </c>
    </row>
    <row r="250" spans="1:34" ht="10.5" x14ac:dyDescent="0.15">
      <c r="A250" s="895" t="s">
        <v>2643</v>
      </c>
      <c r="B250" s="895" t="s">
        <v>2644</v>
      </c>
      <c r="C250" s="896"/>
      <c r="D250" s="896"/>
      <c r="E250" s="896"/>
      <c r="F250" s="896">
        <v>5583876.1045823107</v>
      </c>
      <c r="G250" s="896"/>
      <c r="H250" s="896"/>
      <c r="I250" s="896"/>
      <c r="J250" s="896">
        <v>5583876.1045823107</v>
      </c>
      <c r="K250" s="24">
        <f t="shared" si="68"/>
        <v>2020</v>
      </c>
      <c r="L250" s="66"/>
      <c r="M250" s="33">
        <f t="shared" si="76"/>
        <v>3282320.1200036025</v>
      </c>
      <c r="N250" s="28">
        <f t="shared" si="79"/>
        <v>0</v>
      </c>
      <c r="O250" s="28">
        <f t="shared" si="79"/>
        <v>0</v>
      </c>
      <c r="P250" s="28">
        <f t="shared" si="79"/>
        <v>2.2276925262219641E-2</v>
      </c>
      <c r="Q250" s="28">
        <f t="shared" si="79"/>
        <v>0</v>
      </c>
      <c r="R250" s="28">
        <f t="shared" si="79"/>
        <v>0</v>
      </c>
      <c r="S250" s="28">
        <f t="shared" si="79"/>
        <v>0</v>
      </c>
      <c r="T250" s="28">
        <f t="shared" si="79"/>
        <v>0</v>
      </c>
      <c r="U250" s="28">
        <f t="shared" si="79"/>
        <v>0</v>
      </c>
      <c r="V250" s="28">
        <f t="shared" si="79"/>
        <v>0</v>
      </c>
      <c r="W250" s="28">
        <f t="shared" si="79"/>
        <v>0</v>
      </c>
      <c r="X250" s="28">
        <f t="shared" si="80"/>
        <v>0</v>
      </c>
      <c r="Y250" s="28">
        <f t="shared" si="80"/>
        <v>0</v>
      </c>
      <c r="Z250" s="28">
        <f t="shared" si="80"/>
        <v>0</v>
      </c>
      <c r="AA250" s="28">
        <f t="shared" si="80"/>
        <v>0</v>
      </c>
      <c r="AB250" s="28">
        <f t="shared" si="80"/>
        <v>0.97772307473778042</v>
      </c>
      <c r="AC250" s="28">
        <f t="shared" si="80"/>
        <v>0</v>
      </c>
      <c r="AD250" s="28">
        <f t="shared" si="80"/>
        <v>0</v>
      </c>
      <c r="AE250" s="28">
        <f t="shared" si="80"/>
        <v>0</v>
      </c>
      <c r="AF250" s="28">
        <f t="shared" si="80"/>
        <v>0</v>
      </c>
      <c r="AG250" s="28">
        <f t="shared" si="80"/>
        <v>0</v>
      </c>
      <c r="AH250" s="28">
        <f t="shared" si="69"/>
        <v>1</v>
      </c>
    </row>
    <row r="251" spans="1:34" ht="10.5" x14ac:dyDescent="0.15">
      <c r="A251" s="895" t="s">
        <v>2645</v>
      </c>
      <c r="B251" s="895" t="s">
        <v>2646</v>
      </c>
      <c r="C251" s="896"/>
      <c r="D251" s="896"/>
      <c r="E251" s="896"/>
      <c r="F251" s="896">
        <v>7959778.5686999317</v>
      </c>
      <c r="G251" s="896"/>
      <c r="H251" s="896"/>
      <c r="I251" s="896"/>
      <c r="J251" s="896">
        <v>7959778.5686999317</v>
      </c>
      <c r="K251" s="24">
        <f t="shared" si="68"/>
        <v>2020</v>
      </c>
      <c r="L251" s="66"/>
      <c r="M251" s="33">
        <f t="shared" si="76"/>
        <v>1949000.0000315001</v>
      </c>
      <c r="N251" s="28">
        <f t="shared" si="79"/>
        <v>0</v>
      </c>
      <c r="O251" s="28">
        <f t="shared" si="79"/>
        <v>0</v>
      </c>
      <c r="P251" s="28">
        <f t="shared" si="79"/>
        <v>0</v>
      </c>
      <c r="Q251" s="28">
        <f t="shared" si="79"/>
        <v>0</v>
      </c>
      <c r="R251" s="28">
        <f t="shared" si="79"/>
        <v>0</v>
      </c>
      <c r="S251" s="28">
        <f t="shared" si="79"/>
        <v>0</v>
      </c>
      <c r="T251" s="28">
        <f t="shared" si="79"/>
        <v>0</v>
      </c>
      <c r="U251" s="28">
        <f t="shared" si="79"/>
        <v>0</v>
      </c>
      <c r="V251" s="28">
        <f t="shared" si="79"/>
        <v>0</v>
      </c>
      <c r="W251" s="28">
        <f t="shared" si="79"/>
        <v>0</v>
      </c>
      <c r="X251" s="28">
        <f t="shared" si="80"/>
        <v>2.0010261672329239E-2</v>
      </c>
      <c r="Y251" s="28">
        <f t="shared" si="80"/>
        <v>0.97998973832767078</v>
      </c>
      <c r="Z251" s="28">
        <f t="shared" si="80"/>
        <v>0</v>
      </c>
      <c r="AA251" s="28">
        <f t="shared" si="80"/>
        <v>0</v>
      </c>
      <c r="AB251" s="28">
        <f t="shared" si="80"/>
        <v>0</v>
      </c>
      <c r="AC251" s="28">
        <f t="shared" si="80"/>
        <v>0</v>
      </c>
      <c r="AD251" s="28">
        <f t="shared" si="80"/>
        <v>0</v>
      </c>
      <c r="AE251" s="28">
        <f t="shared" si="80"/>
        <v>0</v>
      </c>
      <c r="AF251" s="28">
        <f t="shared" si="80"/>
        <v>0</v>
      </c>
      <c r="AG251" s="28">
        <f t="shared" si="80"/>
        <v>0</v>
      </c>
      <c r="AH251" s="28">
        <f t="shared" si="69"/>
        <v>1</v>
      </c>
    </row>
    <row r="252" spans="1:34" ht="10.5" x14ac:dyDescent="0.15">
      <c r="A252" s="895" t="s">
        <v>2647</v>
      </c>
      <c r="B252" s="895" t="s">
        <v>2648</v>
      </c>
      <c r="C252" s="896"/>
      <c r="D252" s="896">
        <v>2434706.1053781048</v>
      </c>
      <c r="E252" s="896"/>
      <c r="F252" s="896"/>
      <c r="G252" s="896"/>
      <c r="H252" s="896"/>
      <c r="I252" s="896"/>
      <c r="J252" s="896">
        <v>2434706.1053781048</v>
      </c>
      <c r="K252" s="24">
        <f t="shared" si="68"/>
        <v>2018</v>
      </c>
      <c r="L252" s="66"/>
      <c r="M252" s="33">
        <f t="shared" si="76"/>
        <v>1110000.0000000005</v>
      </c>
      <c r="N252" s="28">
        <f t="shared" si="79"/>
        <v>0</v>
      </c>
      <c r="O252" s="28">
        <f t="shared" si="79"/>
        <v>0</v>
      </c>
      <c r="P252" s="28">
        <f t="shared" si="79"/>
        <v>0</v>
      </c>
      <c r="Q252" s="28">
        <f t="shared" si="79"/>
        <v>0</v>
      </c>
      <c r="R252" s="28">
        <f t="shared" si="79"/>
        <v>0</v>
      </c>
      <c r="S252" s="28">
        <f t="shared" si="79"/>
        <v>0</v>
      </c>
      <c r="T252" s="28">
        <f t="shared" si="79"/>
        <v>0</v>
      </c>
      <c r="U252" s="28">
        <f t="shared" si="79"/>
        <v>0</v>
      </c>
      <c r="V252" s="28">
        <f t="shared" si="79"/>
        <v>0</v>
      </c>
      <c r="W252" s="28">
        <f t="shared" si="79"/>
        <v>0.86486486486486491</v>
      </c>
      <c r="X252" s="28">
        <f t="shared" si="80"/>
        <v>0</v>
      </c>
      <c r="Y252" s="28">
        <f t="shared" si="80"/>
        <v>0.13513513513513511</v>
      </c>
      <c r="Z252" s="28">
        <f t="shared" si="80"/>
        <v>0</v>
      </c>
      <c r="AA252" s="28">
        <f t="shared" si="80"/>
        <v>0</v>
      </c>
      <c r="AB252" s="28">
        <f t="shared" si="80"/>
        <v>0</v>
      </c>
      <c r="AC252" s="28">
        <f t="shared" si="80"/>
        <v>0</v>
      </c>
      <c r="AD252" s="28">
        <f t="shared" si="80"/>
        <v>0</v>
      </c>
      <c r="AE252" s="28">
        <f t="shared" si="80"/>
        <v>0</v>
      </c>
      <c r="AF252" s="28">
        <f t="shared" si="80"/>
        <v>0</v>
      </c>
      <c r="AG252" s="28">
        <f t="shared" si="80"/>
        <v>0</v>
      </c>
      <c r="AH252" s="28">
        <f t="shared" si="69"/>
        <v>1</v>
      </c>
    </row>
    <row r="253" spans="1:34" ht="10.5" x14ac:dyDescent="0.15">
      <c r="A253" s="895" t="s">
        <v>2650</v>
      </c>
      <c r="B253" s="895" t="s">
        <v>2651</v>
      </c>
      <c r="C253" s="896"/>
      <c r="D253" s="896"/>
      <c r="E253" s="896"/>
      <c r="F253" s="896">
        <v>3761658.1124633341</v>
      </c>
      <c r="G253" s="896"/>
      <c r="H253" s="896"/>
      <c r="I253" s="896"/>
      <c r="J253" s="896">
        <v>3761658.1124633341</v>
      </c>
      <c r="K253" s="24">
        <f t="shared" si="68"/>
        <v>2020</v>
      </c>
      <c r="L253" s="66"/>
      <c r="M253" s="33">
        <f t="shared" si="76"/>
        <v>2166899.9999999991</v>
      </c>
      <c r="N253" s="28">
        <f t="shared" si="79"/>
        <v>0</v>
      </c>
      <c r="O253" s="28">
        <f t="shared" si="79"/>
        <v>0</v>
      </c>
      <c r="P253" s="28">
        <f t="shared" si="79"/>
        <v>0</v>
      </c>
      <c r="Q253" s="28">
        <f t="shared" si="79"/>
        <v>0</v>
      </c>
      <c r="R253" s="28">
        <f t="shared" si="79"/>
        <v>0</v>
      </c>
      <c r="S253" s="28">
        <f t="shared" si="79"/>
        <v>0</v>
      </c>
      <c r="T253" s="28">
        <f t="shared" si="79"/>
        <v>0</v>
      </c>
      <c r="U253" s="28">
        <f t="shared" si="79"/>
        <v>0</v>
      </c>
      <c r="V253" s="28">
        <f t="shared" si="79"/>
        <v>0</v>
      </c>
      <c r="W253" s="28">
        <f t="shared" si="79"/>
        <v>0</v>
      </c>
      <c r="X253" s="28">
        <f t="shared" si="80"/>
        <v>0</v>
      </c>
      <c r="Y253" s="28">
        <f t="shared" si="80"/>
        <v>1</v>
      </c>
      <c r="Z253" s="28">
        <f t="shared" si="80"/>
        <v>0</v>
      </c>
      <c r="AA253" s="28">
        <f t="shared" si="80"/>
        <v>0</v>
      </c>
      <c r="AB253" s="28">
        <f t="shared" si="80"/>
        <v>0</v>
      </c>
      <c r="AC253" s="28">
        <f t="shared" si="80"/>
        <v>0</v>
      </c>
      <c r="AD253" s="28">
        <f t="shared" si="80"/>
        <v>0</v>
      </c>
      <c r="AE253" s="28">
        <f t="shared" si="80"/>
        <v>0</v>
      </c>
      <c r="AF253" s="28">
        <f t="shared" si="80"/>
        <v>0</v>
      </c>
      <c r="AG253" s="28">
        <f t="shared" si="80"/>
        <v>0</v>
      </c>
      <c r="AH253" s="28">
        <f t="shared" si="69"/>
        <v>1</v>
      </c>
    </row>
    <row r="254" spans="1:34" ht="10.5" x14ac:dyDescent="0.15">
      <c r="A254" s="895" t="s">
        <v>2652</v>
      </c>
      <c r="B254" s="895" t="s">
        <v>2653</v>
      </c>
      <c r="C254" s="896"/>
      <c r="D254" s="896"/>
      <c r="E254" s="896"/>
      <c r="F254" s="896"/>
      <c r="G254" s="896"/>
      <c r="H254" s="896"/>
      <c r="I254" s="896">
        <v>5014694.3322757091</v>
      </c>
      <c r="J254" s="896">
        <v>5014694.3322757091</v>
      </c>
      <c r="K254" s="24">
        <f t="shared" si="68"/>
        <v>2023</v>
      </c>
      <c r="L254" s="66"/>
      <c r="M254" s="33">
        <f t="shared" si="76"/>
        <v>0</v>
      </c>
      <c r="N254" s="28">
        <f t="shared" si="79"/>
        <v>0</v>
      </c>
      <c r="O254" s="28">
        <f t="shared" si="79"/>
        <v>0</v>
      </c>
      <c r="P254" s="28">
        <f t="shared" si="79"/>
        <v>9.8997133515637617E-3</v>
      </c>
      <c r="Q254" s="28">
        <f t="shared" si="79"/>
        <v>0</v>
      </c>
      <c r="R254" s="28">
        <f t="shared" si="79"/>
        <v>0</v>
      </c>
      <c r="S254" s="28">
        <f t="shared" si="79"/>
        <v>0</v>
      </c>
      <c r="T254" s="28">
        <f t="shared" si="79"/>
        <v>0</v>
      </c>
      <c r="U254" s="28">
        <f t="shared" si="79"/>
        <v>0</v>
      </c>
      <c r="V254" s="28">
        <f t="shared" si="79"/>
        <v>0</v>
      </c>
      <c r="W254" s="28">
        <f t="shared" si="79"/>
        <v>0.79697883928314239</v>
      </c>
      <c r="X254" s="28">
        <f t="shared" si="80"/>
        <v>0</v>
      </c>
      <c r="Y254" s="28">
        <f t="shared" si="80"/>
        <v>0.1331291827838956</v>
      </c>
      <c r="Z254" s="28">
        <f t="shared" si="80"/>
        <v>0</v>
      </c>
      <c r="AA254" s="28">
        <f t="shared" si="80"/>
        <v>0</v>
      </c>
      <c r="AB254" s="28">
        <f t="shared" si="80"/>
        <v>5.0092551223795675E-2</v>
      </c>
      <c r="AC254" s="28">
        <f t="shared" si="80"/>
        <v>6.5998089050683913E-3</v>
      </c>
      <c r="AD254" s="28">
        <f t="shared" si="80"/>
        <v>3.2999044525341965E-3</v>
      </c>
      <c r="AE254" s="28">
        <f t="shared" si="80"/>
        <v>0</v>
      </c>
      <c r="AF254" s="28">
        <f t="shared" si="80"/>
        <v>0</v>
      </c>
      <c r="AG254" s="28">
        <f t="shared" si="80"/>
        <v>0</v>
      </c>
      <c r="AH254" s="28">
        <f t="shared" si="69"/>
        <v>1</v>
      </c>
    </row>
    <row r="255" spans="1:34" ht="10.5" x14ac:dyDescent="0.15">
      <c r="A255" s="895" t="s">
        <v>2654</v>
      </c>
      <c r="B255" s="895" t="s">
        <v>2655</v>
      </c>
      <c r="C255" s="896"/>
      <c r="D255" s="896"/>
      <c r="E255" s="896"/>
      <c r="F255" s="896"/>
      <c r="G255" s="896">
        <v>4747107.4580371706</v>
      </c>
      <c r="H255" s="896"/>
      <c r="I255" s="896"/>
      <c r="J255" s="896">
        <v>4747107.4580371706</v>
      </c>
      <c r="K255" s="24">
        <f t="shared" si="68"/>
        <v>2021</v>
      </c>
      <c r="L255" s="66"/>
      <c r="M255" s="33">
        <f t="shared" si="76"/>
        <v>3030390.7715632184</v>
      </c>
      <c r="N255" s="28">
        <f t="shared" si="79"/>
        <v>0</v>
      </c>
      <c r="O255" s="28">
        <f t="shared" si="79"/>
        <v>0</v>
      </c>
      <c r="P255" s="28">
        <f t="shared" si="79"/>
        <v>9.89971335156376E-3</v>
      </c>
      <c r="Q255" s="28">
        <f t="shared" si="79"/>
        <v>0</v>
      </c>
      <c r="R255" s="28">
        <f t="shared" si="79"/>
        <v>0</v>
      </c>
      <c r="S255" s="28">
        <f t="shared" si="79"/>
        <v>0</v>
      </c>
      <c r="T255" s="28">
        <f t="shared" si="79"/>
        <v>0</v>
      </c>
      <c r="U255" s="28">
        <f t="shared" si="79"/>
        <v>0</v>
      </c>
      <c r="V255" s="28">
        <f t="shared" si="79"/>
        <v>0</v>
      </c>
      <c r="W255" s="28">
        <f t="shared" si="79"/>
        <v>0.79697883928314239</v>
      </c>
      <c r="X255" s="28">
        <f t="shared" si="80"/>
        <v>0</v>
      </c>
      <c r="Y255" s="28">
        <f t="shared" si="80"/>
        <v>0.13312918278389554</v>
      </c>
      <c r="Z255" s="28">
        <f t="shared" si="80"/>
        <v>0</v>
      </c>
      <c r="AA255" s="28">
        <f t="shared" si="80"/>
        <v>0</v>
      </c>
      <c r="AB255" s="28">
        <f t="shared" si="80"/>
        <v>5.0092551223795655E-2</v>
      </c>
      <c r="AC255" s="28">
        <f t="shared" si="80"/>
        <v>6.5998089050683922E-3</v>
      </c>
      <c r="AD255" s="28">
        <f t="shared" si="80"/>
        <v>3.2999044525341961E-3</v>
      </c>
      <c r="AE255" s="28">
        <f t="shared" si="80"/>
        <v>0</v>
      </c>
      <c r="AF255" s="28">
        <f t="shared" si="80"/>
        <v>0</v>
      </c>
      <c r="AG255" s="28">
        <f t="shared" si="80"/>
        <v>0</v>
      </c>
      <c r="AH255" s="28">
        <f t="shared" si="69"/>
        <v>0.99999999999999989</v>
      </c>
    </row>
    <row r="256" spans="1:34" ht="10.5" x14ac:dyDescent="0.15">
      <c r="A256" s="895" t="s">
        <v>2774</v>
      </c>
      <c r="B256" s="895" t="s">
        <v>2775</v>
      </c>
      <c r="C256" s="896"/>
      <c r="D256" s="896">
        <v>3341427.6720457454</v>
      </c>
      <c r="E256" s="896"/>
      <c r="F256" s="896"/>
      <c r="G256" s="896"/>
      <c r="H256" s="896"/>
      <c r="I256" s="896"/>
      <c r="J256" s="896">
        <v>3341427.6720457454</v>
      </c>
      <c r="K256" s="24">
        <f t="shared" si="68"/>
        <v>2018</v>
      </c>
      <c r="L256" s="66"/>
      <c r="M256" s="33">
        <f t="shared" si="76"/>
        <v>2682824.998441956</v>
      </c>
      <c r="N256" s="28">
        <f t="shared" si="79"/>
        <v>0</v>
      </c>
      <c r="O256" s="28">
        <f t="shared" si="79"/>
        <v>0</v>
      </c>
      <c r="P256" s="28">
        <f t="shared" si="79"/>
        <v>0</v>
      </c>
      <c r="Q256" s="28">
        <f t="shared" si="79"/>
        <v>0</v>
      </c>
      <c r="R256" s="28">
        <f t="shared" si="79"/>
        <v>0</v>
      </c>
      <c r="S256" s="28">
        <f t="shared" si="79"/>
        <v>0</v>
      </c>
      <c r="T256" s="28">
        <f t="shared" si="79"/>
        <v>0</v>
      </c>
      <c r="U256" s="28">
        <f t="shared" si="79"/>
        <v>0</v>
      </c>
      <c r="V256" s="28">
        <f t="shared" si="79"/>
        <v>0</v>
      </c>
      <c r="W256" s="28">
        <f t="shared" si="79"/>
        <v>0</v>
      </c>
      <c r="X256" s="28">
        <f t="shared" si="80"/>
        <v>0</v>
      </c>
      <c r="Y256" s="28">
        <f t="shared" si="80"/>
        <v>0</v>
      </c>
      <c r="Z256" s="28">
        <f t="shared" si="80"/>
        <v>0</v>
      </c>
      <c r="AA256" s="28">
        <f t="shared" si="80"/>
        <v>0</v>
      </c>
      <c r="AB256" s="28">
        <f t="shared" si="80"/>
        <v>1.1182242605247236E-2</v>
      </c>
      <c r="AC256" s="28">
        <f t="shared" si="80"/>
        <v>0.98881775739475275</v>
      </c>
      <c r="AD256" s="28">
        <f t="shared" si="80"/>
        <v>0</v>
      </c>
      <c r="AE256" s="28">
        <f t="shared" si="80"/>
        <v>0</v>
      </c>
      <c r="AF256" s="28">
        <f t="shared" si="80"/>
        <v>0</v>
      </c>
      <c r="AG256" s="28">
        <f t="shared" si="80"/>
        <v>0</v>
      </c>
      <c r="AH256" s="28">
        <f t="shared" si="69"/>
        <v>1</v>
      </c>
    </row>
    <row r="257" spans="1:34" ht="10.5" x14ac:dyDescent="0.15">
      <c r="A257" s="904" t="s">
        <v>3058</v>
      </c>
      <c r="B257" s="904" t="s">
        <v>3059</v>
      </c>
      <c r="C257" s="902"/>
      <c r="D257" s="902"/>
      <c r="E257" s="902">
        <v>8230445.3982662801</v>
      </c>
      <c r="F257" s="902"/>
      <c r="G257" s="902"/>
      <c r="H257" s="902"/>
      <c r="I257" s="902"/>
      <c r="J257" s="902">
        <v>8230445.3982662801</v>
      </c>
      <c r="K257" s="24">
        <f t="shared" si="68"/>
        <v>2019</v>
      </c>
      <c r="L257" s="66"/>
      <c r="M257" s="33">
        <f t="shared" si="76"/>
        <v>0</v>
      </c>
      <c r="N257" s="28">
        <f t="shared" si="79"/>
        <v>0</v>
      </c>
      <c r="O257" s="28">
        <f t="shared" si="79"/>
        <v>0</v>
      </c>
      <c r="P257" s="28">
        <f t="shared" si="79"/>
        <v>0</v>
      </c>
      <c r="Q257" s="28">
        <f t="shared" si="79"/>
        <v>0</v>
      </c>
      <c r="R257" s="28">
        <f t="shared" si="79"/>
        <v>0</v>
      </c>
      <c r="S257" s="28">
        <f t="shared" si="79"/>
        <v>0</v>
      </c>
      <c r="T257" s="28">
        <f t="shared" si="79"/>
        <v>0</v>
      </c>
      <c r="U257" s="28">
        <f t="shared" si="79"/>
        <v>0</v>
      </c>
      <c r="V257" s="28">
        <f t="shared" si="79"/>
        <v>0</v>
      </c>
      <c r="W257" s="28">
        <f t="shared" si="79"/>
        <v>0</v>
      </c>
      <c r="X257" s="28">
        <f t="shared" si="80"/>
        <v>0</v>
      </c>
      <c r="Y257" s="28">
        <f t="shared" si="80"/>
        <v>0</v>
      </c>
      <c r="Z257" s="28">
        <f t="shared" si="80"/>
        <v>0</v>
      </c>
      <c r="AA257" s="28">
        <f t="shared" si="80"/>
        <v>0</v>
      </c>
      <c r="AB257" s="28">
        <f t="shared" si="80"/>
        <v>0</v>
      </c>
      <c r="AC257" s="28">
        <f t="shared" si="80"/>
        <v>0</v>
      </c>
      <c r="AD257" s="28">
        <f t="shared" si="80"/>
        <v>0</v>
      </c>
      <c r="AE257" s="28">
        <f t="shared" si="80"/>
        <v>0</v>
      </c>
      <c r="AF257" s="28">
        <f t="shared" si="80"/>
        <v>0</v>
      </c>
      <c r="AG257" s="28">
        <f t="shared" si="80"/>
        <v>1</v>
      </c>
      <c r="AH257" s="28">
        <f t="shared" si="69"/>
        <v>0</v>
      </c>
    </row>
    <row r="258" spans="1:34" ht="10.5" x14ac:dyDescent="0.15">
      <c r="A258" s="904" t="s">
        <v>3139</v>
      </c>
      <c r="B258" s="904" t="s">
        <v>3059</v>
      </c>
      <c r="C258" s="902"/>
      <c r="D258" s="902"/>
      <c r="E258" s="902"/>
      <c r="F258" s="902"/>
      <c r="G258" s="902">
        <v>1060506.544052338</v>
      </c>
      <c r="H258" s="902"/>
      <c r="I258" s="902"/>
      <c r="J258" s="902">
        <v>1060506.544052338</v>
      </c>
      <c r="K258" s="24">
        <f t="shared" si="68"/>
        <v>2021</v>
      </c>
      <c r="L258" s="66"/>
      <c r="M258" s="33">
        <f t="shared" si="76"/>
        <v>0</v>
      </c>
      <c r="N258" s="28">
        <f t="shared" si="79"/>
        <v>0</v>
      </c>
      <c r="O258" s="28">
        <f t="shared" si="79"/>
        <v>0</v>
      </c>
      <c r="P258" s="28">
        <f t="shared" si="79"/>
        <v>0</v>
      </c>
      <c r="Q258" s="28">
        <f t="shared" si="79"/>
        <v>0</v>
      </c>
      <c r="R258" s="28">
        <f t="shared" si="79"/>
        <v>0</v>
      </c>
      <c r="S258" s="28">
        <f t="shared" si="79"/>
        <v>0</v>
      </c>
      <c r="T258" s="28">
        <f t="shared" si="79"/>
        <v>0</v>
      </c>
      <c r="U258" s="28">
        <f t="shared" si="79"/>
        <v>0</v>
      </c>
      <c r="V258" s="28">
        <f t="shared" si="79"/>
        <v>0</v>
      </c>
      <c r="W258" s="28">
        <f t="shared" si="79"/>
        <v>0</v>
      </c>
      <c r="X258" s="28">
        <f t="shared" si="80"/>
        <v>0</v>
      </c>
      <c r="Y258" s="28">
        <f t="shared" si="80"/>
        <v>0</v>
      </c>
      <c r="Z258" s="28">
        <f t="shared" si="80"/>
        <v>0</v>
      </c>
      <c r="AA258" s="28">
        <f t="shared" si="80"/>
        <v>0</v>
      </c>
      <c r="AB258" s="28">
        <f t="shared" si="80"/>
        <v>0</v>
      </c>
      <c r="AC258" s="28">
        <f t="shared" si="80"/>
        <v>0</v>
      </c>
      <c r="AD258" s="28">
        <f t="shared" si="80"/>
        <v>0</v>
      </c>
      <c r="AE258" s="28">
        <f t="shared" si="80"/>
        <v>0</v>
      </c>
      <c r="AF258" s="28">
        <f t="shared" si="80"/>
        <v>0</v>
      </c>
      <c r="AG258" s="28">
        <f t="shared" si="80"/>
        <v>1</v>
      </c>
      <c r="AH258" s="28">
        <f t="shared" si="69"/>
        <v>0</v>
      </c>
    </row>
    <row r="259" spans="1:34" ht="10.5" x14ac:dyDescent="0.15">
      <c r="A259" s="904" t="s">
        <v>3140</v>
      </c>
      <c r="B259" s="904" t="s">
        <v>3059</v>
      </c>
      <c r="C259" s="902"/>
      <c r="D259" s="902"/>
      <c r="E259" s="902"/>
      <c r="F259" s="902"/>
      <c r="G259" s="902"/>
      <c r="H259" s="902">
        <v>2090196.7522140876</v>
      </c>
      <c r="I259" s="902"/>
      <c r="J259" s="902">
        <v>2090196.7522140876</v>
      </c>
      <c r="K259" s="24">
        <f t="shared" si="68"/>
        <v>2022</v>
      </c>
      <c r="L259" s="66"/>
      <c r="M259" s="33">
        <f t="shared" si="76"/>
        <v>0</v>
      </c>
      <c r="N259" s="28">
        <f t="shared" si="79"/>
        <v>0</v>
      </c>
      <c r="O259" s="28">
        <f t="shared" si="79"/>
        <v>0</v>
      </c>
      <c r="P259" s="28">
        <f t="shared" si="79"/>
        <v>0</v>
      </c>
      <c r="Q259" s="28">
        <f t="shared" si="79"/>
        <v>0</v>
      </c>
      <c r="R259" s="28">
        <f t="shared" si="79"/>
        <v>0</v>
      </c>
      <c r="S259" s="28">
        <f t="shared" si="79"/>
        <v>0</v>
      </c>
      <c r="T259" s="28">
        <f t="shared" si="79"/>
        <v>0</v>
      </c>
      <c r="U259" s="28">
        <f t="shared" si="79"/>
        <v>0</v>
      </c>
      <c r="V259" s="28">
        <f t="shared" si="79"/>
        <v>0</v>
      </c>
      <c r="W259" s="28">
        <f t="shared" si="79"/>
        <v>0</v>
      </c>
      <c r="X259" s="28">
        <f t="shared" si="80"/>
        <v>0</v>
      </c>
      <c r="Y259" s="28">
        <f t="shared" si="80"/>
        <v>0</v>
      </c>
      <c r="Z259" s="28">
        <f t="shared" si="80"/>
        <v>0</v>
      </c>
      <c r="AA259" s="28">
        <f t="shared" si="80"/>
        <v>0</v>
      </c>
      <c r="AB259" s="28">
        <f t="shared" si="80"/>
        <v>0</v>
      </c>
      <c r="AC259" s="28">
        <f t="shared" si="80"/>
        <v>0</v>
      </c>
      <c r="AD259" s="28">
        <f t="shared" si="80"/>
        <v>0</v>
      </c>
      <c r="AE259" s="28">
        <f t="shared" si="80"/>
        <v>0</v>
      </c>
      <c r="AF259" s="28">
        <f t="shared" si="80"/>
        <v>0</v>
      </c>
      <c r="AG259" s="28">
        <f t="shared" si="80"/>
        <v>1</v>
      </c>
      <c r="AH259" s="28">
        <f t="shared" si="69"/>
        <v>0</v>
      </c>
    </row>
    <row r="260" spans="1:34" ht="10.5" x14ac:dyDescent="0.15">
      <c r="A260" s="895" t="s">
        <v>3060</v>
      </c>
      <c r="B260" s="895" t="s">
        <v>3061</v>
      </c>
      <c r="C260" s="896"/>
      <c r="D260" s="896">
        <v>249447.1458309122</v>
      </c>
      <c r="E260" s="896"/>
      <c r="F260" s="896"/>
      <c r="G260" s="896"/>
      <c r="H260" s="896"/>
      <c r="I260" s="896"/>
      <c r="J260" s="896">
        <v>249447.1458309122</v>
      </c>
      <c r="K260" s="24">
        <f t="shared" si="68"/>
        <v>2018</v>
      </c>
      <c r="L260" s="66"/>
      <c r="M260" s="33">
        <f t="shared" si="76"/>
        <v>0</v>
      </c>
      <c r="N260" s="28">
        <f t="shared" si="79"/>
        <v>0</v>
      </c>
      <c r="O260" s="28">
        <f t="shared" si="79"/>
        <v>0</v>
      </c>
      <c r="P260" s="28">
        <f t="shared" si="79"/>
        <v>0</v>
      </c>
      <c r="Q260" s="28">
        <f t="shared" si="79"/>
        <v>1</v>
      </c>
      <c r="R260" s="28">
        <f t="shared" si="79"/>
        <v>0</v>
      </c>
      <c r="S260" s="28">
        <f t="shared" si="79"/>
        <v>0</v>
      </c>
      <c r="T260" s="28">
        <f t="shared" si="79"/>
        <v>0</v>
      </c>
      <c r="U260" s="28">
        <f t="shared" si="79"/>
        <v>0</v>
      </c>
      <c r="V260" s="28">
        <f t="shared" si="79"/>
        <v>0</v>
      </c>
      <c r="W260" s="28">
        <f t="shared" si="79"/>
        <v>0</v>
      </c>
      <c r="X260" s="28">
        <f t="shared" si="80"/>
        <v>0</v>
      </c>
      <c r="Y260" s="28">
        <f t="shared" si="80"/>
        <v>0</v>
      </c>
      <c r="Z260" s="28">
        <f t="shared" si="80"/>
        <v>0</v>
      </c>
      <c r="AA260" s="28">
        <f t="shared" si="80"/>
        <v>0</v>
      </c>
      <c r="AB260" s="28">
        <f t="shared" si="80"/>
        <v>0</v>
      </c>
      <c r="AC260" s="28">
        <f t="shared" si="80"/>
        <v>0</v>
      </c>
      <c r="AD260" s="28">
        <f t="shared" si="80"/>
        <v>0</v>
      </c>
      <c r="AE260" s="28">
        <f t="shared" si="80"/>
        <v>0</v>
      </c>
      <c r="AF260" s="28">
        <f t="shared" si="80"/>
        <v>0</v>
      </c>
      <c r="AG260" s="28">
        <f t="shared" si="80"/>
        <v>0</v>
      </c>
      <c r="AH260" s="28">
        <f t="shared" si="69"/>
        <v>1</v>
      </c>
    </row>
    <row r="261" spans="1:34" ht="10.5" x14ac:dyDescent="0.15">
      <c r="A261" s="895" t="s">
        <v>3062</v>
      </c>
      <c r="B261" s="895" t="s">
        <v>3063</v>
      </c>
      <c r="C261" s="896"/>
      <c r="D261" s="896">
        <v>4004367.5</v>
      </c>
      <c r="E261" s="896"/>
      <c r="F261" s="896"/>
      <c r="G261" s="896"/>
      <c r="H261" s="896"/>
      <c r="I261" s="896"/>
      <c r="J261" s="896">
        <v>4004367.5</v>
      </c>
      <c r="K261" s="24">
        <f t="shared" si="68"/>
        <v>2018</v>
      </c>
      <c r="L261" s="66"/>
      <c r="M261" s="33">
        <f t="shared" si="76"/>
        <v>0</v>
      </c>
      <c r="N261" s="28">
        <f t="shared" si="79"/>
        <v>0</v>
      </c>
      <c r="O261" s="28">
        <f t="shared" si="79"/>
        <v>0</v>
      </c>
      <c r="P261" s="28">
        <f t="shared" si="79"/>
        <v>0</v>
      </c>
      <c r="Q261" s="28">
        <f t="shared" si="79"/>
        <v>0</v>
      </c>
      <c r="R261" s="28">
        <f t="shared" si="79"/>
        <v>0</v>
      </c>
      <c r="S261" s="28">
        <f t="shared" si="79"/>
        <v>0</v>
      </c>
      <c r="T261" s="28">
        <f t="shared" si="79"/>
        <v>0</v>
      </c>
      <c r="U261" s="28">
        <f t="shared" si="79"/>
        <v>0</v>
      </c>
      <c r="V261" s="28">
        <f t="shared" si="79"/>
        <v>0</v>
      </c>
      <c r="W261" s="28">
        <f t="shared" si="79"/>
        <v>0</v>
      </c>
      <c r="X261" s="28">
        <f t="shared" si="80"/>
        <v>0</v>
      </c>
      <c r="Y261" s="28">
        <f t="shared" si="80"/>
        <v>0</v>
      </c>
      <c r="Z261" s="28">
        <f t="shared" si="80"/>
        <v>0</v>
      </c>
      <c r="AA261" s="28">
        <f t="shared" si="80"/>
        <v>0</v>
      </c>
      <c r="AB261" s="28">
        <f t="shared" si="80"/>
        <v>0</v>
      </c>
      <c r="AC261" s="28">
        <f t="shared" si="80"/>
        <v>1</v>
      </c>
      <c r="AD261" s="28">
        <f t="shared" si="80"/>
        <v>0</v>
      </c>
      <c r="AE261" s="28">
        <f t="shared" si="80"/>
        <v>0</v>
      </c>
      <c r="AF261" s="28">
        <f t="shared" si="80"/>
        <v>0</v>
      </c>
      <c r="AG261" s="28">
        <f t="shared" si="80"/>
        <v>0</v>
      </c>
      <c r="AH261" s="28">
        <f t="shared" si="69"/>
        <v>1</v>
      </c>
    </row>
    <row r="262" spans="1:34" ht="10.5" x14ac:dyDescent="0.15">
      <c r="A262" s="895" t="s">
        <v>2261</v>
      </c>
      <c r="B262" s="895"/>
      <c r="C262" s="896">
        <v>75944362.710129082</v>
      </c>
      <c r="D262" s="896">
        <v>289035860.35810888</v>
      </c>
      <c r="E262" s="896">
        <v>125056152.36477567</v>
      </c>
      <c r="F262" s="896">
        <v>72738034.6651804</v>
      </c>
      <c r="G262" s="896">
        <v>96369297.055624709</v>
      </c>
      <c r="H262" s="896">
        <v>109456410.83062835</v>
      </c>
      <c r="I262" s="896">
        <v>178436782.54508963</v>
      </c>
      <c r="J262" s="896">
        <v>947036900.52953684</v>
      </c>
      <c r="K262" s="24"/>
      <c r="L262" s="66"/>
      <c r="M262" s="33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</row>
    <row r="263" spans="1:34" ht="15" x14ac:dyDescent="0.25">
      <c r="A263"/>
      <c r="B263"/>
      <c r="C263"/>
      <c r="D263"/>
      <c r="E263"/>
      <c r="F263"/>
      <c r="G263"/>
      <c r="H263"/>
      <c r="I263"/>
      <c r="J263"/>
      <c r="K263" s="24"/>
      <c r="L263" s="66"/>
      <c r="M263" s="33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</row>
    <row r="264" spans="1:34" ht="15" x14ac:dyDescent="0.25">
      <c r="A264"/>
      <c r="B264"/>
      <c r="C264"/>
      <c r="D264"/>
      <c r="E264"/>
      <c r="F264"/>
      <c r="G264"/>
      <c r="H264"/>
      <c r="I264"/>
      <c r="J264"/>
      <c r="K264" s="24"/>
      <c r="L264" s="66"/>
      <c r="M264" s="33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</row>
    <row r="265" spans="1:34" ht="15" x14ac:dyDescent="0.25">
      <c r="A265"/>
      <c r="B265"/>
      <c r="C265"/>
      <c r="D265"/>
      <c r="E265"/>
      <c r="F265"/>
      <c r="G265"/>
      <c r="H265"/>
      <c r="I265"/>
      <c r="J265"/>
      <c r="K265" s="24"/>
      <c r="L265" s="66"/>
      <c r="M265" s="33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</row>
    <row r="266" spans="1:34" ht="15" x14ac:dyDescent="0.25">
      <c r="A266"/>
      <c r="B266"/>
      <c r="C266"/>
      <c r="D266"/>
      <c r="E266"/>
      <c r="F266"/>
      <c r="G266"/>
      <c r="H266"/>
      <c r="I266"/>
      <c r="J266"/>
      <c r="K266" s="24"/>
      <c r="L266" s="66"/>
      <c r="M266" s="33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</row>
    <row r="267" spans="1:34" ht="15" x14ac:dyDescent="0.25">
      <c r="A267"/>
      <c r="B267"/>
      <c r="C267"/>
      <c r="D267"/>
      <c r="E267"/>
      <c r="F267"/>
      <c r="G267"/>
      <c r="H267"/>
      <c r="I267"/>
      <c r="J267"/>
      <c r="K267" s="24"/>
      <c r="L267" s="66"/>
      <c r="M267" s="33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</row>
    <row r="268" spans="1:34" ht="15" x14ac:dyDescent="0.25">
      <c r="A268"/>
      <c r="B268"/>
      <c r="C268"/>
      <c r="D268"/>
      <c r="E268"/>
      <c r="F268"/>
      <c r="G268"/>
      <c r="H268"/>
      <c r="I268"/>
      <c r="J268"/>
      <c r="K268" s="24"/>
      <c r="L268" s="66"/>
      <c r="M268" s="33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</row>
    <row r="269" spans="1:34" ht="15" x14ac:dyDescent="0.25">
      <c r="A269"/>
      <c r="B269"/>
      <c r="C269"/>
      <c r="D269"/>
      <c r="E269"/>
      <c r="F269"/>
      <c r="G269"/>
      <c r="H269"/>
      <c r="I269"/>
      <c r="J269"/>
      <c r="K269" s="24"/>
      <c r="L269" s="66"/>
      <c r="M269" s="33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</row>
    <row r="270" spans="1:34" ht="15" x14ac:dyDescent="0.25">
      <c r="A270"/>
      <c r="B270"/>
      <c r="C270"/>
      <c r="D270"/>
      <c r="E270"/>
      <c r="F270"/>
      <c r="G270"/>
      <c r="H270"/>
      <c r="I270"/>
      <c r="J270"/>
      <c r="K270" s="24"/>
      <c r="L270" s="66"/>
      <c r="M270" s="33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</row>
    <row r="271" spans="1:34" ht="15" x14ac:dyDescent="0.25">
      <c r="A271"/>
      <c r="B271"/>
      <c r="C271"/>
      <c r="D271"/>
      <c r="E271"/>
      <c r="F271"/>
      <c r="G271"/>
      <c r="H271"/>
      <c r="I271"/>
      <c r="J271"/>
      <c r="K271" s="24"/>
      <c r="L271" s="66"/>
      <c r="M271" s="33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</row>
    <row r="272" spans="1:34" ht="15" x14ac:dyDescent="0.25">
      <c r="A272"/>
      <c r="B272"/>
      <c r="C272"/>
      <c r="D272"/>
      <c r="E272"/>
      <c r="F272"/>
      <c r="G272"/>
      <c r="H272"/>
      <c r="I272"/>
      <c r="J272"/>
      <c r="K272" s="24"/>
      <c r="L272" s="66"/>
      <c r="M272" s="33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</row>
    <row r="273" spans="1:34" ht="15" x14ac:dyDescent="0.25">
      <c r="A273"/>
      <c r="B273"/>
      <c r="C273"/>
      <c r="D273"/>
      <c r="E273"/>
      <c r="F273"/>
      <c r="G273"/>
      <c r="H273"/>
      <c r="I273"/>
      <c r="J273"/>
      <c r="K273" s="24"/>
      <c r="L273" s="66"/>
      <c r="M273" s="33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</row>
    <row r="274" spans="1:34" ht="15" x14ac:dyDescent="0.25">
      <c r="A274"/>
      <c r="B274"/>
      <c r="C274"/>
      <c r="D274"/>
      <c r="E274"/>
      <c r="F274"/>
      <c r="G274"/>
      <c r="H274"/>
      <c r="I274"/>
      <c r="J274"/>
      <c r="K274" s="24"/>
      <c r="L274" s="66"/>
      <c r="M274" s="33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</row>
    <row r="275" spans="1:34" ht="15" x14ac:dyDescent="0.25">
      <c r="A275"/>
      <c r="B275"/>
      <c r="C275"/>
      <c r="D275"/>
      <c r="E275"/>
      <c r="F275"/>
      <c r="G275"/>
      <c r="H275"/>
      <c r="I275"/>
      <c r="J275"/>
      <c r="K275" s="24"/>
      <c r="L275" s="66"/>
      <c r="M275" s="33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</row>
    <row r="276" spans="1:34" ht="15" x14ac:dyDescent="0.25">
      <c r="A276"/>
      <c r="B276"/>
      <c r="C276"/>
      <c r="D276"/>
      <c r="E276"/>
      <c r="F276"/>
      <c r="G276"/>
      <c r="H276"/>
      <c r="I276"/>
      <c r="J276"/>
      <c r="K276" s="24"/>
      <c r="L276" s="66"/>
      <c r="M276" s="33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</row>
    <row r="277" spans="1:34" ht="15" x14ac:dyDescent="0.25">
      <c r="A277"/>
      <c r="B277"/>
      <c r="C277"/>
      <c r="D277"/>
      <c r="E277"/>
      <c r="F277"/>
      <c r="G277"/>
      <c r="H277"/>
      <c r="I277"/>
      <c r="J277"/>
      <c r="K277" s="24"/>
      <c r="L277" s="66"/>
      <c r="M277" s="33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</row>
    <row r="278" spans="1:34" ht="15" x14ac:dyDescent="0.25">
      <c r="A278"/>
      <c r="B278"/>
      <c r="C278"/>
      <c r="D278"/>
      <c r="E278"/>
      <c r="F278"/>
      <c r="G278"/>
      <c r="H278"/>
      <c r="I278"/>
      <c r="J278"/>
      <c r="K278" s="24"/>
      <c r="L278" s="66"/>
      <c r="M278" s="33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</row>
    <row r="279" spans="1:34" ht="15" x14ac:dyDescent="0.25">
      <c r="A279"/>
      <c r="B279"/>
      <c r="C279"/>
      <c r="D279"/>
      <c r="E279"/>
      <c r="F279"/>
      <c r="G279"/>
      <c r="H279"/>
      <c r="I279"/>
      <c r="J279"/>
      <c r="K279" s="24"/>
      <c r="L279" s="66"/>
      <c r="M279" s="33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</row>
    <row r="280" spans="1:34" ht="15" x14ac:dyDescent="0.25">
      <c r="A280"/>
      <c r="B280"/>
      <c r="C280"/>
      <c r="D280"/>
      <c r="E280"/>
      <c r="F280"/>
      <c r="G280"/>
      <c r="H280"/>
      <c r="I280"/>
      <c r="J280"/>
      <c r="K280" s="24"/>
      <c r="L280" s="66"/>
      <c r="M280" s="33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</row>
    <row r="281" spans="1:34" ht="15" x14ac:dyDescent="0.25">
      <c r="A281"/>
      <c r="B281"/>
      <c r="C281"/>
      <c r="D281"/>
      <c r="E281"/>
      <c r="F281"/>
      <c r="G281"/>
      <c r="H281"/>
      <c r="I281"/>
      <c r="J281"/>
      <c r="K281" s="24"/>
      <c r="L281" s="66"/>
      <c r="M281" s="33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</row>
    <row r="282" spans="1:34" ht="15" x14ac:dyDescent="0.25">
      <c r="A282"/>
      <c r="B282"/>
      <c r="C282"/>
      <c r="D282"/>
      <c r="E282"/>
      <c r="F282"/>
      <c r="G282"/>
      <c r="H282"/>
      <c r="I282"/>
      <c r="J282"/>
      <c r="K282" s="24"/>
      <c r="L282" s="66"/>
      <c r="M282" s="33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</row>
    <row r="283" spans="1:34" ht="15" x14ac:dyDescent="0.25">
      <c r="A283"/>
      <c r="B283"/>
      <c r="C283"/>
      <c r="D283"/>
      <c r="E283"/>
      <c r="F283"/>
      <c r="G283"/>
      <c r="H283"/>
      <c r="I283"/>
      <c r="J283"/>
      <c r="K283" s="24"/>
      <c r="L283" s="66"/>
      <c r="M283" s="33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</row>
    <row r="284" spans="1:34" ht="15" x14ac:dyDescent="0.25">
      <c r="A284"/>
      <c r="B284"/>
      <c r="C284"/>
      <c r="D284"/>
      <c r="E284"/>
      <c r="F284"/>
      <c r="G284"/>
      <c r="H284"/>
      <c r="I284"/>
      <c r="J284"/>
      <c r="K284" s="24"/>
      <c r="L284" s="66"/>
      <c r="M284" s="33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</row>
    <row r="285" spans="1:34" ht="15" x14ac:dyDescent="0.25">
      <c r="A285"/>
      <c r="B285"/>
      <c r="C285"/>
      <c r="D285"/>
      <c r="E285"/>
      <c r="F285"/>
      <c r="G285"/>
      <c r="H285"/>
      <c r="I285"/>
      <c r="J285"/>
      <c r="K285" s="24"/>
      <c r="L285" s="66"/>
      <c r="M285" s="33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</row>
    <row r="286" spans="1:34" ht="15" x14ac:dyDescent="0.25">
      <c r="A286"/>
      <c r="B286"/>
      <c r="C286"/>
      <c r="D286"/>
      <c r="E286"/>
      <c r="F286"/>
      <c r="G286"/>
      <c r="H286"/>
      <c r="I286"/>
      <c r="J286"/>
      <c r="K286" s="24"/>
      <c r="L286" s="66"/>
      <c r="M286" s="33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</row>
    <row r="287" spans="1:34" ht="15" x14ac:dyDescent="0.25">
      <c r="A287"/>
      <c r="B287"/>
      <c r="C287"/>
      <c r="D287"/>
      <c r="E287"/>
      <c r="F287"/>
      <c r="G287"/>
      <c r="H287"/>
      <c r="I287"/>
      <c r="J287"/>
      <c r="K287" s="24"/>
      <c r="L287" s="66"/>
      <c r="M287" s="33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</row>
    <row r="288" spans="1:34" ht="15" x14ac:dyDescent="0.25">
      <c r="A288"/>
      <c r="B288"/>
      <c r="C288"/>
      <c r="D288"/>
      <c r="E288"/>
      <c r="F288"/>
      <c r="G288"/>
      <c r="H288"/>
      <c r="I288"/>
      <c r="J288"/>
      <c r="K288" s="24"/>
      <c r="L288" s="66"/>
      <c r="M288" s="33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</row>
    <row r="289" spans="1:34" ht="15" x14ac:dyDescent="0.25">
      <c r="A289"/>
      <c r="B289"/>
      <c r="C289"/>
      <c r="D289"/>
      <c r="E289"/>
      <c r="F289"/>
      <c r="G289"/>
      <c r="H289"/>
      <c r="I289"/>
      <c r="J289"/>
      <c r="K289" s="24"/>
      <c r="L289" s="66"/>
      <c r="M289" s="33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</row>
    <row r="290" spans="1:34" ht="15" x14ac:dyDescent="0.25">
      <c r="A290"/>
      <c r="B290"/>
      <c r="C290"/>
      <c r="D290"/>
      <c r="E290"/>
      <c r="F290"/>
      <c r="G290"/>
      <c r="H290"/>
      <c r="I290"/>
      <c r="J290"/>
      <c r="K290" s="24"/>
      <c r="L290" s="66"/>
      <c r="M290" s="33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</row>
    <row r="291" spans="1:34" ht="15" x14ac:dyDescent="0.25">
      <c r="A291"/>
      <c r="B291"/>
      <c r="C291"/>
      <c r="D291"/>
      <c r="E291"/>
      <c r="F291"/>
      <c r="G291"/>
      <c r="H291"/>
      <c r="I291"/>
      <c r="J291"/>
      <c r="K291" s="24"/>
      <c r="L291" s="66"/>
      <c r="M291" s="33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</row>
    <row r="292" spans="1:34" ht="15" x14ac:dyDescent="0.25">
      <c r="A292"/>
      <c r="B292"/>
      <c r="C292"/>
      <c r="D292"/>
      <c r="E292"/>
      <c r="F292"/>
      <c r="G292"/>
      <c r="H292"/>
      <c r="I292"/>
      <c r="J292"/>
      <c r="K292" s="24"/>
      <c r="L292" s="66"/>
      <c r="M292" s="33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</row>
    <row r="293" spans="1:34" ht="15" x14ac:dyDescent="0.25">
      <c r="A293"/>
      <c r="B293"/>
      <c r="C293"/>
      <c r="D293"/>
      <c r="E293"/>
      <c r="F293"/>
      <c r="G293"/>
      <c r="H293"/>
      <c r="I293"/>
      <c r="J293"/>
      <c r="K293" s="24"/>
      <c r="L293" s="66"/>
      <c r="M293" s="33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</row>
    <row r="294" spans="1:34" ht="15" x14ac:dyDescent="0.25">
      <c r="A294"/>
      <c r="B294"/>
      <c r="C294"/>
      <c r="D294"/>
      <c r="E294"/>
      <c r="F294"/>
      <c r="G294"/>
      <c r="H294"/>
      <c r="I294"/>
      <c r="J294"/>
      <c r="K294" s="24"/>
      <c r="L294" s="66"/>
      <c r="M294" s="33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</row>
    <row r="295" spans="1:34" ht="15" x14ac:dyDescent="0.25">
      <c r="A295"/>
      <c r="B295"/>
      <c r="C295"/>
      <c r="D295"/>
      <c r="E295"/>
      <c r="F295"/>
      <c r="G295"/>
      <c r="H295"/>
      <c r="I295"/>
      <c r="J295"/>
      <c r="K295" s="24"/>
      <c r="L295" s="66"/>
      <c r="M295" s="33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</row>
    <row r="296" spans="1:34" ht="15" x14ac:dyDescent="0.25">
      <c r="A296"/>
      <c r="B296"/>
      <c r="C296"/>
      <c r="D296"/>
      <c r="E296"/>
      <c r="F296"/>
      <c r="G296"/>
      <c r="H296"/>
      <c r="I296"/>
      <c r="J296"/>
      <c r="K296" s="24"/>
      <c r="L296" s="66"/>
      <c r="M296" s="33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</row>
    <row r="297" spans="1:34" ht="15" x14ac:dyDescent="0.25">
      <c r="A297"/>
      <c r="B297"/>
      <c r="C297"/>
      <c r="D297"/>
      <c r="E297"/>
      <c r="F297"/>
      <c r="G297"/>
      <c r="H297"/>
      <c r="I297"/>
      <c r="J297"/>
      <c r="K297" s="24"/>
      <c r="L297" s="66"/>
      <c r="M297" s="33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</row>
    <row r="298" spans="1:34" ht="15" x14ac:dyDescent="0.25">
      <c r="A298"/>
      <c r="B298"/>
      <c r="C298"/>
      <c r="D298"/>
      <c r="E298"/>
      <c r="F298"/>
      <c r="G298"/>
      <c r="H298"/>
      <c r="I298"/>
      <c r="J298"/>
      <c r="K298" s="24"/>
      <c r="L298" s="66"/>
      <c r="M298" s="33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</row>
    <row r="299" spans="1:34" ht="15" x14ac:dyDescent="0.25">
      <c r="A299"/>
      <c r="B299"/>
      <c r="C299"/>
      <c r="D299"/>
      <c r="E299"/>
      <c r="F299"/>
      <c r="G299"/>
      <c r="H299"/>
      <c r="I299"/>
      <c r="J299"/>
      <c r="K299" s="24"/>
      <c r="L299" s="66"/>
      <c r="M299" s="33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</row>
    <row r="300" spans="1:34" ht="15" x14ac:dyDescent="0.25">
      <c r="A300"/>
      <c r="B300"/>
      <c r="C300"/>
      <c r="D300"/>
      <c r="E300"/>
      <c r="F300"/>
      <c r="G300"/>
      <c r="H300"/>
      <c r="I300"/>
      <c r="J300"/>
      <c r="K300" s="24"/>
      <c r="L300" s="66"/>
      <c r="M300" s="33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</row>
    <row r="301" spans="1:34" ht="15" x14ac:dyDescent="0.25">
      <c r="A301"/>
      <c r="B301"/>
      <c r="C301"/>
      <c r="D301"/>
      <c r="E301"/>
      <c r="F301"/>
      <c r="G301"/>
      <c r="H301"/>
      <c r="I301"/>
      <c r="J301"/>
      <c r="K301" s="24"/>
      <c r="L301" s="66"/>
      <c r="M301" s="33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</row>
    <row r="302" spans="1:34" ht="15" x14ac:dyDescent="0.25">
      <c r="A302"/>
      <c r="B302"/>
      <c r="C302"/>
      <c r="D302"/>
      <c r="E302"/>
      <c r="F302"/>
      <c r="G302"/>
      <c r="H302"/>
      <c r="I302"/>
      <c r="J302"/>
      <c r="K302" s="24"/>
      <c r="L302" s="66"/>
      <c r="M302" s="33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</row>
    <row r="303" spans="1:34" ht="15" x14ac:dyDescent="0.25">
      <c r="A303"/>
      <c r="B303"/>
      <c r="C303"/>
      <c r="D303"/>
      <c r="E303"/>
      <c r="F303"/>
      <c r="G303"/>
      <c r="H303"/>
      <c r="I303"/>
      <c r="J303"/>
      <c r="K303" s="24"/>
      <c r="L303" s="66"/>
      <c r="M303" s="33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</row>
    <row r="304" spans="1:34" ht="15" x14ac:dyDescent="0.25">
      <c r="A304"/>
      <c r="B304"/>
      <c r="C304"/>
      <c r="D304"/>
      <c r="E304"/>
      <c r="F304"/>
      <c r="G304"/>
      <c r="H304"/>
      <c r="I304"/>
      <c r="J304"/>
      <c r="K304" s="24"/>
      <c r="L304" s="66"/>
      <c r="M304" s="33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</row>
    <row r="305" spans="1:34" ht="15" x14ac:dyDescent="0.25">
      <c r="A305"/>
      <c r="B305"/>
      <c r="C305"/>
      <c r="D305"/>
      <c r="E305"/>
      <c r="F305"/>
      <c r="G305"/>
      <c r="H305"/>
      <c r="I305"/>
      <c r="J305"/>
      <c r="K305" s="24"/>
      <c r="L305" s="66"/>
      <c r="M305" s="33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</row>
    <row r="306" spans="1:34" ht="15" x14ac:dyDescent="0.25">
      <c r="A306"/>
      <c r="B306"/>
      <c r="C306"/>
      <c r="D306"/>
      <c r="E306"/>
      <c r="F306"/>
      <c r="G306"/>
      <c r="H306"/>
      <c r="I306"/>
      <c r="J306"/>
      <c r="K306" s="24"/>
      <c r="L306" s="66"/>
      <c r="M306" s="33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</row>
    <row r="307" spans="1:34" ht="15" x14ac:dyDescent="0.25">
      <c r="A307"/>
      <c r="B307"/>
      <c r="C307"/>
      <c r="D307"/>
      <c r="E307"/>
      <c r="F307"/>
      <c r="G307"/>
      <c r="H307"/>
      <c r="I307"/>
      <c r="J307"/>
      <c r="K307" s="24"/>
      <c r="L307" s="66"/>
      <c r="M307" s="33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</row>
    <row r="308" spans="1:34" ht="15" x14ac:dyDescent="0.25">
      <c r="A308"/>
      <c r="B308"/>
      <c r="C308"/>
      <c r="D308"/>
      <c r="E308"/>
      <c r="F308"/>
      <c r="G308"/>
      <c r="H308"/>
      <c r="I308"/>
      <c r="J308"/>
      <c r="K308" s="24"/>
      <c r="L308" s="66"/>
      <c r="M308" s="33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</row>
    <row r="309" spans="1:34" ht="15" x14ac:dyDescent="0.25">
      <c r="A309"/>
      <c r="B309"/>
      <c r="C309"/>
      <c r="D309"/>
      <c r="E309"/>
      <c r="F309"/>
      <c r="G309"/>
      <c r="H309"/>
      <c r="I309"/>
      <c r="J309"/>
      <c r="K309" s="24"/>
      <c r="L309" s="66"/>
      <c r="M309" s="33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</row>
    <row r="310" spans="1:34" ht="15" x14ac:dyDescent="0.25">
      <c r="A310"/>
      <c r="B310"/>
      <c r="C310"/>
      <c r="D310"/>
      <c r="E310"/>
      <c r="F310"/>
      <c r="G310"/>
      <c r="H310"/>
      <c r="I310"/>
      <c r="J310"/>
      <c r="K310" s="24"/>
      <c r="L310" s="66"/>
      <c r="M310" s="33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</row>
    <row r="311" spans="1:34" ht="15" x14ac:dyDescent="0.25">
      <c r="A311"/>
      <c r="B311"/>
      <c r="C311"/>
      <c r="D311"/>
      <c r="E311"/>
      <c r="F311"/>
      <c r="G311"/>
      <c r="H311"/>
      <c r="I311"/>
      <c r="J311"/>
      <c r="K311" s="24"/>
      <c r="L311" s="66"/>
      <c r="M311" s="33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</row>
    <row r="312" spans="1:34" ht="15" x14ac:dyDescent="0.25">
      <c r="A312"/>
      <c r="B312"/>
      <c r="C312"/>
      <c r="D312"/>
      <c r="E312"/>
      <c r="F312"/>
      <c r="G312"/>
      <c r="H312"/>
      <c r="I312"/>
      <c r="J312"/>
      <c r="K312" s="24"/>
      <c r="L312" s="66"/>
      <c r="M312" s="33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</row>
    <row r="313" spans="1:34" ht="15" x14ac:dyDescent="0.25">
      <c r="A313"/>
      <c r="B313"/>
      <c r="C313"/>
      <c r="D313"/>
      <c r="E313"/>
      <c r="F313"/>
      <c r="G313"/>
      <c r="H313"/>
      <c r="I313"/>
      <c r="J313"/>
      <c r="K313" s="24"/>
      <c r="L313" s="66"/>
      <c r="M313" s="33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</row>
    <row r="314" spans="1:34" ht="15" x14ac:dyDescent="0.25">
      <c r="A314"/>
      <c r="B314"/>
      <c r="C314"/>
      <c r="D314"/>
      <c r="E314"/>
      <c r="F314"/>
      <c r="G314"/>
      <c r="H314"/>
      <c r="I314"/>
      <c r="J314"/>
      <c r="K314" s="24"/>
      <c r="L314" s="66"/>
      <c r="M314" s="33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</row>
    <row r="315" spans="1:34" ht="15" x14ac:dyDescent="0.25">
      <c r="A315"/>
      <c r="B315"/>
      <c r="C315"/>
      <c r="D315"/>
      <c r="E315"/>
      <c r="F315"/>
      <c r="G315"/>
      <c r="H315"/>
      <c r="I315"/>
      <c r="J315"/>
      <c r="K315" s="24"/>
      <c r="L315" s="66"/>
      <c r="M315" s="33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</row>
    <row r="316" spans="1:34" ht="15" x14ac:dyDescent="0.25">
      <c r="A316"/>
      <c r="B316"/>
      <c r="C316"/>
      <c r="D316"/>
      <c r="E316"/>
      <c r="F316"/>
      <c r="G316"/>
      <c r="H316"/>
      <c r="I316"/>
      <c r="J316"/>
      <c r="K316" s="24"/>
      <c r="L316" s="66"/>
      <c r="M316" s="33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</row>
    <row r="317" spans="1:34" ht="15" x14ac:dyDescent="0.25">
      <c r="A317"/>
      <c r="B317"/>
      <c r="C317"/>
      <c r="D317"/>
      <c r="E317"/>
      <c r="F317"/>
      <c r="G317"/>
      <c r="H317"/>
      <c r="I317"/>
      <c r="J317"/>
      <c r="K317" s="24"/>
      <c r="L317" s="66"/>
      <c r="M317" s="33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</row>
    <row r="318" spans="1:34" ht="15" x14ac:dyDescent="0.25">
      <c r="A318"/>
      <c r="B318"/>
      <c r="C318"/>
      <c r="D318"/>
      <c r="E318"/>
      <c r="F318"/>
      <c r="G318"/>
      <c r="H318"/>
      <c r="I318"/>
      <c r="J318"/>
      <c r="K318" s="24"/>
      <c r="L318" s="66"/>
      <c r="M318" s="33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</row>
    <row r="319" spans="1:34" ht="15" x14ac:dyDescent="0.25">
      <c r="A319"/>
      <c r="B319"/>
      <c r="C319"/>
      <c r="D319"/>
      <c r="E319"/>
      <c r="F319"/>
      <c r="G319"/>
      <c r="H319"/>
      <c r="I319"/>
      <c r="J319"/>
      <c r="K319" s="24"/>
      <c r="L319" s="66"/>
      <c r="M319" s="33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</row>
    <row r="320" spans="1:34" ht="15" x14ac:dyDescent="0.25">
      <c r="A320"/>
      <c r="B320"/>
      <c r="C320"/>
      <c r="D320"/>
      <c r="E320"/>
      <c r="F320"/>
      <c r="G320"/>
      <c r="H320"/>
      <c r="I320"/>
      <c r="J320"/>
      <c r="K320" s="24"/>
      <c r="L320" s="66"/>
      <c r="M320" s="33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</row>
    <row r="321" spans="1:34" ht="15" x14ac:dyDescent="0.25">
      <c r="A321"/>
      <c r="B321"/>
      <c r="C321"/>
      <c r="D321"/>
      <c r="E321"/>
      <c r="F321"/>
      <c r="G321"/>
      <c r="H321"/>
      <c r="I321"/>
      <c r="J321"/>
      <c r="K321" s="24"/>
      <c r="L321" s="66"/>
      <c r="M321" s="33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</row>
    <row r="322" spans="1:34" ht="15" x14ac:dyDescent="0.25">
      <c r="A322"/>
      <c r="B322"/>
      <c r="C322"/>
      <c r="D322"/>
      <c r="E322"/>
      <c r="F322"/>
      <c r="G322"/>
      <c r="H322"/>
      <c r="I322"/>
      <c r="J322"/>
      <c r="K322" s="24"/>
      <c r="L322" s="66"/>
      <c r="M322" s="33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</row>
    <row r="323" spans="1:34" ht="15" x14ac:dyDescent="0.25">
      <c r="A323"/>
      <c r="B323"/>
      <c r="C323"/>
      <c r="D323"/>
      <c r="E323"/>
      <c r="F323"/>
      <c r="G323"/>
      <c r="H323"/>
      <c r="I323"/>
      <c r="J323"/>
      <c r="K323" s="24"/>
      <c r="L323" s="66"/>
      <c r="M323" s="33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</row>
    <row r="324" spans="1:34" ht="15" x14ac:dyDescent="0.25">
      <c r="A324"/>
      <c r="B324"/>
      <c r="C324"/>
      <c r="D324"/>
      <c r="E324"/>
      <c r="F324"/>
      <c r="G324"/>
      <c r="H324"/>
      <c r="I324"/>
      <c r="J324"/>
      <c r="K324" s="24"/>
      <c r="L324" s="66"/>
      <c r="M324" s="33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</row>
    <row r="325" spans="1:34" ht="15" x14ac:dyDescent="0.25">
      <c r="A325"/>
      <c r="B325"/>
      <c r="C325"/>
      <c r="D325"/>
      <c r="E325"/>
      <c r="F325"/>
      <c r="G325"/>
      <c r="H325"/>
      <c r="I325"/>
      <c r="J325"/>
      <c r="K325" s="24"/>
      <c r="L325" s="66"/>
      <c r="M325" s="33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</row>
    <row r="326" spans="1:34" ht="15" x14ac:dyDescent="0.25">
      <c r="A326"/>
      <c r="B326"/>
      <c r="C326"/>
      <c r="D326"/>
      <c r="E326"/>
      <c r="F326"/>
      <c r="G326"/>
      <c r="H326"/>
      <c r="I326"/>
      <c r="J326"/>
      <c r="K326" s="24"/>
      <c r="L326" s="66"/>
      <c r="M326" s="33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</row>
    <row r="327" spans="1:34" ht="15" x14ac:dyDescent="0.25">
      <c r="A327"/>
      <c r="B327"/>
      <c r="C327"/>
      <c r="D327"/>
      <c r="E327"/>
      <c r="F327"/>
      <c r="G327"/>
      <c r="H327"/>
      <c r="I327"/>
      <c r="J327"/>
      <c r="K327" s="24"/>
      <c r="L327" s="66"/>
      <c r="M327" s="33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</row>
    <row r="328" spans="1:34" ht="15" x14ac:dyDescent="0.25">
      <c r="A328"/>
      <c r="B328"/>
      <c r="C328"/>
      <c r="D328"/>
      <c r="E328"/>
      <c r="F328"/>
      <c r="G328"/>
      <c r="H328"/>
      <c r="I328"/>
      <c r="J328"/>
      <c r="K328" s="24"/>
      <c r="L328" s="66"/>
      <c r="M328" s="33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</row>
    <row r="329" spans="1:34" ht="15" x14ac:dyDescent="0.25">
      <c r="A329"/>
      <c r="B329"/>
      <c r="C329"/>
      <c r="D329"/>
      <c r="E329"/>
      <c r="F329"/>
      <c r="G329"/>
      <c r="H329"/>
      <c r="I329"/>
      <c r="J329"/>
      <c r="K329" s="24"/>
      <c r="L329" s="66"/>
      <c r="M329" s="33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</row>
    <row r="330" spans="1:34" ht="15" x14ac:dyDescent="0.25">
      <c r="A330"/>
      <c r="B330"/>
      <c r="C330"/>
      <c r="D330"/>
      <c r="E330"/>
      <c r="F330"/>
      <c r="G330"/>
      <c r="H330"/>
      <c r="I330"/>
      <c r="J330"/>
      <c r="K330" s="24"/>
      <c r="L330" s="66"/>
      <c r="M330" s="33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</row>
    <row r="331" spans="1:34" ht="15" x14ac:dyDescent="0.25">
      <c r="A331"/>
      <c r="B331"/>
      <c r="C331"/>
      <c r="D331"/>
      <c r="E331"/>
      <c r="F331"/>
      <c r="G331"/>
      <c r="H331"/>
      <c r="I331"/>
      <c r="J331"/>
      <c r="K331" s="24"/>
      <c r="L331" s="66"/>
      <c r="M331" s="33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</row>
    <row r="332" spans="1:34" ht="15" x14ac:dyDescent="0.25">
      <c r="A332"/>
      <c r="B332"/>
      <c r="C332"/>
      <c r="D332"/>
      <c r="E332"/>
      <c r="F332"/>
      <c r="G332"/>
      <c r="H332"/>
      <c r="I332"/>
      <c r="J332"/>
      <c r="K332" s="24"/>
      <c r="L332" s="66"/>
      <c r="M332" s="33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</row>
    <row r="333" spans="1:34" ht="15" x14ac:dyDescent="0.25">
      <c r="A333"/>
      <c r="B333"/>
      <c r="C333"/>
      <c r="D333"/>
      <c r="E333"/>
      <c r="F333"/>
      <c r="G333"/>
      <c r="H333"/>
      <c r="I333"/>
      <c r="J333"/>
      <c r="K333" s="24"/>
      <c r="L333" s="66"/>
      <c r="M333" s="33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</row>
    <row r="334" spans="1:34" ht="15" x14ac:dyDescent="0.25">
      <c r="A334"/>
      <c r="B334"/>
      <c r="C334"/>
      <c r="D334"/>
      <c r="E334"/>
      <c r="F334"/>
      <c r="G334"/>
      <c r="H334"/>
      <c r="I334"/>
      <c r="J334"/>
      <c r="K334" s="24"/>
      <c r="L334" s="66"/>
      <c r="M334" s="33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</row>
    <row r="335" spans="1:34" ht="15" x14ac:dyDescent="0.25">
      <c r="A335"/>
      <c r="B335"/>
      <c r="C335"/>
      <c r="D335"/>
      <c r="E335"/>
      <c r="F335"/>
      <c r="G335"/>
      <c r="H335"/>
      <c r="I335"/>
      <c r="J335"/>
      <c r="K335" s="24"/>
      <c r="L335" s="66"/>
      <c r="M335" s="33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</row>
    <row r="336" spans="1:34" ht="15" x14ac:dyDescent="0.25">
      <c r="A336"/>
      <c r="B336"/>
      <c r="C336"/>
      <c r="D336"/>
      <c r="E336"/>
      <c r="F336"/>
      <c r="G336"/>
      <c r="H336"/>
      <c r="I336"/>
      <c r="J336"/>
      <c r="K336" s="24"/>
      <c r="L336" s="66"/>
      <c r="M336" s="33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</row>
    <row r="337" spans="1:34" ht="15" x14ac:dyDescent="0.25">
      <c r="A337"/>
      <c r="B337"/>
      <c r="C337"/>
      <c r="D337"/>
      <c r="E337"/>
      <c r="F337"/>
      <c r="G337"/>
      <c r="H337"/>
      <c r="I337"/>
      <c r="J337"/>
      <c r="K337" s="24"/>
      <c r="L337" s="66"/>
      <c r="M337" s="33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</row>
    <row r="338" spans="1:34" ht="15" x14ac:dyDescent="0.25">
      <c r="A338"/>
      <c r="B338"/>
      <c r="C338"/>
      <c r="D338"/>
      <c r="E338"/>
      <c r="F338"/>
      <c r="G338"/>
      <c r="H338"/>
      <c r="I338"/>
      <c r="J338"/>
      <c r="K338" s="24"/>
      <c r="L338" s="66"/>
      <c r="M338" s="33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</row>
    <row r="339" spans="1:34" ht="15" x14ac:dyDescent="0.25">
      <c r="A339"/>
      <c r="B339"/>
      <c r="C339"/>
      <c r="D339"/>
      <c r="E339"/>
      <c r="F339"/>
      <c r="G339"/>
      <c r="H339"/>
      <c r="I339"/>
      <c r="J339"/>
      <c r="K339" s="24"/>
      <c r="L339" s="66"/>
      <c r="M339" s="33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</row>
    <row r="340" spans="1:34" ht="15" x14ac:dyDescent="0.25">
      <c r="A340"/>
      <c r="B340"/>
      <c r="C340"/>
      <c r="D340"/>
      <c r="E340"/>
      <c r="F340"/>
      <c r="G340"/>
      <c r="H340"/>
      <c r="I340"/>
      <c r="J340"/>
      <c r="K340" s="24"/>
      <c r="L340" s="66"/>
      <c r="M340" s="33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</row>
    <row r="341" spans="1:34" ht="15" x14ac:dyDescent="0.25">
      <c r="A341"/>
      <c r="B341"/>
      <c r="C341"/>
      <c r="D341"/>
      <c r="E341"/>
      <c r="F341"/>
      <c r="G341"/>
      <c r="H341"/>
      <c r="I341"/>
      <c r="J341"/>
      <c r="K341" s="24"/>
      <c r="L341" s="66"/>
      <c r="M341" s="33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</row>
    <row r="342" spans="1:34" ht="15" x14ac:dyDescent="0.25">
      <c r="A342"/>
      <c r="B342"/>
      <c r="C342"/>
      <c r="D342"/>
      <c r="E342"/>
      <c r="F342"/>
      <c r="G342"/>
      <c r="H342"/>
      <c r="I342"/>
      <c r="J342"/>
      <c r="K342" s="24"/>
      <c r="L342" s="66"/>
      <c r="M342" s="33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</row>
    <row r="343" spans="1:34" ht="15" x14ac:dyDescent="0.25">
      <c r="A343"/>
      <c r="B343"/>
      <c r="C343"/>
      <c r="D343"/>
      <c r="E343"/>
      <c r="F343"/>
      <c r="G343"/>
      <c r="H343"/>
      <c r="I343"/>
      <c r="J343"/>
      <c r="K343" s="24"/>
      <c r="L343" s="66"/>
      <c r="M343" s="33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</row>
    <row r="344" spans="1:34" ht="15" x14ac:dyDescent="0.25">
      <c r="A344"/>
      <c r="B344"/>
      <c r="C344"/>
      <c r="D344"/>
      <c r="E344"/>
      <c r="F344"/>
      <c r="G344"/>
      <c r="H344"/>
      <c r="I344"/>
      <c r="J344"/>
      <c r="K344" s="24"/>
      <c r="L344" s="66"/>
      <c r="M344" s="33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</row>
    <row r="345" spans="1:34" ht="15" x14ac:dyDescent="0.25">
      <c r="A345"/>
      <c r="B345"/>
      <c r="C345"/>
      <c r="D345"/>
      <c r="E345"/>
      <c r="F345"/>
      <c r="G345"/>
      <c r="H345"/>
      <c r="I345"/>
      <c r="J345"/>
      <c r="K345" s="24"/>
      <c r="L345" s="66"/>
      <c r="M345" s="33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</row>
    <row r="346" spans="1:34" ht="15" x14ac:dyDescent="0.25">
      <c r="A346"/>
      <c r="B346"/>
      <c r="C346"/>
      <c r="D346"/>
      <c r="E346"/>
      <c r="F346"/>
      <c r="G346"/>
      <c r="H346"/>
      <c r="I346"/>
      <c r="J346"/>
      <c r="K346" s="24"/>
      <c r="L346" s="66"/>
      <c r="M346" s="33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</row>
    <row r="347" spans="1:34" ht="12.75" customHeight="1" x14ac:dyDescent="0.25">
      <c r="A347"/>
      <c r="B347"/>
      <c r="C347"/>
      <c r="D347"/>
      <c r="E347"/>
      <c r="F347"/>
      <c r="G347"/>
      <c r="H347"/>
      <c r="I347"/>
      <c r="J347"/>
      <c r="K347" s="24"/>
      <c r="L347" s="66"/>
      <c r="M347" s="33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</row>
    <row r="348" spans="1:34" ht="12.75" customHeight="1" x14ac:dyDescent="0.25">
      <c r="A348"/>
      <c r="B348"/>
      <c r="C348"/>
      <c r="D348"/>
      <c r="E348"/>
      <c r="F348"/>
      <c r="G348"/>
      <c r="H348"/>
      <c r="I348"/>
      <c r="J348"/>
      <c r="K348" s="24"/>
      <c r="L348" s="66"/>
      <c r="M348" s="33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</row>
    <row r="349" spans="1:34" ht="12.75" customHeight="1" x14ac:dyDescent="0.25">
      <c r="A349"/>
      <c r="B349"/>
      <c r="C349"/>
      <c r="D349"/>
      <c r="E349"/>
      <c r="F349"/>
      <c r="G349"/>
      <c r="H349"/>
      <c r="I349"/>
      <c r="J349"/>
      <c r="K349" s="19"/>
      <c r="L349" s="66"/>
      <c r="M349" s="33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</row>
    <row r="350" spans="1:34" ht="12.75" customHeight="1" x14ac:dyDescent="0.25">
      <c r="A350"/>
      <c r="B350"/>
      <c r="C350"/>
      <c r="D350"/>
      <c r="E350"/>
      <c r="F350"/>
      <c r="G350"/>
      <c r="H350" s="20"/>
      <c r="I350" s="20"/>
      <c r="J350" s="20"/>
      <c r="K350" s="19"/>
      <c r="L350" s="66"/>
      <c r="M350" s="33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3"/>
    </row>
    <row r="351" spans="1:34" ht="12.75" customHeight="1" x14ac:dyDescent="0.25">
      <c r="A351"/>
      <c r="B351"/>
      <c r="C351"/>
      <c r="D351"/>
      <c r="E351"/>
      <c r="F351"/>
      <c r="G351"/>
      <c r="H351" s="22"/>
      <c r="I351" s="22"/>
      <c r="J351" s="22"/>
      <c r="K351" s="19"/>
      <c r="L351" s="66"/>
      <c r="M351" s="33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3"/>
    </row>
    <row r="352" spans="1:34" ht="12.75" customHeight="1" x14ac:dyDescent="0.25">
      <c r="A352"/>
      <c r="B352"/>
      <c r="C352"/>
      <c r="D352"/>
      <c r="E352"/>
      <c r="F352"/>
      <c r="G352"/>
      <c r="H352" s="20"/>
      <c r="I352" s="22"/>
      <c r="J352" s="22"/>
      <c r="K352" s="19"/>
      <c r="L352" s="66"/>
      <c r="M352" s="33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3"/>
    </row>
    <row r="353" spans="1:34" ht="12.75" customHeight="1" x14ac:dyDescent="0.25">
      <c r="A353"/>
      <c r="B353"/>
      <c r="C353"/>
      <c r="D353"/>
      <c r="E353"/>
      <c r="F353"/>
      <c r="G353"/>
      <c r="H353"/>
      <c r="I353"/>
      <c r="J353"/>
      <c r="K353" s="19"/>
      <c r="L353" s="66"/>
      <c r="M353" s="33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3"/>
    </row>
    <row r="354" spans="1:34" ht="12.75" customHeight="1" x14ac:dyDescent="0.25">
      <c r="A354"/>
      <c r="B354"/>
      <c r="C354"/>
      <c r="D354"/>
      <c r="E354"/>
      <c r="F354"/>
      <c r="G354"/>
      <c r="H354"/>
      <c r="I354"/>
      <c r="J354"/>
      <c r="K354" s="19"/>
      <c r="L354" s="66"/>
      <c r="M354" s="33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3"/>
    </row>
    <row r="355" spans="1:34" ht="12.75" customHeight="1" x14ac:dyDescent="0.25">
      <c r="A355"/>
      <c r="B355"/>
      <c r="C355"/>
      <c r="D355"/>
      <c r="E355"/>
      <c r="F355"/>
      <c r="G355"/>
      <c r="H355"/>
      <c r="I355"/>
      <c r="J355"/>
      <c r="K355" s="19"/>
      <c r="L355" s="66"/>
      <c r="M355" s="33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3"/>
    </row>
    <row r="356" spans="1:34" ht="12.75" customHeight="1" x14ac:dyDescent="0.25">
      <c r="A356"/>
      <c r="B356"/>
      <c r="C356"/>
      <c r="D356"/>
      <c r="E356"/>
      <c r="F356"/>
      <c r="G356"/>
      <c r="H356"/>
      <c r="I356"/>
      <c r="J356"/>
      <c r="K356" s="19"/>
      <c r="L356" s="66"/>
      <c r="M356" s="33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3"/>
    </row>
    <row r="357" spans="1:34" ht="12.75" customHeight="1" x14ac:dyDescent="0.25">
      <c r="A357"/>
      <c r="B357"/>
      <c r="C357"/>
      <c r="D357"/>
      <c r="E357"/>
      <c r="F357"/>
      <c r="G357"/>
      <c r="H357"/>
      <c r="I357"/>
      <c r="J357"/>
      <c r="K357" s="19"/>
      <c r="L357" s="66"/>
      <c r="M357" s="33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3"/>
    </row>
    <row r="358" spans="1:34" ht="12.75" customHeight="1" x14ac:dyDescent="0.25">
      <c r="A358"/>
      <c r="B358"/>
      <c r="C358"/>
      <c r="D358"/>
      <c r="E358"/>
      <c r="F358"/>
      <c r="G358"/>
      <c r="H358"/>
      <c r="I358"/>
      <c r="J358"/>
      <c r="K358" s="19"/>
      <c r="L358" s="66"/>
      <c r="M358" s="33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3"/>
    </row>
    <row r="359" spans="1:34" ht="12.75" customHeight="1" x14ac:dyDescent="0.25">
      <c r="A359"/>
      <c r="B359"/>
      <c r="C359"/>
      <c r="D359"/>
      <c r="E359"/>
      <c r="F359"/>
      <c r="G359"/>
      <c r="H359"/>
      <c r="I359"/>
      <c r="J359"/>
      <c r="K359" s="19"/>
      <c r="L359" s="66"/>
      <c r="M359" s="33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3"/>
    </row>
    <row r="360" spans="1:34" ht="12.75" customHeight="1" x14ac:dyDescent="0.25">
      <c r="A360"/>
      <c r="B360"/>
      <c r="C360"/>
      <c r="D360"/>
      <c r="E360"/>
      <c r="F360"/>
      <c r="G360"/>
      <c r="H360"/>
      <c r="I360"/>
      <c r="J360"/>
      <c r="K360" s="19"/>
      <c r="L360" s="66"/>
      <c r="M360" s="33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3"/>
    </row>
    <row r="361" spans="1:34" ht="12.75" customHeight="1" x14ac:dyDescent="0.25">
      <c r="A361"/>
      <c r="B361"/>
      <c r="C361"/>
      <c r="D361"/>
      <c r="E361"/>
      <c r="F361"/>
      <c r="G361"/>
      <c r="H361"/>
      <c r="I361"/>
      <c r="J361"/>
      <c r="K361" s="19"/>
      <c r="L361" s="66"/>
      <c r="M361" s="33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3"/>
    </row>
    <row r="362" spans="1:34" ht="12.75" customHeight="1" x14ac:dyDescent="0.25">
      <c r="A362"/>
      <c r="B362"/>
      <c r="C362"/>
      <c r="D362"/>
      <c r="E362"/>
      <c r="F362"/>
      <c r="G362"/>
      <c r="H362"/>
      <c r="I362"/>
      <c r="J362"/>
      <c r="K362" s="19"/>
      <c r="L362" s="66"/>
      <c r="M362" s="33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3"/>
    </row>
    <row r="363" spans="1:34" ht="12.75" customHeight="1" x14ac:dyDescent="0.25">
      <c r="A363"/>
      <c r="B363"/>
      <c r="C363"/>
      <c r="D363"/>
      <c r="E363"/>
      <c r="F363"/>
      <c r="G363"/>
      <c r="H363"/>
      <c r="I363"/>
      <c r="J363"/>
      <c r="AH363" s="3"/>
    </row>
    <row r="364" spans="1:34" ht="12.75" customHeight="1" x14ac:dyDescent="0.15">
      <c r="AH364" s="3"/>
    </row>
    <row r="365" spans="1:34" ht="12.75" customHeight="1" x14ac:dyDescent="0.15">
      <c r="AH365" s="3"/>
    </row>
    <row r="680" spans="3:27" ht="12.75" customHeight="1" x14ac:dyDescent="0.1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3:27" ht="12.75" customHeight="1" x14ac:dyDescent="0.1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3:27" ht="12.75" customHeight="1" x14ac:dyDescent="0.1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3:27" ht="12.75" customHeight="1" x14ac:dyDescent="0.1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3:27" ht="12.75" customHeight="1" x14ac:dyDescent="0.1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3:27" ht="12.75" customHeight="1" x14ac:dyDescent="0.1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3:27" ht="12.75" customHeight="1" x14ac:dyDescent="0.1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3:27" ht="12.75" customHeight="1" x14ac:dyDescent="0.1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3:27" ht="12.75" customHeight="1" x14ac:dyDescent="0.1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3:27" ht="12.75" customHeight="1" x14ac:dyDescent="0.1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3:27" ht="12.75" customHeight="1" x14ac:dyDescent="0.1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3:27" ht="12.75" customHeight="1" x14ac:dyDescent="0.1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3:27" ht="12.75" customHeight="1" x14ac:dyDescent="0.1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3:27" ht="12.75" customHeight="1" x14ac:dyDescent="0.1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3:27" ht="12.75" customHeight="1" x14ac:dyDescent="0.1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3:27" ht="12.75" customHeight="1" x14ac:dyDescent="0.1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3:27" ht="12.75" customHeight="1" x14ac:dyDescent="0.1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3:27" ht="12.75" customHeight="1" x14ac:dyDescent="0.1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3:27" ht="12.75" customHeight="1" x14ac:dyDescent="0.1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3:27" ht="12.75" customHeight="1" x14ac:dyDescent="0.1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3:27" ht="12.75" customHeight="1" x14ac:dyDescent="0.1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3:27" ht="12.75" customHeight="1" x14ac:dyDescent="0.1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3:27" ht="12.75" customHeight="1" x14ac:dyDescent="0.1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3:27" ht="12.75" customHeight="1" x14ac:dyDescent="0.1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3:27" ht="12.75" customHeight="1" x14ac:dyDescent="0.1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3:27" ht="12.75" customHeight="1" x14ac:dyDescent="0.1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3:27" ht="12.75" customHeight="1" x14ac:dyDescent="0.1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3:27" ht="12.75" customHeight="1" x14ac:dyDescent="0.1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3:27" ht="12.75" customHeight="1" x14ac:dyDescent="0.1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3:27" ht="12.75" customHeight="1" x14ac:dyDescent="0.1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3:27" ht="12.75" customHeight="1" x14ac:dyDescent="0.1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3:27" ht="12.75" customHeight="1" x14ac:dyDescent="0.1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3:27" ht="12.75" customHeight="1" x14ac:dyDescent="0.1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3:27" ht="12.75" customHeight="1" x14ac:dyDescent="0.1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3:27" ht="12.75" customHeight="1" x14ac:dyDescent="0.1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3:27" ht="12.75" customHeight="1" x14ac:dyDescent="0.1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3:27" ht="12.75" customHeight="1" x14ac:dyDescent="0.1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3:27" ht="12.75" customHeight="1" x14ac:dyDescent="0.1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3:27" ht="12.75" customHeight="1" x14ac:dyDescent="0.1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3:27" ht="12.75" customHeight="1" x14ac:dyDescent="0.1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3:27" ht="12.75" customHeight="1" x14ac:dyDescent="0.1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3:27" ht="12.75" customHeight="1" x14ac:dyDescent="0.1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3:27" ht="12.75" customHeight="1" x14ac:dyDescent="0.1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3:27" ht="12.75" customHeight="1" x14ac:dyDescent="0.1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3:27" ht="12.75" customHeight="1" x14ac:dyDescent="0.1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3:27" ht="12.75" customHeight="1" x14ac:dyDescent="0.1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3:27" ht="12.75" customHeight="1" x14ac:dyDescent="0.1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3:27" ht="12.75" customHeight="1" x14ac:dyDescent="0.1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3:27" ht="12.75" customHeight="1" x14ac:dyDescent="0.1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3:27" ht="12.75" customHeight="1" x14ac:dyDescent="0.1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3:27" ht="12.75" customHeight="1" x14ac:dyDescent="0.1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3:27" ht="12.75" customHeight="1" x14ac:dyDescent="0.1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3:27" ht="12.75" customHeight="1" x14ac:dyDescent="0.1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3:27" ht="12.75" customHeight="1" x14ac:dyDescent="0.1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3:27" ht="12.75" customHeight="1" x14ac:dyDescent="0.1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3:27" ht="12.75" customHeight="1" x14ac:dyDescent="0.1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3:27" ht="12.75" customHeight="1" x14ac:dyDescent="0.1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3:27" ht="12.75" customHeight="1" x14ac:dyDescent="0.1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3:27" ht="12.75" customHeight="1" x14ac:dyDescent="0.1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3:27" ht="12.75" customHeight="1" x14ac:dyDescent="0.1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3:27" ht="12.75" customHeight="1" x14ac:dyDescent="0.1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3:27" ht="12.75" customHeight="1" x14ac:dyDescent="0.1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3:27" ht="12.75" customHeight="1" x14ac:dyDescent="0.1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3:27" ht="12.75" customHeight="1" x14ac:dyDescent="0.1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3:27" ht="12.75" customHeight="1" x14ac:dyDescent="0.1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3:27" ht="12.75" customHeight="1" x14ac:dyDescent="0.1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3:27" ht="12.75" customHeight="1" x14ac:dyDescent="0.1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3:27" ht="12.75" customHeight="1" x14ac:dyDescent="0.1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3:27" ht="12.75" customHeight="1" x14ac:dyDescent="0.1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3:27" ht="12.75" customHeight="1" x14ac:dyDescent="0.1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3:27" ht="12.75" customHeight="1" x14ac:dyDescent="0.1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3:27" ht="12.75" customHeight="1" x14ac:dyDescent="0.1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3:27" ht="12.75" customHeight="1" x14ac:dyDescent="0.1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3:27" ht="12.75" customHeight="1" x14ac:dyDescent="0.1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3:27" ht="12.75" customHeight="1" x14ac:dyDescent="0.1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3:27" ht="12.75" customHeight="1" x14ac:dyDescent="0.1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3:27" ht="12.75" customHeight="1" x14ac:dyDescent="0.1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3:27" ht="12.75" customHeight="1" x14ac:dyDescent="0.1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3:27" ht="12.75" customHeight="1" x14ac:dyDescent="0.1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3:27" ht="12.75" customHeight="1" x14ac:dyDescent="0.1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3:27" ht="12.75" customHeight="1" x14ac:dyDescent="0.1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3:27" ht="12.75" customHeight="1" x14ac:dyDescent="0.1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3:27" ht="12.75" customHeight="1" x14ac:dyDescent="0.1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3:27" ht="12.75" customHeight="1" x14ac:dyDescent="0.1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3:27" ht="12.75" customHeight="1" x14ac:dyDescent="0.1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3:27" ht="12.75" customHeight="1" x14ac:dyDescent="0.1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3:27" ht="12.75" customHeight="1" x14ac:dyDescent="0.1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3:27" ht="12.75" customHeight="1" x14ac:dyDescent="0.1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3:27" ht="12.75" customHeight="1" x14ac:dyDescent="0.1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3:27" ht="12.75" customHeight="1" x14ac:dyDescent="0.1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3:27" ht="12.75" customHeight="1" x14ac:dyDescent="0.1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3:27" ht="12.75" customHeight="1" x14ac:dyDescent="0.1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3:27" ht="12.75" customHeight="1" x14ac:dyDescent="0.1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3:27" ht="12.75" customHeight="1" x14ac:dyDescent="0.1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3:27" ht="12.75" customHeight="1" x14ac:dyDescent="0.1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3:27" ht="12.75" customHeight="1" x14ac:dyDescent="0.1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3:27" ht="12.75" customHeight="1" x14ac:dyDescent="0.1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3:27" ht="12.75" customHeight="1" x14ac:dyDescent="0.1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3:27" ht="12.75" customHeight="1" x14ac:dyDescent="0.1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3:27" ht="12.75" customHeight="1" x14ac:dyDescent="0.1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3:27" ht="12.75" customHeight="1" x14ac:dyDescent="0.1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3:27" ht="12.75" customHeight="1" x14ac:dyDescent="0.1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3:27" ht="12.75" customHeight="1" x14ac:dyDescent="0.1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3:27" ht="12.75" customHeight="1" x14ac:dyDescent="0.1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3:27" ht="12.75" customHeight="1" x14ac:dyDescent="0.1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3:27" ht="12.75" customHeight="1" x14ac:dyDescent="0.1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3:27" ht="12.75" customHeight="1" x14ac:dyDescent="0.1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3:27" ht="12.75" customHeight="1" x14ac:dyDescent="0.1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3:27" ht="12.75" customHeight="1" x14ac:dyDescent="0.1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3:27" ht="12.75" customHeight="1" x14ac:dyDescent="0.1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3:27" ht="12.75" customHeight="1" x14ac:dyDescent="0.1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3:27" ht="12.75" customHeight="1" x14ac:dyDescent="0.1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3:27" ht="12.75" customHeight="1" x14ac:dyDescent="0.1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3:27" ht="12.75" customHeight="1" x14ac:dyDescent="0.1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3:27" ht="12.75" customHeight="1" x14ac:dyDescent="0.1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3:27" ht="12.75" customHeight="1" x14ac:dyDescent="0.1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3:27" ht="12.75" customHeight="1" x14ac:dyDescent="0.1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3:27" ht="12.75" customHeight="1" x14ac:dyDescent="0.1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3:27" ht="12.75" customHeight="1" x14ac:dyDescent="0.1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3:27" ht="12.75" customHeight="1" x14ac:dyDescent="0.1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3:27" ht="12.75" customHeight="1" x14ac:dyDescent="0.1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3:27" ht="12.75" customHeight="1" x14ac:dyDescent="0.1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3:27" ht="12.75" customHeight="1" x14ac:dyDescent="0.1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3:27" ht="12.75" customHeight="1" x14ac:dyDescent="0.1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3:27" ht="12.75" customHeight="1" x14ac:dyDescent="0.1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3:27" ht="12.75" customHeight="1" x14ac:dyDescent="0.1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3:27" ht="12.75" customHeight="1" x14ac:dyDescent="0.1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3:27" ht="12.75" customHeight="1" x14ac:dyDescent="0.1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3:27" ht="12.75" customHeight="1" x14ac:dyDescent="0.1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3:27" ht="12.75" customHeight="1" x14ac:dyDescent="0.1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3:27" ht="12.75" customHeight="1" x14ac:dyDescent="0.1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3:27" ht="12.75" customHeight="1" x14ac:dyDescent="0.1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3:27" ht="12.75" customHeight="1" x14ac:dyDescent="0.1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3:27" ht="12.75" customHeight="1" x14ac:dyDescent="0.1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3:27" ht="12.75" customHeight="1" x14ac:dyDescent="0.1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3:27" ht="12.75" customHeight="1" x14ac:dyDescent="0.1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3:27" ht="12.75" customHeight="1" x14ac:dyDescent="0.1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3:27" ht="12.75" customHeight="1" x14ac:dyDescent="0.1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3:27" ht="12.75" customHeight="1" x14ac:dyDescent="0.1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3:27" ht="12.75" customHeight="1" x14ac:dyDescent="0.1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3:27" ht="12.75" customHeight="1" x14ac:dyDescent="0.1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3:27" ht="12.75" customHeight="1" x14ac:dyDescent="0.1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3:27" ht="12.75" customHeight="1" x14ac:dyDescent="0.1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3:27" ht="12.75" customHeight="1" x14ac:dyDescent="0.1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3:27" ht="12.75" customHeight="1" x14ac:dyDescent="0.1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3:27" ht="12.75" customHeight="1" x14ac:dyDescent="0.1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3:27" ht="12.75" customHeight="1" x14ac:dyDescent="0.1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3:27" ht="12.75" customHeight="1" x14ac:dyDescent="0.1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3:27" ht="12.75" customHeight="1" x14ac:dyDescent="0.1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3:27" ht="12.75" customHeight="1" x14ac:dyDescent="0.1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3:27" ht="12.75" customHeight="1" x14ac:dyDescent="0.1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3:27" ht="12.75" customHeight="1" x14ac:dyDescent="0.1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3:27" ht="12.75" customHeight="1" x14ac:dyDescent="0.1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3:27" ht="12.75" customHeight="1" x14ac:dyDescent="0.1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3:27" ht="12.75" customHeight="1" x14ac:dyDescent="0.1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3:27" ht="12.75" customHeight="1" x14ac:dyDescent="0.1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3:27" ht="12.75" customHeight="1" x14ac:dyDescent="0.1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3:27" ht="12.75" customHeight="1" x14ac:dyDescent="0.1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3:27" ht="12.75" customHeight="1" x14ac:dyDescent="0.1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3:27" ht="12.75" customHeight="1" x14ac:dyDescent="0.1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3:27" ht="12.75" customHeight="1" x14ac:dyDescent="0.1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3:27" ht="12.75" customHeight="1" x14ac:dyDescent="0.1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3:27" ht="12.75" customHeight="1" x14ac:dyDescent="0.1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3:27" ht="12.75" customHeight="1" x14ac:dyDescent="0.1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3:27" ht="12.75" customHeight="1" x14ac:dyDescent="0.1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3:27" ht="12.75" customHeight="1" x14ac:dyDescent="0.1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3:27" ht="12.75" customHeight="1" x14ac:dyDescent="0.1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3:27" ht="12.75" customHeight="1" x14ac:dyDescent="0.1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3:27" ht="12.75" customHeight="1" x14ac:dyDescent="0.1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3:27" ht="12.75" customHeight="1" x14ac:dyDescent="0.1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3:27" ht="12.75" customHeight="1" x14ac:dyDescent="0.1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3:27" ht="12.75" customHeight="1" x14ac:dyDescent="0.1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3:27" ht="12.75" customHeight="1" x14ac:dyDescent="0.1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3:27" ht="12.75" customHeight="1" x14ac:dyDescent="0.1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3:27" ht="12.75" customHeight="1" x14ac:dyDescent="0.1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3:27" ht="12.75" customHeight="1" x14ac:dyDescent="0.1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3:27" ht="12.75" customHeight="1" x14ac:dyDescent="0.1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3:27" ht="12.75" customHeight="1" x14ac:dyDescent="0.1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3:27" ht="12.75" customHeight="1" x14ac:dyDescent="0.1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3:27" ht="12.75" customHeight="1" x14ac:dyDescent="0.1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3:27" ht="12.75" customHeight="1" x14ac:dyDescent="0.1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3:27" ht="12.75" customHeight="1" x14ac:dyDescent="0.1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3:27" ht="12.75" customHeight="1" x14ac:dyDescent="0.1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3:27" ht="12.75" customHeight="1" x14ac:dyDescent="0.1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3:27" ht="12.75" customHeight="1" x14ac:dyDescent="0.1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3:27" ht="12.75" customHeight="1" x14ac:dyDescent="0.1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3:27" ht="12.75" customHeight="1" x14ac:dyDescent="0.1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3:27" ht="12.75" customHeight="1" x14ac:dyDescent="0.1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3:27" ht="12.75" customHeight="1" x14ac:dyDescent="0.1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3:27" ht="12.75" customHeight="1" x14ac:dyDescent="0.1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3:27" ht="12.75" customHeight="1" x14ac:dyDescent="0.1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3:27" ht="12.75" customHeight="1" x14ac:dyDescent="0.1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3:27" ht="12.75" customHeight="1" x14ac:dyDescent="0.1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3:27" ht="12.75" customHeight="1" x14ac:dyDescent="0.1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3:27" ht="12.75" customHeight="1" x14ac:dyDescent="0.1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3:27" ht="12.75" customHeight="1" x14ac:dyDescent="0.1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3:27" ht="12.75" customHeight="1" x14ac:dyDescent="0.1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3:27" ht="12.75" customHeight="1" x14ac:dyDescent="0.1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3:27" ht="12.75" customHeight="1" x14ac:dyDescent="0.1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3:27" ht="12.75" customHeight="1" x14ac:dyDescent="0.1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3:27" ht="12.75" customHeight="1" x14ac:dyDescent="0.1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3:27" ht="12.75" customHeight="1" x14ac:dyDescent="0.1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3:27" ht="12.75" customHeight="1" x14ac:dyDescent="0.1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3:27" ht="12.75" customHeight="1" x14ac:dyDescent="0.1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3:27" ht="12.75" customHeight="1" x14ac:dyDescent="0.1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3:27" ht="12.75" customHeight="1" x14ac:dyDescent="0.1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3:27" ht="12.75" customHeight="1" x14ac:dyDescent="0.1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3:27" ht="12.75" customHeight="1" x14ac:dyDescent="0.1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3:27" ht="12.75" customHeight="1" x14ac:dyDescent="0.1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3:27" ht="12.75" customHeight="1" x14ac:dyDescent="0.1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3:27" ht="12.75" customHeight="1" x14ac:dyDescent="0.1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3:27" ht="12.75" customHeight="1" x14ac:dyDescent="0.1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3:27" ht="12.75" customHeight="1" x14ac:dyDescent="0.1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3:27" ht="12.75" customHeight="1" x14ac:dyDescent="0.1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3:27" ht="12.75" customHeight="1" x14ac:dyDescent="0.1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3:27" ht="12.75" customHeight="1" x14ac:dyDescent="0.1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3:27" ht="12.75" customHeight="1" x14ac:dyDescent="0.1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3:27" ht="12.75" customHeight="1" x14ac:dyDescent="0.1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3:27" ht="12.75" customHeight="1" x14ac:dyDescent="0.1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3:27" ht="12.75" customHeight="1" x14ac:dyDescent="0.1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3:27" ht="12.75" customHeight="1" x14ac:dyDescent="0.1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3:27" ht="12.75" customHeight="1" x14ac:dyDescent="0.1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3:27" ht="12.75" customHeight="1" x14ac:dyDescent="0.1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3:27" ht="12.75" customHeight="1" x14ac:dyDescent="0.1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3:27" ht="12.75" customHeight="1" x14ac:dyDescent="0.1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3:27" ht="12.75" customHeight="1" x14ac:dyDescent="0.1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3:27" ht="12.75" customHeight="1" x14ac:dyDescent="0.1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3:27" ht="12.75" customHeight="1" x14ac:dyDescent="0.1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3:27" ht="12.75" customHeight="1" x14ac:dyDescent="0.1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3:27" ht="12.75" customHeight="1" x14ac:dyDescent="0.1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3:27" ht="12.75" customHeight="1" x14ac:dyDescent="0.1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3:27" ht="12.75" customHeight="1" x14ac:dyDescent="0.1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3:27" ht="12.75" customHeight="1" x14ac:dyDescent="0.1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3:27" ht="12.75" customHeight="1" x14ac:dyDescent="0.1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3:27" ht="12.75" customHeight="1" x14ac:dyDescent="0.1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3:27" ht="12.75" customHeight="1" x14ac:dyDescent="0.1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3:27" ht="12.75" customHeight="1" x14ac:dyDescent="0.1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3:27" ht="12.75" customHeight="1" x14ac:dyDescent="0.1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3:27" ht="12.75" customHeight="1" x14ac:dyDescent="0.1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3:27" ht="12.75" customHeight="1" x14ac:dyDescent="0.1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3:27" ht="12.75" customHeight="1" x14ac:dyDescent="0.1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3:27" ht="12.75" customHeight="1" x14ac:dyDescent="0.1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3:27" ht="12.75" customHeight="1" x14ac:dyDescent="0.1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3:27" ht="12.75" customHeight="1" x14ac:dyDescent="0.1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3:27" ht="12.75" customHeight="1" x14ac:dyDescent="0.1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3:27" ht="12.75" customHeight="1" x14ac:dyDescent="0.1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3:27" ht="12.75" customHeight="1" x14ac:dyDescent="0.1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3:27" ht="12.75" customHeight="1" x14ac:dyDescent="0.15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3:27" ht="12.75" customHeight="1" x14ac:dyDescent="0.15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3:27" ht="12.75" customHeight="1" x14ac:dyDescent="0.15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3:27" ht="12.75" customHeight="1" x14ac:dyDescent="0.15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3:27" ht="12.75" customHeight="1" x14ac:dyDescent="0.15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3:27" ht="12.75" customHeight="1" x14ac:dyDescent="0.15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3:27" ht="12.75" customHeight="1" x14ac:dyDescent="0.15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3:27" ht="12.75" customHeight="1" x14ac:dyDescent="0.15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3:27" ht="12.75" customHeight="1" x14ac:dyDescent="0.15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3:27" ht="12.75" customHeight="1" x14ac:dyDescent="0.15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3:27" ht="12.75" customHeight="1" x14ac:dyDescent="0.15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3:27" ht="12.75" customHeight="1" x14ac:dyDescent="0.15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3:27" ht="12.75" customHeight="1" x14ac:dyDescent="0.15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3:27" ht="12.75" customHeight="1" x14ac:dyDescent="0.15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3:27" ht="12.75" customHeight="1" x14ac:dyDescent="0.15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3:27" ht="12.75" customHeight="1" x14ac:dyDescent="0.15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3:27" ht="12.75" customHeight="1" x14ac:dyDescent="0.15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3:27" ht="12.75" customHeight="1" x14ac:dyDescent="0.15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3:27" ht="12.75" customHeight="1" x14ac:dyDescent="0.15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3:27" ht="12.75" customHeight="1" x14ac:dyDescent="0.15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3:27" ht="12.75" customHeight="1" x14ac:dyDescent="0.15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3:27" ht="12.75" customHeight="1" x14ac:dyDescent="0.15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3:27" ht="12.75" customHeight="1" x14ac:dyDescent="0.15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3:27" ht="12.75" customHeight="1" x14ac:dyDescent="0.15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3:27" ht="12.75" customHeight="1" x14ac:dyDescent="0.15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3:27" ht="12.75" customHeight="1" x14ac:dyDescent="0.15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3:27" ht="12.75" customHeight="1" x14ac:dyDescent="0.15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3:27" ht="12.75" customHeight="1" x14ac:dyDescent="0.15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3:27" ht="12.75" customHeight="1" x14ac:dyDescent="0.15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3:27" ht="12.75" customHeight="1" x14ac:dyDescent="0.15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3:27" ht="12.75" customHeight="1" x14ac:dyDescent="0.15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3:27" ht="12.75" customHeight="1" x14ac:dyDescent="0.15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3:27" ht="12.75" customHeight="1" x14ac:dyDescent="0.15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3:27" ht="12.75" customHeight="1" x14ac:dyDescent="0.15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3:27" ht="12.75" customHeight="1" x14ac:dyDescent="0.15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3:27" ht="12.75" customHeight="1" x14ac:dyDescent="0.15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3:27" ht="12.75" customHeight="1" x14ac:dyDescent="0.15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3:27" ht="12.75" customHeight="1" x14ac:dyDescent="0.15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3:27" ht="12.75" customHeight="1" x14ac:dyDescent="0.15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3:27" ht="12.75" customHeight="1" x14ac:dyDescent="0.15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3:27" ht="12.75" customHeight="1" x14ac:dyDescent="0.15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3:27" ht="12.75" customHeight="1" x14ac:dyDescent="0.15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3:27" ht="12.75" customHeight="1" x14ac:dyDescent="0.15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3:27" ht="12.75" customHeight="1" x14ac:dyDescent="0.15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3:27" ht="12.75" customHeight="1" x14ac:dyDescent="0.15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3:27" ht="12.75" customHeight="1" x14ac:dyDescent="0.15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3:27" ht="12.75" customHeight="1" x14ac:dyDescent="0.15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3:27" ht="12.75" customHeight="1" x14ac:dyDescent="0.15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3:27" ht="12.75" customHeight="1" x14ac:dyDescent="0.15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3:27" ht="12.75" customHeight="1" x14ac:dyDescent="0.15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3:27" ht="12.75" customHeight="1" x14ac:dyDescent="0.15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3:27" ht="12.75" customHeight="1" x14ac:dyDescent="0.15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3:27" ht="12.75" customHeight="1" x14ac:dyDescent="0.15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3:27" ht="12.75" customHeight="1" x14ac:dyDescent="0.15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3:27" ht="12.75" customHeight="1" x14ac:dyDescent="0.15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3:27" ht="12.75" customHeight="1" x14ac:dyDescent="0.15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3:27" ht="12.75" customHeight="1" x14ac:dyDescent="0.15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3:27" ht="12.75" customHeight="1" x14ac:dyDescent="0.15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3:27" ht="12.75" customHeight="1" x14ac:dyDescent="0.15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3:27" ht="12.75" customHeight="1" x14ac:dyDescent="0.15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3:27" ht="12.75" customHeight="1" x14ac:dyDescent="0.15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3:27" ht="12.75" customHeight="1" x14ac:dyDescent="0.15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3:27" ht="12.75" customHeight="1" x14ac:dyDescent="0.15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3:27" ht="12.75" customHeight="1" x14ac:dyDescent="0.15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3:27" ht="12.75" customHeight="1" x14ac:dyDescent="0.15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3:27" ht="12.75" customHeight="1" x14ac:dyDescent="0.15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3:27" ht="12.75" customHeight="1" x14ac:dyDescent="0.15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3:27" ht="12.75" customHeight="1" x14ac:dyDescent="0.15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3:27" ht="12.75" customHeight="1" x14ac:dyDescent="0.15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3:27" ht="12.75" customHeight="1" x14ac:dyDescent="0.15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3:27" ht="12.75" customHeight="1" x14ac:dyDescent="0.15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3:27" ht="12.75" customHeight="1" x14ac:dyDescent="0.15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3:27" ht="12.75" customHeight="1" x14ac:dyDescent="0.15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3:27" ht="12.75" customHeight="1" x14ac:dyDescent="0.15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3:27" ht="12.75" customHeight="1" x14ac:dyDescent="0.15"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3:27" ht="12.75" customHeight="1" x14ac:dyDescent="0.15"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3:27" ht="12.75" customHeight="1" x14ac:dyDescent="0.15"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3:27" ht="12.75" customHeight="1" x14ac:dyDescent="0.15"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3:27" ht="12.75" customHeight="1" x14ac:dyDescent="0.15"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3:27" ht="12.75" customHeight="1" x14ac:dyDescent="0.15"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3:27" ht="12.75" customHeight="1" x14ac:dyDescent="0.15"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3:27" ht="12.75" customHeight="1" x14ac:dyDescent="0.15"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3:27" ht="12.75" customHeight="1" x14ac:dyDescent="0.15"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3:27" ht="12.75" customHeight="1" x14ac:dyDescent="0.15"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3:27" ht="12.75" customHeight="1" x14ac:dyDescent="0.15"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3:27" ht="12.75" customHeight="1" x14ac:dyDescent="0.15"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3:27" ht="12.75" customHeight="1" x14ac:dyDescent="0.15"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3:27" ht="12.75" customHeight="1" x14ac:dyDescent="0.15"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3:27" ht="12.75" customHeight="1" x14ac:dyDescent="0.15"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3:27" ht="12.75" customHeight="1" x14ac:dyDescent="0.15"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3:27" ht="12.75" customHeight="1" x14ac:dyDescent="0.15"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3:27" ht="12.75" customHeight="1" x14ac:dyDescent="0.15"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3:27" ht="12.75" customHeight="1" x14ac:dyDescent="0.15"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3:27" ht="12.75" customHeight="1" x14ac:dyDescent="0.15"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3:27" ht="12.75" customHeight="1" x14ac:dyDescent="0.15"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3:27" ht="12.75" customHeight="1" x14ac:dyDescent="0.15"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3:27" ht="12.75" customHeight="1" x14ac:dyDescent="0.15"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3:27" ht="12.75" customHeight="1" x14ac:dyDescent="0.15"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3:27" ht="12.75" customHeight="1" x14ac:dyDescent="0.15"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3:27" ht="12.75" customHeight="1" x14ac:dyDescent="0.15"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3:27" ht="12.75" customHeight="1" x14ac:dyDescent="0.15"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3:27" ht="12.75" customHeight="1" x14ac:dyDescent="0.15"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3:27" ht="12.75" customHeight="1" x14ac:dyDescent="0.15"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3:27" ht="12.75" customHeight="1" x14ac:dyDescent="0.15"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3:27" ht="12.75" customHeight="1" x14ac:dyDescent="0.15"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3:27" ht="12.75" customHeight="1" x14ac:dyDescent="0.15"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3:27" ht="12.75" customHeight="1" x14ac:dyDescent="0.15"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3:27" ht="12.75" customHeight="1" x14ac:dyDescent="0.15"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3:27" ht="12.75" customHeight="1" x14ac:dyDescent="0.15"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3:27" ht="12.75" customHeight="1" x14ac:dyDescent="0.15"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3:27" ht="12.75" customHeight="1" x14ac:dyDescent="0.15"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3:27" ht="12.75" customHeight="1" x14ac:dyDescent="0.15"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3:27" ht="12.75" customHeight="1" x14ac:dyDescent="0.15"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3:27" ht="12.75" customHeight="1" x14ac:dyDescent="0.15"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3:27" ht="12.75" customHeight="1" x14ac:dyDescent="0.15"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3:27" ht="12.75" customHeight="1" x14ac:dyDescent="0.15"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3:27" ht="12.75" customHeight="1" x14ac:dyDescent="0.15"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3:27" ht="12.75" customHeight="1" x14ac:dyDescent="0.15"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3:27" ht="12.75" customHeight="1" x14ac:dyDescent="0.15"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3:27" ht="12.75" customHeight="1" x14ac:dyDescent="0.15"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3:27" ht="12.75" customHeight="1" x14ac:dyDescent="0.15"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3:27" ht="12.75" customHeight="1" x14ac:dyDescent="0.15"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3:27" ht="12.75" customHeight="1" x14ac:dyDescent="0.15"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3:27" ht="12.75" customHeight="1" x14ac:dyDescent="0.15"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3:27" ht="12.75" customHeight="1" x14ac:dyDescent="0.15"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3:27" ht="12.75" customHeight="1" x14ac:dyDescent="0.15"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3:27" ht="12.75" customHeight="1" x14ac:dyDescent="0.15"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3:27" ht="12.75" customHeight="1" x14ac:dyDescent="0.15"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3:27" ht="12.75" customHeight="1" x14ac:dyDescent="0.15"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3:27" ht="12.75" customHeight="1" x14ac:dyDescent="0.15"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3:27" ht="12.75" customHeight="1" x14ac:dyDescent="0.15"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3:27" ht="12.75" customHeight="1" x14ac:dyDescent="0.15"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3:27" ht="12.75" customHeight="1" x14ac:dyDescent="0.15"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3:27" ht="12.75" customHeight="1" x14ac:dyDescent="0.15"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3:27" ht="12.75" customHeight="1" x14ac:dyDescent="0.15"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3:27" ht="12.75" customHeight="1" x14ac:dyDescent="0.15"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3:27" ht="12.75" customHeight="1" x14ac:dyDescent="0.15"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3:27" ht="12.75" customHeight="1" x14ac:dyDescent="0.15"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3:27" ht="12.75" customHeight="1" x14ac:dyDescent="0.15"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3:27" ht="12.75" customHeight="1" x14ac:dyDescent="0.15"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3:27" ht="12.75" customHeight="1" x14ac:dyDescent="0.15"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3:27" ht="12.75" customHeight="1" x14ac:dyDescent="0.15"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3:27" ht="12.75" customHeight="1" x14ac:dyDescent="0.15"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3:27" ht="12.75" customHeight="1" x14ac:dyDescent="0.15"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3:27" ht="12.75" customHeight="1" x14ac:dyDescent="0.15"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3:27" ht="12.75" customHeight="1" x14ac:dyDescent="0.15"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3:27" ht="12.75" customHeight="1" x14ac:dyDescent="0.15"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3:27" ht="12.75" customHeight="1" x14ac:dyDescent="0.15"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3:27" ht="12.75" customHeight="1" x14ac:dyDescent="0.15"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3:27" ht="12.75" customHeight="1" x14ac:dyDescent="0.15"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3:27" ht="12.75" customHeight="1" x14ac:dyDescent="0.15"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3:27" ht="12.75" customHeight="1" x14ac:dyDescent="0.15"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3:27" ht="12.75" customHeight="1" x14ac:dyDescent="0.15"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3:27" ht="12.75" customHeight="1" x14ac:dyDescent="0.15"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3:27" ht="12.75" customHeight="1" x14ac:dyDescent="0.15"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3:27" ht="12.75" customHeight="1" x14ac:dyDescent="0.15"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3:27" ht="12.75" customHeight="1" x14ac:dyDescent="0.15"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3:27" ht="12.75" customHeight="1" x14ac:dyDescent="0.15"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3:27" ht="12.75" customHeight="1" x14ac:dyDescent="0.15"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3:27" ht="12.75" customHeight="1" x14ac:dyDescent="0.15"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3:27" ht="12.75" customHeight="1" x14ac:dyDescent="0.15"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3:27" ht="12.75" customHeight="1" x14ac:dyDescent="0.15"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3:27" ht="12.75" customHeight="1" x14ac:dyDescent="0.15"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3:27" ht="12.75" customHeight="1" x14ac:dyDescent="0.15"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3:27" ht="12.75" customHeight="1" x14ac:dyDescent="0.15"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3:27" ht="12.75" customHeight="1" x14ac:dyDescent="0.15"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3:27" ht="12.75" customHeight="1" x14ac:dyDescent="0.15"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3:27" ht="12.75" customHeight="1" x14ac:dyDescent="0.15"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3:27" ht="12.75" customHeight="1" x14ac:dyDescent="0.15"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3:27" ht="12.75" customHeight="1" x14ac:dyDescent="0.15"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3:27" ht="12.75" customHeight="1" x14ac:dyDescent="0.15"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3:27" ht="12.75" customHeight="1" x14ac:dyDescent="0.15"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3:27" ht="12.75" customHeight="1" x14ac:dyDescent="0.15"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3:27" ht="12.75" customHeight="1" x14ac:dyDescent="0.15"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3:27" ht="12.75" customHeight="1" x14ac:dyDescent="0.15"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3:27" ht="12.75" customHeight="1" x14ac:dyDescent="0.15"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3:27" ht="12.75" customHeight="1" x14ac:dyDescent="0.15"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3:27" ht="12.75" customHeight="1" x14ac:dyDescent="0.15"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3:27" ht="12.75" customHeight="1" x14ac:dyDescent="0.15"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3:27" ht="12.75" customHeight="1" x14ac:dyDescent="0.15"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3:27" ht="12.75" customHeight="1" x14ac:dyDescent="0.15"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3:27" ht="12.75" customHeight="1" x14ac:dyDescent="0.15"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3:27" ht="12.75" customHeight="1" x14ac:dyDescent="0.15"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3:27" ht="12.75" customHeight="1" x14ac:dyDescent="0.15"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3:27" ht="12.75" customHeight="1" x14ac:dyDescent="0.15"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3:27" ht="12.75" customHeight="1" x14ac:dyDescent="0.15"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3:27" ht="12.75" customHeight="1" x14ac:dyDescent="0.15"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3:27" ht="12.75" customHeight="1" x14ac:dyDescent="0.15"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3:27" ht="12.75" customHeight="1" x14ac:dyDescent="0.15"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3:27" ht="12.75" customHeight="1" x14ac:dyDescent="0.15"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3:27" ht="12.75" customHeight="1" x14ac:dyDescent="0.15"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3:27" ht="12.75" customHeight="1" x14ac:dyDescent="0.15"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3:27" ht="12.75" customHeight="1" x14ac:dyDescent="0.15"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3:27" ht="12.75" customHeight="1" x14ac:dyDescent="0.15"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3:27" ht="12.75" customHeight="1" x14ac:dyDescent="0.15"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3:27" ht="12.75" customHeight="1" x14ac:dyDescent="0.15"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3:27" ht="12.75" customHeight="1" x14ac:dyDescent="0.15"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3:27" ht="12.75" customHeight="1" x14ac:dyDescent="0.15"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3:27" ht="12.75" customHeight="1" x14ac:dyDescent="0.15"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3:27" ht="12.75" customHeight="1" x14ac:dyDescent="0.15"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3:27" ht="12.75" customHeight="1" x14ac:dyDescent="0.15"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3:27" ht="12.75" customHeight="1" x14ac:dyDescent="0.15"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3:27" ht="12.75" customHeight="1" x14ac:dyDescent="0.15"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3:27" ht="12.75" customHeight="1" x14ac:dyDescent="0.15"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3:27" ht="12.75" customHeight="1" x14ac:dyDescent="0.15"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3:27" ht="12.75" customHeight="1" x14ac:dyDescent="0.15"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3:27" ht="12.75" customHeight="1" x14ac:dyDescent="0.15"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3:27" ht="12.75" customHeight="1" x14ac:dyDescent="0.15"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3:27" ht="12.75" customHeight="1" x14ac:dyDescent="0.15"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3:27" ht="12.75" customHeight="1" x14ac:dyDescent="0.15"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3:27" ht="12.75" customHeight="1" x14ac:dyDescent="0.15"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3:27" ht="12.75" customHeight="1" x14ac:dyDescent="0.15"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3:27" ht="12.75" customHeight="1" x14ac:dyDescent="0.15"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3:27" ht="12.75" customHeight="1" x14ac:dyDescent="0.15"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3:27" ht="12.75" customHeight="1" x14ac:dyDescent="0.15"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3:27" ht="12.75" customHeight="1" x14ac:dyDescent="0.15"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3:27" ht="12.75" customHeight="1" x14ac:dyDescent="0.15"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3:27" ht="12.75" customHeight="1" x14ac:dyDescent="0.15"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3:27" ht="12.75" customHeight="1" x14ac:dyDescent="0.15"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3:27" ht="12.75" customHeight="1" x14ac:dyDescent="0.15"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3:27" ht="12.75" customHeight="1" x14ac:dyDescent="0.15"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3:27" ht="12.75" customHeight="1" x14ac:dyDescent="0.15"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3:27" ht="12.75" customHeight="1" x14ac:dyDescent="0.15"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3:27" ht="12.75" customHeight="1" x14ac:dyDescent="0.15"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3:27" ht="12.75" customHeight="1" x14ac:dyDescent="0.15"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3:27" ht="12.75" customHeight="1" x14ac:dyDescent="0.15"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3:27" ht="12.75" customHeight="1" x14ac:dyDescent="0.15"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3:27" ht="12.75" customHeight="1" x14ac:dyDescent="0.15"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3:27" ht="12.75" customHeight="1" x14ac:dyDescent="0.15"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3:27" ht="12.75" customHeight="1" x14ac:dyDescent="0.15"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3:27" ht="12.75" customHeight="1" x14ac:dyDescent="0.15"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3:27" ht="12.75" customHeight="1" x14ac:dyDescent="0.15"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3:27" ht="12.75" customHeight="1" x14ac:dyDescent="0.15"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3:27" ht="12.75" customHeight="1" x14ac:dyDescent="0.15"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3:27" ht="12.75" customHeight="1" x14ac:dyDescent="0.15"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3:27" ht="12.75" customHeight="1" x14ac:dyDescent="0.15"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3:27" ht="12.75" customHeight="1" x14ac:dyDescent="0.15"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3:27" ht="12.75" customHeight="1" x14ac:dyDescent="0.15"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3:27" ht="12.75" customHeight="1" x14ac:dyDescent="0.15"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3:27" ht="12.75" customHeight="1" x14ac:dyDescent="0.15"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3:27" ht="12.75" customHeight="1" x14ac:dyDescent="0.15"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3:27" ht="12.75" customHeight="1" x14ac:dyDescent="0.15"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3:27" ht="12.75" customHeight="1" x14ac:dyDescent="0.15"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3:27" ht="12.75" customHeight="1" x14ac:dyDescent="0.15"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3:27" ht="12.75" customHeight="1" x14ac:dyDescent="0.15"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3:27" ht="12.75" customHeight="1" x14ac:dyDescent="0.15"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3:27" ht="12.75" customHeight="1" x14ac:dyDescent="0.15"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3:27" ht="12.75" customHeight="1" x14ac:dyDescent="0.15"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3:27" ht="12.75" customHeight="1" x14ac:dyDescent="0.15"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3:27" ht="12.75" customHeight="1" x14ac:dyDescent="0.15"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3:27" ht="12.75" customHeight="1" x14ac:dyDescent="0.15"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3:27" ht="12.75" customHeight="1" x14ac:dyDescent="0.15"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3:27" ht="12.75" customHeight="1" x14ac:dyDescent="0.15"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3:27" ht="12.75" customHeight="1" x14ac:dyDescent="0.15"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3:27" ht="12.75" customHeight="1" x14ac:dyDescent="0.15"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3:27" ht="12.75" customHeight="1" x14ac:dyDescent="0.15"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3:27" ht="12.75" customHeight="1" x14ac:dyDescent="0.15"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3:27" ht="12.75" customHeight="1" x14ac:dyDescent="0.15"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3:27" ht="12.75" customHeight="1" x14ac:dyDescent="0.15"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3:27" ht="12.75" customHeight="1" x14ac:dyDescent="0.15"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3:27" ht="12.75" customHeight="1" x14ac:dyDescent="0.15"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3:27" ht="12.75" customHeight="1" x14ac:dyDescent="0.15"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3:27" ht="12.75" customHeight="1" x14ac:dyDescent="0.15"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3:27" ht="12.75" customHeight="1" x14ac:dyDescent="0.15"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3:27" ht="12.75" customHeight="1" x14ac:dyDescent="0.15"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3:27" ht="12.75" customHeight="1" x14ac:dyDescent="0.15"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3:27" ht="12.75" customHeight="1" x14ac:dyDescent="0.15"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3:27" ht="12.75" customHeight="1" x14ac:dyDescent="0.15"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3:27" ht="12.75" customHeight="1" x14ac:dyDescent="0.15"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3:27" ht="12.75" customHeight="1" x14ac:dyDescent="0.15"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3:27" ht="12.75" customHeight="1" x14ac:dyDescent="0.15"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3:27" ht="12.75" customHeight="1" x14ac:dyDescent="0.15"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3:27" ht="12.75" customHeight="1" x14ac:dyDescent="0.15"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3:27" ht="12.75" customHeight="1" x14ac:dyDescent="0.15"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3:27" ht="12.75" customHeight="1" x14ac:dyDescent="0.15"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3:27" ht="12.75" customHeight="1" x14ac:dyDescent="0.15"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3:27" ht="12.75" customHeight="1" x14ac:dyDescent="0.15"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3:27" ht="12.75" customHeight="1" x14ac:dyDescent="0.15"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3:27" ht="12.75" customHeight="1" x14ac:dyDescent="0.15"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3:27" ht="12.75" customHeight="1" x14ac:dyDescent="0.15"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3:27" ht="12.75" customHeight="1" x14ac:dyDescent="0.15"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3:27" ht="12.75" customHeight="1" x14ac:dyDescent="0.15"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3:27" ht="12.75" customHeight="1" x14ac:dyDescent="0.15"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3:27" ht="12.75" customHeight="1" x14ac:dyDescent="0.15"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3:27" ht="12.75" customHeight="1" x14ac:dyDescent="0.15"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3:27" ht="12.75" customHeight="1" x14ac:dyDescent="0.15"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3:27" ht="12.75" customHeight="1" x14ac:dyDescent="0.15"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3:27" ht="12.75" customHeight="1" x14ac:dyDescent="0.15"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3:27" ht="12.75" customHeight="1" x14ac:dyDescent="0.15"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3:27" ht="12.75" customHeight="1" x14ac:dyDescent="0.15"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3:27" ht="12.75" customHeight="1" x14ac:dyDescent="0.15"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3:27" ht="12.75" customHeight="1" x14ac:dyDescent="0.15"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3:27" ht="12.75" customHeight="1" x14ac:dyDescent="0.15"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3:27" ht="12.75" customHeight="1" x14ac:dyDescent="0.15"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3:27" ht="12.75" customHeight="1" x14ac:dyDescent="0.15"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3:27" ht="12.75" customHeight="1" x14ac:dyDescent="0.15"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3:27" ht="12.75" customHeight="1" x14ac:dyDescent="0.15"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3:27" ht="12.75" customHeight="1" x14ac:dyDescent="0.15"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3:27" ht="12.75" customHeight="1" x14ac:dyDescent="0.15"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3:27" ht="12.75" customHeight="1" x14ac:dyDescent="0.15"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3:27" ht="12.75" customHeight="1" x14ac:dyDescent="0.15"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3:27" ht="12.75" customHeight="1" x14ac:dyDescent="0.15"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3:27" ht="12.75" customHeight="1" x14ac:dyDescent="0.15"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3:27" ht="12.75" customHeight="1" x14ac:dyDescent="0.15"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3:27" ht="12.75" customHeight="1" x14ac:dyDescent="0.15"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3:27" ht="12.75" customHeight="1" x14ac:dyDescent="0.15"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3:27" ht="12.75" customHeight="1" x14ac:dyDescent="0.15"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3:27" ht="12.75" customHeight="1" x14ac:dyDescent="0.15"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3:27" ht="12.75" customHeight="1" x14ac:dyDescent="0.15"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3:27" ht="12.75" customHeight="1" x14ac:dyDescent="0.15"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3:27" ht="12.75" customHeight="1" x14ac:dyDescent="0.15"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3:27" ht="12.75" customHeight="1" x14ac:dyDescent="0.15"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3:27" ht="12.75" customHeight="1" x14ac:dyDescent="0.15"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3:27" ht="12.75" customHeight="1" x14ac:dyDescent="0.15"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3:27" ht="12.75" customHeight="1" x14ac:dyDescent="0.15"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3:27" ht="12.75" customHeight="1" x14ac:dyDescent="0.15"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3:27" ht="12.75" customHeight="1" x14ac:dyDescent="0.15"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3:27" ht="12.75" customHeight="1" x14ac:dyDescent="0.15"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3:27" ht="12.75" customHeight="1" x14ac:dyDescent="0.15"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3:27" ht="12.75" customHeight="1" x14ac:dyDescent="0.15"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3:27" ht="12.75" customHeight="1" x14ac:dyDescent="0.15"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3:27" ht="12.75" customHeight="1" x14ac:dyDescent="0.15"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3:27" ht="12.75" customHeight="1" x14ac:dyDescent="0.15"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3:27" ht="12.75" customHeight="1" x14ac:dyDescent="0.15"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3:27" ht="12.75" customHeight="1" x14ac:dyDescent="0.15"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3:27" ht="12.75" customHeight="1" x14ac:dyDescent="0.15"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3:27" ht="12.75" customHeight="1" x14ac:dyDescent="0.15"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3:27" ht="12.75" customHeight="1" x14ac:dyDescent="0.15"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3:27" ht="12.75" customHeight="1" x14ac:dyDescent="0.15"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3:27" ht="12.75" customHeight="1" x14ac:dyDescent="0.15"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3:27" ht="12.75" customHeight="1" x14ac:dyDescent="0.15"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3:27" ht="12.75" customHeight="1" x14ac:dyDescent="0.15"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3:27" ht="12.75" customHeight="1" x14ac:dyDescent="0.15"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3:27" ht="12.75" customHeight="1" x14ac:dyDescent="0.15"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3:27" ht="12.75" customHeight="1" x14ac:dyDescent="0.15"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3:27" ht="12.75" customHeight="1" x14ac:dyDescent="0.15"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3:27" ht="12.75" customHeight="1" x14ac:dyDescent="0.15"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3:27" ht="12.75" customHeight="1" x14ac:dyDescent="0.15"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3:27" ht="12.75" customHeight="1" x14ac:dyDescent="0.15"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3:27" ht="12.75" customHeight="1" x14ac:dyDescent="0.15"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3:27" ht="12.75" customHeight="1" x14ac:dyDescent="0.15"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3:27" ht="12.75" customHeight="1" x14ac:dyDescent="0.15"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3:27" ht="12.75" customHeight="1" x14ac:dyDescent="0.15"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3:27" ht="12.75" customHeight="1" x14ac:dyDescent="0.15"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3:27" ht="12.75" customHeight="1" x14ac:dyDescent="0.15"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3:27" ht="12.75" customHeight="1" x14ac:dyDescent="0.15"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3:27" ht="12.75" customHeight="1" x14ac:dyDescent="0.15"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3:27" ht="12.75" customHeight="1" x14ac:dyDescent="0.15"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3:27" ht="12.75" customHeight="1" x14ac:dyDescent="0.15"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3:27" ht="12.75" customHeight="1" x14ac:dyDescent="0.15"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3:27" ht="12.75" customHeight="1" x14ac:dyDescent="0.15"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3:27" ht="12.75" customHeight="1" x14ac:dyDescent="0.15"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3:27" ht="12.75" customHeight="1" x14ac:dyDescent="0.15"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3:27" ht="12.75" customHeight="1" x14ac:dyDescent="0.15"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3:27" ht="12.75" customHeight="1" x14ac:dyDescent="0.15"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3:27" ht="12.75" customHeight="1" x14ac:dyDescent="0.15"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3:27" ht="12.75" customHeight="1" x14ac:dyDescent="0.15"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3:27" ht="12.75" customHeight="1" x14ac:dyDescent="0.15"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3:27" ht="12.75" customHeight="1" x14ac:dyDescent="0.15"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3:27" ht="12.75" customHeight="1" x14ac:dyDescent="0.15"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3:27" ht="12.75" customHeight="1" x14ac:dyDescent="0.15"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3:27" ht="12.75" customHeight="1" x14ac:dyDescent="0.15"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3:27" ht="12.75" customHeight="1" x14ac:dyDescent="0.15"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3:27" ht="12.75" customHeight="1" x14ac:dyDescent="0.15"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3:27" ht="12.75" customHeight="1" x14ac:dyDescent="0.15"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3:27" ht="12.75" customHeight="1" x14ac:dyDescent="0.15"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3:27" ht="12.75" customHeight="1" x14ac:dyDescent="0.15"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3:27" ht="12.75" customHeight="1" x14ac:dyDescent="0.15"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3:27" ht="12.75" customHeight="1" x14ac:dyDescent="0.15"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3:27" ht="12.75" customHeight="1" x14ac:dyDescent="0.15"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3:27" ht="12.75" customHeight="1" x14ac:dyDescent="0.15"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3:27" ht="12.75" customHeight="1" x14ac:dyDescent="0.15"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3:27" ht="12.75" customHeight="1" x14ac:dyDescent="0.15"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3:27" ht="12.75" customHeight="1" x14ac:dyDescent="0.15"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3:27" ht="12.75" customHeight="1" x14ac:dyDescent="0.15"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3:27" ht="12.75" customHeight="1" x14ac:dyDescent="0.15"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3:27" ht="12.75" customHeight="1" x14ac:dyDescent="0.15"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3:27" ht="12.75" customHeight="1" x14ac:dyDescent="0.15"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3:27" ht="12.75" customHeight="1" x14ac:dyDescent="0.15"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3:27" ht="12.75" customHeight="1" x14ac:dyDescent="0.15"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3:27" ht="12.75" customHeight="1" x14ac:dyDescent="0.15"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3:27" ht="12.75" customHeight="1" x14ac:dyDescent="0.15"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3:27" ht="12.75" customHeight="1" x14ac:dyDescent="0.15"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3:27" ht="12.75" customHeight="1" x14ac:dyDescent="0.15"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3:27" ht="12.75" customHeight="1" x14ac:dyDescent="0.15"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3:27" ht="12.75" customHeight="1" x14ac:dyDescent="0.15"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3:27" ht="12.75" customHeight="1" x14ac:dyDescent="0.15"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3:27" ht="12.75" customHeight="1" x14ac:dyDescent="0.15"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3:27" ht="12.75" customHeight="1" x14ac:dyDescent="0.15"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3:27" ht="12.75" customHeight="1" x14ac:dyDescent="0.15"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3:27" ht="12.75" customHeight="1" x14ac:dyDescent="0.15"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3:27" ht="12.75" customHeight="1" x14ac:dyDescent="0.15"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3:27" ht="12.75" customHeight="1" x14ac:dyDescent="0.15"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3:27" ht="12.75" customHeight="1" x14ac:dyDescent="0.15"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3:27" ht="12.75" customHeight="1" x14ac:dyDescent="0.15"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3:27" ht="12.75" customHeight="1" x14ac:dyDescent="0.15"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3:27" ht="12.75" customHeight="1" x14ac:dyDescent="0.15"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3:27" ht="12.75" customHeight="1" x14ac:dyDescent="0.15"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3:27" ht="12.75" customHeight="1" x14ac:dyDescent="0.15"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3:27" ht="12.75" customHeight="1" x14ac:dyDescent="0.15"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3:27" ht="12.75" customHeight="1" x14ac:dyDescent="0.15"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3:27" ht="12.75" customHeight="1" x14ac:dyDescent="0.15"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3:27" ht="12.75" customHeight="1" x14ac:dyDescent="0.15"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3:27" ht="12.75" customHeight="1" x14ac:dyDescent="0.15"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3:27" ht="12.75" customHeight="1" x14ac:dyDescent="0.15"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3:27" ht="12.75" customHeight="1" x14ac:dyDescent="0.15"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3:27" ht="12.75" customHeight="1" x14ac:dyDescent="0.15"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3:27" ht="12.75" customHeight="1" x14ac:dyDescent="0.15"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3:27" ht="12.75" customHeight="1" x14ac:dyDescent="0.15"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3:27" ht="12.75" customHeight="1" x14ac:dyDescent="0.15"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3:27" ht="12.75" customHeight="1" x14ac:dyDescent="0.15"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3:27" ht="12.75" customHeight="1" x14ac:dyDescent="0.15"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</sheetData>
  <autoFilter ref="K18:AH263"/>
  <pageMargins left="0.18" right="0.18" top="0.75" bottom="0.75" header="0.3" footer="0.3"/>
  <pageSetup paperSize="9" scale="67" fitToHeight="0" orientation="landscape" r:id="rId2"/>
  <customProperties>
    <customPr name="_pios_id" r:id="rId3"/>
  </customProperties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  <pageSetUpPr fitToPage="1"/>
  </sheetPr>
  <dimension ref="A1:AI80"/>
  <sheetViews>
    <sheetView showGridLines="0" zoomScale="80" zoomScaleNormal="80" workbookViewId="0">
      <pane xSplit="2" ySplit="18" topLeftCell="C19" activePane="bottomRight" state="frozen"/>
      <selection pane="topRight" activeCell="C1" sqref="C1"/>
      <selection pane="bottomLeft" activeCell="A19" sqref="A19"/>
      <selection pane="bottomRight" activeCell="C19" sqref="C19"/>
    </sheetView>
  </sheetViews>
  <sheetFormatPr defaultRowHeight="15" outlineLevelRow="1" outlineLevelCol="1" x14ac:dyDescent="0.25"/>
  <cols>
    <col min="2" max="2" width="39.28515625" bestFit="1" customWidth="1"/>
    <col min="3" max="3" width="17" bestFit="1" customWidth="1"/>
    <col min="4" max="4" width="14.42578125" bestFit="1" customWidth="1"/>
    <col min="5" max="5" width="15.85546875" customWidth="1"/>
    <col min="6" max="6" width="12" customWidth="1"/>
    <col min="9" max="9" width="9.140625" customWidth="1" outlineLevel="1"/>
    <col min="10" max="30" width="13.7109375" customWidth="1" outlineLevel="1"/>
    <col min="31" max="31" width="11.7109375" customWidth="1"/>
    <col min="32" max="32" width="10.7109375" bestFit="1" customWidth="1"/>
    <col min="33" max="33" width="33.5703125" bestFit="1" customWidth="1"/>
  </cols>
  <sheetData>
    <row r="1" spans="2:32" s="1" customFormat="1" ht="12.75" customHeight="1" x14ac:dyDescent="0.15">
      <c r="B1" s="1" t="s">
        <v>3162</v>
      </c>
      <c r="J1" s="24">
        <v>73</v>
      </c>
      <c r="K1" s="24">
        <f>J1+1</f>
        <v>74</v>
      </c>
      <c r="L1" s="24">
        <f t="shared" ref="L1:AA1" si="0">K1+1</f>
        <v>75</v>
      </c>
      <c r="M1" s="24">
        <f t="shared" si="0"/>
        <v>76</v>
      </c>
      <c r="N1" s="24">
        <f t="shared" si="0"/>
        <v>77</v>
      </c>
      <c r="O1" s="24">
        <f t="shared" si="0"/>
        <v>78</v>
      </c>
      <c r="P1" s="24">
        <f t="shared" si="0"/>
        <v>79</v>
      </c>
      <c r="Q1" s="24">
        <f t="shared" si="0"/>
        <v>80</v>
      </c>
      <c r="R1" s="24">
        <f t="shared" si="0"/>
        <v>81</v>
      </c>
      <c r="S1" s="24">
        <f t="shared" si="0"/>
        <v>82</v>
      </c>
      <c r="T1" s="24">
        <f t="shared" si="0"/>
        <v>83</v>
      </c>
      <c r="U1" s="24">
        <f t="shared" si="0"/>
        <v>84</v>
      </c>
      <c r="V1" s="24">
        <f t="shared" si="0"/>
        <v>85</v>
      </c>
      <c r="W1" s="24">
        <f t="shared" si="0"/>
        <v>86</v>
      </c>
      <c r="X1" s="24">
        <f t="shared" si="0"/>
        <v>87</v>
      </c>
      <c r="Y1" s="24">
        <f t="shared" si="0"/>
        <v>88</v>
      </c>
      <c r="Z1" s="24">
        <f t="shared" si="0"/>
        <v>89</v>
      </c>
      <c r="AA1" s="24">
        <f t="shared" si="0"/>
        <v>90</v>
      </c>
      <c r="AB1" s="24">
        <f t="shared" ref="L1:AC2" si="1">AA1+1</f>
        <v>91</v>
      </c>
      <c r="AC1" s="24">
        <f t="shared" si="1"/>
        <v>92</v>
      </c>
      <c r="AD1" s="24"/>
      <c r="AE1" s="24"/>
    </row>
    <row r="2" spans="2:32" s="1" customFormat="1" ht="12.75" customHeight="1" x14ac:dyDescent="0.15">
      <c r="B2" s="1" t="s">
        <v>3147</v>
      </c>
      <c r="C2" s="3"/>
      <c r="D2" s="3"/>
      <c r="E2" s="3"/>
      <c r="F2" s="3"/>
      <c r="J2" s="24">
        <v>3</v>
      </c>
      <c r="K2" s="24">
        <f>J2+1</f>
        <v>4</v>
      </c>
      <c r="L2" s="24">
        <f t="shared" si="1"/>
        <v>5</v>
      </c>
      <c r="M2" s="24">
        <f t="shared" si="1"/>
        <v>6</v>
      </c>
      <c r="N2" s="24">
        <f t="shared" si="1"/>
        <v>7</v>
      </c>
      <c r="O2" s="24">
        <f t="shared" si="1"/>
        <v>8</v>
      </c>
      <c r="P2" s="24">
        <f t="shared" si="1"/>
        <v>9</v>
      </c>
      <c r="Q2" s="24">
        <f t="shared" si="1"/>
        <v>10</v>
      </c>
      <c r="R2" s="24">
        <f t="shared" si="1"/>
        <v>11</v>
      </c>
      <c r="S2" s="24">
        <f t="shared" si="1"/>
        <v>12</v>
      </c>
      <c r="T2" s="24">
        <f t="shared" si="1"/>
        <v>13</v>
      </c>
      <c r="U2" s="24">
        <f t="shared" si="1"/>
        <v>14</v>
      </c>
      <c r="V2" s="24">
        <f t="shared" si="1"/>
        <v>15</v>
      </c>
      <c r="W2" s="24">
        <f t="shared" si="1"/>
        <v>16</v>
      </c>
      <c r="X2" s="24">
        <f t="shared" si="1"/>
        <v>17</v>
      </c>
      <c r="Y2" s="24">
        <f t="shared" si="1"/>
        <v>18</v>
      </c>
      <c r="Z2" s="24">
        <f t="shared" si="1"/>
        <v>19</v>
      </c>
      <c r="AA2" s="24">
        <f t="shared" si="1"/>
        <v>20</v>
      </c>
      <c r="AB2" s="24">
        <f t="shared" si="1"/>
        <v>21</v>
      </c>
      <c r="AC2" s="24">
        <f t="shared" si="1"/>
        <v>22</v>
      </c>
      <c r="AD2" s="24"/>
      <c r="AE2" s="24"/>
    </row>
    <row r="3" spans="2:32" s="1" customFormat="1" ht="12.75" customHeight="1" thickBot="1" x14ac:dyDescent="0.2">
      <c r="C3" s="3">
        <v>17</v>
      </c>
      <c r="D3" s="3">
        <v>18</v>
      </c>
      <c r="E3" s="3">
        <f>D3+1</f>
        <v>19</v>
      </c>
      <c r="F3" s="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2:32" s="1" customFormat="1" ht="57" customHeight="1" x14ac:dyDescent="0.15">
      <c r="B4" s="114"/>
      <c r="C4" s="725" t="s">
        <v>3161</v>
      </c>
      <c r="D4" s="726">
        <f>D9+Commissioned!C15</f>
        <v>92353161.37081565</v>
      </c>
      <c r="E4" s="115"/>
      <c r="F4" s="495" t="s">
        <v>2291</v>
      </c>
      <c r="I4" s="499"/>
      <c r="J4" s="474" t="s">
        <v>1031</v>
      </c>
      <c r="K4" s="474" t="s">
        <v>1032</v>
      </c>
      <c r="L4" s="474" t="s">
        <v>1033</v>
      </c>
      <c r="M4" s="474" t="s">
        <v>1034</v>
      </c>
      <c r="N4" s="474" t="s">
        <v>1035</v>
      </c>
      <c r="O4" s="474" t="s">
        <v>854</v>
      </c>
      <c r="P4" s="474" t="s">
        <v>1036</v>
      </c>
      <c r="Q4" s="474" t="s">
        <v>1037</v>
      </c>
      <c r="R4" s="474" t="s">
        <v>41</v>
      </c>
      <c r="S4" s="474" t="s">
        <v>1038</v>
      </c>
      <c r="T4" s="474" t="s">
        <v>1039</v>
      </c>
      <c r="U4" s="474" t="s">
        <v>1040</v>
      </c>
      <c r="V4" s="474" t="s">
        <v>1041</v>
      </c>
      <c r="W4" s="474" t="s">
        <v>1042</v>
      </c>
      <c r="X4" s="474" t="s">
        <v>1043</v>
      </c>
      <c r="Y4" s="474" t="s">
        <v>1044</v>
      </c>
      <c r="Z4" s="474" t="s">
        <v>1045</v>
      </c>
      <c r="AA4" s="474" t="s">
        <v>1046</v>
      </c>
      <c r="AB4" s="475" t="s">
        <v>1047</v>
      </c>
      <c r="AC4" s="707" t="s">
        <v>3051</v>
      </c>
      <c r="AD4" s="475"/>
      <c r="AE4" s="475"/>
      <c r="AF4" s="476"/>
    </row>
    <row r="5" spans="2:32" s="1" customFormat="1" ht="12.75" hidden="1" customHeight="1" outlineLevel="1" x14ac:dyDescent="0.15">
      <c r="B5" s="116">
        <v>2014</v>
      </c>
      <c r="C5" s="496"/>
      <c r="D5" s="496"/>
      <c r="E5" s="496"/>
      <c r="F5" s="497">
        <f t="shared" ref="F5:F14" si="2">SUM(C5:E5)</f>
        <v>0</v>
      </c>
      <c r="G5" s="3"/>
      <c r="H5" s="3"/>
      <c r="I5" s="500" t="s">
        <v>2287</v>
      </c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477"/>
    </row>
    <row r="6" spans="2:32" s="1" customFormat="1" ht="12.75" hidden="1" customHeight="1" outlineLevel="1" x14ac:dyDescent="0.15">
      <c r="B6" s="116">
        <v>2015</v>
      </c>
      <c r="C6" s="496"/>
      <c r="D6" s="496"/>
      <c r="E6" s="496"/>
      <c r="F6" s="497">
        <f t="shared" si="2"/>
        <v>0</v>
      </c>
      <c r="G6" s="3"/>
      <c r="H6" s="3"/>
      <c r="I6" s="500" t="s">
        <v>2288</v>
      </c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477"/>
    </row>
    <row r="7" spans="2:32" s="1" customFormat="1" ht="12.75" hidden="1" customHeight="1" outlineLevel="1" x14ac:dyDescent="0.15">
      <c r="B7" s="116">
        <v>2016</v>
      </c>
      <c r="C7" s="91"/>
      <c r="D7" s="91"/>
      <c r="E7" s="91"/>
      <c r="F7" s="477">
        <f t="shared" si="2"/>
        <v>0</v>
      </c>
      <c r="G7" s="3"/>
      <c r="H7" s="3"/>
      <c r="I7" s="500" t="s">
        <v>2276</v>
      </c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477"/>
    </row>
    <row r="8" spans="2:32" s="1" customFormat="1" ht="12.75" customHeight="1" collapsed="1" x14ac:dyDescent="0.15">
      <c r="B8" s="116">
        <v>2017</v>
      </c>
      <c r="C8" s="91">
        <f>SUM($J8:$AC8)</f>
        <v>104245799.09245034</v>
      </c>
      <c r="D8" s="91"/>
      <c r="E8" s="91"/>
      <c r="F8" s="477">
        <f t="shared" si="2"/>
        <v>104245799.09245034</v>
      </c>
      <c r="G8" s="3"/>
      <c r="H8" s="3"/>
      <c r="I8" s="500" t="s">
        <v>2277</v>
      </c>
      <c r="J8" s="91">
        <f t="shared" ref="J8:AC8" si="3">SUMPRODUCT(J$19:J$344,$C$19:$C$344)</f>
        <v>396792.01296298747</v>
      </c>
      <c r="K8" s="91">
        <f t="shared" si="3"/>
        <v>2970158.8021577219</v>
      </c>
      <c r="L8" s="91">
        <f t="shared" si="3"/>
        <v>5515596.8139533866</v>
      </c>
      <c r="M8" s="91">
        <f t="shared" si="3"/>
        <v>10391268.197987564</v>
      </c>
      <c r="N8" s="91">
        <f t="shared" si="3"/>
        <v>6111094.1093301997</v>
      </c>
      <c r="O8" s="91">
        <f t="shared" si="3"/>
        <v>85883.468555398969</v>
      </c>
      <c r="P8" s="91">
        <f t="shared" si="3"/>
        <v>0</v>
      </c>
      <c r="Q8" s="91">
        <f t="shared" si="3"/>
        <v>2835595.0533017796</v>
      </c>
      <c r="R8" s="91">
        <f t="shared" si="3"/>
        <v>0</v>
      </c>
      <c r="S8" s="91">
        <f t="shared" si="3"/>
        <v>32494157.825306069</v>
      </c>
      <c r="T8" s="91">
        <f t="shared" si="3"/>
        <v>0</v>
      </c>
      <c r="U8" s="91">
        <f t="shared" si="3"/>
        <v>13075805.729958184</v>
      </c>
      <c r="V8" s="91">
        <f t="shared" si="3"/>
        <v>444766.86448768672</v>
      </c>
      <c r="W8" s="91">
        <f t="shared" si="3"/>
        <v>0</v>
      </c>
      <c r="X8" s="91">
        <f t="shared" si="3"/>
        <v>19217177.359411106</v>
      </c>
      <c r="Y8" s="91">
        <f t="shared" si="3"/>
        <v>3389183.0426953472</v>
      </c>
      <c r="Z8" s="91">
        <f t="shared" si="3"/>
        <v>0</v>
      </c>
      <c r="AA8" s="91">
        <f t="shared" si="3"/>
        <v>0</v>
      </c>
      <c r="AB8" s="91">
        <f t="shared" si="3"/>
        <v>7318319.8123428924</v>
      </c>
      <c r="AC8" s="91">
        <f t="shared" si="3"/>
        <v>0</v>
      </c>
      <c r="AD8" s="91"/>
      <c r="AE8" s="91"/>
      <c r="AF8" s="477">
        <f>SUM(J8:AC8)</f>
        <v>104245799.09245034</v>
      </c>
    </row>
    <row r="9" spans="2:32" s="1" customFormat="1" ht="12.75" customHeight="1" x14ac:dyDescent="0.15">
      <c r="B9" s="116">
        <v>2018</v>
      </c>
      <c r="C9" s="91"/>
      <c r="D9" s="91">
        <f>SUM($J9:$AC9)</f>
        <v>16408798.660686558</v>
      </c>
      <c r="E9" s="91"/>
      <c r="F9" s="477">
        <f t="shared" si="2"/>
        <v>16408798.660686558</v>
      </c>
      <c r="G9" s="3"/>
      <c r="H9" s="3"/>
      <c r="I9" s="500" t="s">
        <v>2278</v>
      </c>
      <c r="J9" s="91">
        <f t="shared" ref="J9:AC9" si="4">SUMPRODUCT(J$19:J$344,$D$19:$D$344)</f>
        <v>26445.237463046815</v>
      </c>
      <c r="K9" s="91">
        <f t="shared" si="4"/>
        <v>95836.32291553315</v>
      </c>
      <c r="L9" s="91">
        <f t="shared" si="4"/>
        <v>199628.31888123322</v>
      </c>
      <c r="M9" s="91">
        <f t="shared" si="4"/>
        <v>3486138.4413676686</v>
      </c>
      <c r="N9" s="91">
        <f t="shared" si="4"/>
        <v>1882673.0337180444</v>
      </c>
      <c r="O9" s="91">
        <f t="shared" si="4"/>
        <v>97660.905852836629</v>
      </c>
      <c r="P9" s="91">
        <f t="shared" si="4"/>
        <v>968.7050577971072</v>
      </c>
      <c r="Q9" s="91">
        <f t="shared" si="4"/>
        <v>686263.27310039359</v>
      </c>
      <c r="R9" s="91">
        <f t="shared" si="4"/>
        <v>0</v>
      </c>
      <c r="S9" s="91">
        <f t="shared" si="4"/>
        <v>1816800.0599232423</v>
      </c>
      <c r="T9" s="91">
        <f t="shared" si="4"/>
        <v>2329866.5772099285</v>
      </c>
      <c r="U9" s="91">
        <f t="shared" si="4"/>
        <v>3082054.6679050587</v>
      </c>
      <c r="V9" s="91">
        <f t="shared" si="4"/>
        <v>-1733.18372634824</v>
      </c>
      <c r="W9" s="91">
        <f t="shared" si="4"/>
        <v>0</v>
      </c>
      <c r="X9" s="91">
        <f t="shared" si="4"/>
        <v>833245.49492134422</v>
      </c>
      <c r="Y9" s="91">
        <f t="shared" si="4"/>
        <v>916665.46819138795</v>
      </c>
      <c r="Z9" s="91">
        <f t="shared" si="4"/>
        <v>692704.42489182146</v>
      </c>
      <c r="AA9" s="91">
        <f t="shared" si="4"/>
        <v>0</v>
      </c>
      <c r="AB9" s="91">
        <f t="shared" si="4"/>
        <v>263580.91301356972</v>
      </c>
      <c r="AC9" s="91">
        <f t="shared" si="4"/>
        <v>0</v>
      </c>
      <c r="AD9" s="91"/>
      <c r="AE9" s="91"/>
      <c r="AF9" s="477">
        <f>SUM(J9:AC9)</f>
        <v>16408798.660686558</v>
      </c>
    </row>
    <row r="10" spans="2:32" s="1" customFormat="1" ht="12.75" customHeight="1" x14ac:dyDescent="0.15">
      <c r="B10" s="116">
        <v>2019</v>
      </c>
      <c r="C10" s="91"/>
      <c r="D10" s="91"/>
      <c r="E10" s="91">
        <f>SUM($J10:$AC10)</f>
        <v>5737024.1687254896</v>
      </c>
      <c r="F10" s="477">
        <f t="shared" si="2"/>
        <v>5737024.1687254896</v>
      </c>
      <c r="G10" s="3"/>
      <c r="H10" s="3"/>
      <c r="I10" s="500" t="s">
        <v>2279</v>
      </c>
      <c r="J10" s="91">
        <f t="shared" ref="J10:AB10" si="5">SUMPRODUCT(J$19:J$344,$E$19:$E$344)</f>
        <v>0</v>
      </c>
      <c r="K10" s="91">
        <f t="shared" si="5"/>
        <v>0</v>
      </c>
      <c r="L10" s="91">
        <f t="shared" si="5"/>
        <v>0</v>
      </c>
      <c r="M10" s="91">
        <f t="shared" si="5"/>
        <v>422816.79361364077</v>
      </c>
      <c r="N10" s="91">
        <f t="shared" si="5"/>
        <v>0</v>
      </c>
      <c r="O10" s="91">
        <f t="shared" si="5"/>
        <v>0</v>
      </c>
      <c r="P10" s="91">
        <f t="shared" si="5"/>
        <v>0</v>
      </c>
      <c r="Q10" s="91">
        <f t="shared" si="5"/>
        <v>0</v>
      </c>
      <c r="R10" s="91">
        <f t="shared" si="5"/>
        <v>0</v>
      </c>
      <c r="S10" s="91">
        <f t="shared" si="5"/>
        <v>0</v>
      </c>
      <c r="T10" s="91">
        <f t="shared" si="5"/>
        <v>2657103.6875559245</v>
      </c>
      <c r="U10" s="91">
        <f t="shared" si="5"/>
        <v>2657103.6875559245</v>
      </c>
      <c r="V10" s="91">
        <f t="shared" si="5"/>
        <v>0</v>
      </c>
      <c r="W10" s="91">
        <f t="shared" si="5"/>
        <v>0</v>
      </c>
      <c r="X10" s="91">
        <f t="shared" si="5"/>
        <v>0</v>
      </c>
      <c r="Y10" s="91">
        <f t="shared" si="5"/>
        <v>0</v>
      </c>
      <c r="Z10" s="91">
        <f t="shared" si="5"/>
        <v>0</v>
      </c>
      <c r="AA10" s="91">
        <f t="shared" si="5"/>
        <v>0</v>
      </c>
      <c r="AB10" s="91">
        <f t="shared" si="5"/>
        <v>0</v>
      </c>
      <c r="AC10" s="91"/>
      <c r="AD10" s="91"/>
      <c r="AE10" s="91"/>
      <c r="AF10" s="477">
        <f t="shared" ref="AF10:AF14" si="6">SUM(J10:AB10)</f>
        <v>5737024.1687254896</v>
      </c>
    </row>
    <row r="11" spans="2:32" s="1" customFormat="1" ht="12.75" hidden="1" customHeight="1" outlineLevel="1" x14ac:dyDescent="0.15">
      <c r="B11" s="116">
        <v>2020</v>
      </c>
      <c r="C11" s="91"/>
      <c r="D11" s="91"/>
      <c r="E11" s="91"/>
      <c r="F11" s="477">
        <f t="shared" si="2"/>
        <v>0</v>
      </c>
      <c r="G11" s="3"/>
      <c r="H11" s="3"/>
      <c r="I11" s="500" t="s">
        <v>2280</v>
      </c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477">
        <f t="shared" si="6"/>
        <v>0</v>
      </c>
    </row>
    <row r="12" spans="2:32" s="1" customFormat="1" ht="12.75" hidden="1" customHeight="1" outlineLevel="1" x14ac:dyDescent="0.15">
      <c r="B12" s="116">
        <v>2021</v>
      </c>
      <c r="C12" s="91"/>
      <c r="D12" s="91"/>
      <c r="E12" s="91"/>
      <c r="F12" s="477">
        <f t="shared" si="2"/>
        <v>0</v>
      </c>
      <c r="G12" s="3"/>
      <c r="H12" s="3"/>
      <c r="I12" s="500" t="s">
        <v>2281</v>
      </c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477">
        <f t="shared" si="6"/>
        <v>0</v>
      </c>
    </row>
    <row r="13" spans="2:32" s="1" customFormat="1" ht="12.75" hidden="1" customHeight="1" outlineLevel="1" x14ac:dyDescent="0.15">
      <c r="B13" s="116">
        <v>2022</v>
      </c>
      <c r="C13" s="91"/>
      <c r="D13" s="91"/>
      <c r="E13" s="91"/>
      <c r="F13" s="477">
        <f t="shared" si="2"/>
        <v>0</v>
      </c>
      <c r="G13" s="3"/>
      <c r="H13" s="3"/>
      <c r="I13" s="500" t="s">
        <v>2282</v>
      </c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477">
        <f t="shared" si="6"/>
        <v>0</v>
      </c>
    </row>
    <row r="14" spans="2:32" s="1" customFormat="1" ht="12.75" hidden="1" customHeight="1" outlineLevel="1" x14ac:dyDescent="0.15">
      <c r="B14" s="116">
        <v>2023</v>
      </c>
      <c r="C14" s="91"/>
      <c r="D14" s="91"/>
      <c r="E14" s="91"/>
      <c r="F14" s="477">
        <f t="shared" si="2"/>
        <v>0</v>
      </c>
      <c r="G14" s="3"/>
      <c r="H14" s="3"/>
      <c r="I14" s="500" t="s">
        <v>2283</v>
      </c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477">
        <f t="shared" si="6"/>
        <v>0</v>
      </c>
    </row>
    <row r="15" spans="2:32" s="1" customFormat="1" ht="12.75" customHeight="1" collapsed="1" thickBot="1" x14ac:dyDescent="0.2">
      <c r="B15" s="116"/>
      <c r="C15" s="91">
        <f t="shared" ref="C15:E15" si="7">SUM(C5:C14)</f>
        <v>104245799.09245034</v>
      </c>
      <c r="D15" s="91">
        <f t="shared" si="7"/>
        <v>16408798.660686558</v>
      </c>
      <c r="E15" s="91">
        <f t="shared" si="7"/>
        <v>5737024.1687254896</v>
      </c>
      <c r="F15" s="477">
        <f>SUM(F7:F14)</f>
        <v>126391621.92186238</v>
      </c>
      <c r="G15" s="3"/>
      <c r="H15" s="3"/>
      <c r="I15" s="501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  <c r="AB15" s="478"/>
      <c r="AC15" s="478"/>
      <c r="AD15" s="478"/>
      <c r="AE15" s="478"/>
      <c r="AF15" s="479">
        <f>SUBTOTAL(9,AF5:AF14)</f>
        <v>126391621.92186238</v>
      </c>
    </row>
    <row r="16" spans="2:32" s="1" customFormat="1" ht="12.75" customHeight="1" thickBot="1" x14ac:dyDescent="0.2">
      <c r="B16" s="498" t="s">
        <v>2263</v>
      </c>
      <c r="C16" s="478">
        <f>C15-MAX(C19:C406)</f>
        <v>0</v>
      </c>
      <c r="D16" s="478">
        <f>D15-MAX(D19:D406)</f>
        <v>0</v>
      </c>
      <c r="E16" s="478">
        <f>E15-MAX(E19:E406)</f>
        <v>0</v>
      </c>
      <c r="F16" s="479"/>
      <c r="G16" s="3"/>
      <c r="H16" s="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3" s="1" customFormat="1" ht="12.75" customHeight="1" x14ac:dyDescent="0.25">
      <c r="A17" s="1" t="s">
        <v>2262</v>
      </c>
      <c r="C17" s="3">
        <f>SUM(C19:C78)</f>
        <v>104245799.09245031</v>
      </c>
      <c r="D17" s="3">
        <f>SUM(D19:D78)</f>
        <v>16408798.660686556</v>
      </c>
      <c r="E17" s="3">
        <f>SUM(E19:E78)</f>
        <v>5737024.1687254906</v>
      </c>
      <c r="F17" s="3">
        <f>SUM(F19:F78)</f>
        <v>126391621.92186236</v>
      </c>
      <c r="G17"/>
      <c r="AF17" s="3"/>
    </row>
    <row r="18" spans="1:33" s="1" customFormat="1" ht="52.5" x14ac:dyDescent="0.15">
      <c r="A18" s="64" t="s">
        <v>20</v>
      </c>
      <c r="B18" s="55" t="s">
        <v>21</v>
      </c>
      <c r="C18" s="65">
        <v>2017</v>
      </c>
      <c r="D18" s="65">
        <v>2018</v>
      </c>
      <c r="E18" s="65">
        <v>2019</v>
      </c>
      <c r="F18" s="65" t="s">
        <v>2261</v>
      </c>
      <c r="G18" s="503" t="s">
        <v>3146</v>
      </c>
      <c r="H18" s="35"/>
      <c r="I18" s="36" t="s">
        <v>2237</v>
      </c>
      <c r="J18" s="31" t="s">
        <v>1031</v>
      </c>
      <c r="K18" s="31" t="s">
        <v>1032</v>
      </c>
      <c r="L18" s="31" t="s">
        <v>1033</v>
      </c>
      <c r="M18" s="31" t="s">
        <v>1034</v>
      </c>
      <c r="N18" s="31" t="s">
        <v>1035</v>
      </c>
      <c r="O18" s="31" t="s">
        <v>854</v>
      </c>
      <c r="P18" s="31" t="s">
        <v>1036</v>
      </c>
      <c r="Q18" s="31" t="s">
        <v>1037</v>
      </c>
      <c r="R18" s="31" t="s">
        <v>41</v>
      </c>
      <c r="S18" s="31" t="s">
        <v>1038</v>
      </c>
      <c r="T18" s="31" t="s">
        <v>1039</v>
      </c>
      <c r="U18" s="31" t="s">
        <v>1040</v>
      </c>
      <c r="V18" s="31" t="s">
        <v>1041</v>
      </c>
      <c r="W18" s="31" t="s">
        <v>1042</v>
      </c>
      <c r="X18" s="31" t="s">
        <v>1043</v>
      </c>
      <c r="Y18" s="31" t="s">
        <v>1044</v>
      </c>
      <c r="Z18" s="31" t="s">
        <v>1045</v>
      </c>
      <c r="AA18" s="31" t="s">
        <v>1046</v>
      </c>
      <c r="AB18" s="32" t="s">
        <v>1047</v>
      </c>
      <c r="AC18" s="707" t="s">
        <v>3051</v>
      </c>
      <c r="AD18" s="32" t="s">
        <v>639</v>
      </c>
      <c r="AE18" s="38" t="s">
        <v>3115</v>
      </c>
      <c r="AF18" s="38" t="s">
        <v>3072</v>
      </c>
    </row>
    <row r="19" spans="1:33" s="1" customFormat="1" ht="12.75" customHeight="1" x14ac:dyDescent="0.15">
      <c r="A19" s="12" t="s">
        <v>25</v>
      </c>
      <c r="B19" s="13" t="s">
        <v>26</v>
      </c>
      <c r="C19" s="3">
        <f>IF(VLOOKUP($A19,Incurred!$A$25:$W$371,C$3,FALSE)="",0,VLOOKUP($A19,Incurred!$A$25:$W$371,C$3,FALSE))+AE19-AF19</f>
        <v>0</v>
      </c>
      <c r="D19" s="3">
        <f>IF(VLOOKUP($A19,Incurred!$A$25:$W$371,D$3,FALSE)="",0,VLOOKUP($A19,Incurred!$A$25:$W$371,D$3,FALSE))+AF19</f>
        <v>1260193.2167056531</v>
      </c>
      <c r="E19" s="3" t="str">
        <f>VLOOKUP($A19,Incurred!$A$25:$W$371,E$3,FALSE)</f>
        <v/>
      </c>
      <c r="F19" s="3">
        <f>SUM(C19:E19)</f>
        <v>1260193.2167056531</v>
      </c>
      <c r="G19" s="1">
        <f t="shared" ref="G19:G78" si="8">IF(ISNA(INDEX($C$18:$D$18,MATCH(F19,C19:D19,0))),2017,INDEX($C$18:$D$18,MATCH(F19,C19:D19,0)))</f>
        <v>2018</v>
      </c>
      <c r="H19" s="3"/>
      <c r="I19" s="33"/>
      <c r="J19" s="28">
        <f t="shared" ref="J19:S28" si="9">VLOOKUP(MID($A19,4,5),ProjectSplits,J$2,FALSE)</f>
        <v>0</v>
      </c>
      <c r="K19" s="28">
        <f t="shared" si="9"/>
        <v>0</v>
      </c>
      <c r="L19" s="28">
        <f t="shared" si="9"/>
        <v>4.4874302157497943E-2</v>
      </c>
      <c r="M19" s="28">
        <f t="shared" si="9"/>
        <v>0</v>
      </c>
      <c r="N19" s="28">
        <f t="shared" si="9"/>
        <v>0</v>
      </c>
      <c r="O19" s="28">
        <f t="shared" si="9"/>
        <v>0</v>
      </c>
      <c r="P19" s="28">
        <f t="shared" si="9"/>
        <v>7.6869566107446395E-4</v>
      </c>
      <c r="Q19" s="28">
        <f t="shared" si="9"/>
        <v>0</v>
      </c>
      <c r="R19" s="28">
        <f t="shared" si="9"/>
        <v>0</v>
      </c>
      <c r="S19" s="28">
        <f t="shared" si="9"/>
        <v>0.25202997004207189</v>
      </c>
      <c r="T19" s="28">
        <f t="shared" ref="T19:AC28" si="10">VLOOKUP(MID($A19,4,5),ProjectSplits,T$2,FALSE)</f>
        <v>0</v>
      </c>
      <c r="U19" s="28">
        <f t="shared" si="10"/>
        <v>0.13029368434774419</v>
      </c>
      <c r="V19" s="28">
        <f t="shared" si="10"/>
        <v>0</v>
      </c>
      <c r="W19" s="28">
        <f t="shared" si="10"/>
        <v>0</v>
      </c>
      <c r="X19" s="28">
        <f t="shared" si="10"/>
        <v>4.5298550890942951E-2</v>
      </c>
      <c r="Y19" s="28">
        <f t="shared" si="10"/>
        <v>0</v>
      </c>
      <c r="Z19" s="28">
        <f t="shared" si="10"/>
        <v>0.5267347969006686</v>
      </c>
      <c r="AA19" s="28">
        <f t="shared" si="10"/>
        <v>0</v>
      </c>
      <c r="AB19" s="28">
        <f t="shared" si="10"/>
        <v>0</v>
      </c>
      <c r="AC19" s="28">
        <f t="shared" si="10"/>
        <v>0</v>
      </c>
      <c r="AD19" s="28">
        <f>SUM(J19:AB19)</f>
        <v>1</v>
      </c>
      <c r="AE19" s="62">
        <f>IF(ISNA(VLOOKUP($A19,CWIPF16,3,FALSE)),0,VLOOKUP($A19,CWIPF16,3,FALSE))</f>
        <v>354909.36</v>
      </c>
      <c r="AF19" s="62">
        <f t="shared" ref="AF19:AF36" si="11">IF(ISNA(VLOOKUP(A19,CWIPF17,3,FALSE)),0,VLOOKUP(A19,CWIPF17,3,FALSE))</f>
        <v>483116.56</v>
      </c>
    </row>
    <row r="20" spans="1:33" s="1" customFormat="1" ht="12.75" customHeight="1" x14ac:dyDescent="0.15">
      <c r="A20" s="12" t="s">
        <v>34</v>
      </c>
      <c r="B20" s="13" t="s">
        <v>35</v>
      </c>
      <c r="C20" s="3">
        <f>IF(VLOOKUP($A20,Incurred!$A$25:$W$371,C$3,FALSE)="",0,VLOOKUP($A20,Incurred!$A$25:$W$371,C$3,FALSE))+AE20-AF20</f>
        <v>36716774.015721038</v>
      </c>
      <c r="D20" s="3">
        <f>IF(VLOOKUP($A20,Incurred!$A$25:$W$371,D$3,FALSE)="",0,VLOOKUP($A20,Incurred!$A$25:$W$371,D$3,FALSE))+AF20</f>
        <v>1798969.9414380395</v>
      </c>
      <c r="E20" s="3" t="str">
        <f>VLOOKUP($A20,Incurred!$A$25:$W$371,E$3,FALSE)</f>
        <v/>
      </c>
      <c r="F20" s="3">
        <f t="shared" ref="F20:F78" si="12">SUM(C20:E20)</f>
        <v>38515743.95715908</v>
      </c>
      <c r="G20" s="1">
        <f t="shared" si="8"/>
        <v>2017</v>
      </c>
      <c r="H20" s="3"/>
      <c r="I20" s="33"/>
      <c r="J20" s="28">
        <f t="shared" si="9"/>
        <v>0</v>
      </c>
      <c r="K20" s="28">
        <f t="shared" si="9"/>
        <v>3.3436576688189022E-2</v>
      </c>
      <c r="L20" s="28">
        <f t="shared" si="9"/>
        <v>2.9457106817357828E-2</v>
      </c>
      <c r="M20" s="28">
        <f t="shared" si="9"/>
        <v>0</v>
      </c>
      <c r="N20" s="28">
        <f t="shared" si="9"/>
        <v>0</v>
      </c>
      <c r="O20" s="28">
        <f t="shared" si="9"/>
        <v>0</v>
      </c>
      <c r="P20" s="28">
        <f t="shared" si="9"/>
        <v>0</v>
      </c>
      <c r="Q20" s="28">
        <f t="shared" si="9"/>
        <v>0</v>
      </c>
      <c r="R20" s="28">
        <f t="shared" si="9"/>
        <v>0</v>
      </c>
      <c r="S20" s="28">
        <f t="shared" si="9"/>
        <v>0.45365293763107484</v>
      </c>
      <c r="T20" s="28">
        <f t="shared" si="10"/>
        <v>0</v>
      </c>
      <c r="U20" s="28">
        <f t="shared" si="10"/>
        <v>0.17708440281895144</v>
      </c>
      <c r="V20" s="28">
        <f t="shared" si="10"/>
        <v>0</v>
      </c>
      <c r="W20" s="28">
        <f t="shared" si="10"/>
        <v>0</v>
      </c>
      <c r="X20" s="28">
        <f t="shared" si="10"/>
        <v>0.25253477750158709</v>
      </c>
      <c r="Y20" s="28">
        <f t="shared" si="10"/>
        <v>5.3834198542839808E-2</v>
      </c>
      <c r="Z20" s="28">
        <f t="shared" si="10"/>
        <v>0</v>
      </c>
      <c r="AA20" s="28">
        <f t="shared" si="10"/>
        <v>0</v>
      </c>
      <c r="AB20" s="28">
        <f t="shared" si="10"/>
        <v>0</v>
      </c>
      <c r="AC20" s="28">
        <f t="shared" si="10"/>
        <v>0</v>
      </c>
      <c r="AD20" s="28">
        <f t="shared" ref="AD20:AD33" si="13">SUM(J20:AB20)</f>
        <v>0.99999999999999989</v>
      </c>
      <c r="AE20" s="62">
        <f>VLOOKUP(A20,Incurred!$A$25:$BP$391,68,FALSE)</f>
        <v>33348429.195721038</v>
      </c>
      <c r="AF20" s="62">
        <f t="shared" si="11"/>
        <v>0</v>
      </c>
      <c r="AG20" s="1" t="s">
        <v>3129</v>
      </c>
    </row>
    <row r="21" spans="1:33" s="1" customFormat="1" ht="12.75" customHeight="1" x14ac:dyDescent="0.15">
      <c r="A21" s="12" t="s">
        <v>37</v>
      </c>
      <c r="B21" s="13" t="s">
        <v>38</v>
      </c>
      <c r="C21" s="3">
        <f>IF(VLOOKUP($A21,Incurred!$A$25:$W$371,C$3,FALSE)="",0,VLOOKUP($A21,Incurred!$A$25:$W$371,C$3,FALSE))+AE21-AF21</f>
        <v>0</v>
      </c>
      <c r="D21" s="3">
        <f>IF(VLOOKUP($A21,Incurred!$A$25:$W$371,D$3,FALSE)="",0,VLOOKUP($A21,Incurred!$A$25:$W$371,D$3,FALSE))+AF21</f>
        <v>741643.58052061254</v>
      </c>
      <c r="E21" s="3" t="str">
        <f>VLOOKUP($A21,Incurred!$A$25:$W$371,E$3,FALSE)</f>
        <v/>
      </c>
      <c r="F21" s="3">
        <f t="shared" si="12"/>
        <v>741643.58052061254</v>
      </c>
      <c r="G21" s="1">
        <f t="shared" si="8"/>
        <v>2018</v>
      </c>
      <c r="H21" s="3"/>
      <c r="I21" s="33"/>
      <c r="J21" s="28">
        <f t="shared" si="9"/>
        <v>0</v>
      </c>
      <c r="K21" s="28">
        <f t="shared" si="9"/>
        <v>0</v>
      </c>
      <c r="L21" s="28">
        <f t="shared" si="9"/>
        <v>9.5604049437070203E-3</v>
      </c>
      <c r="M21" s="28">
        <f t="shared" si="9"/>
        <v>0</v>
      </c>
      <c r="N21" s="28">
        <f t="shared" si="9"/>
        <v>0</v>
      </c>
      <c r="O21" s="28">
        <f t="shared" si="9"/>
        <v>0</v>
      </c>
      <c r="P21" s="28">
        <f t="shared" si="9"/>
        <v>0</v>
      </c>
      <c r="Q21" s="28">
        <f t="shared" si="9"/>
        <v>0</v>
      </c>
      <c r="R21" s="28">
        <f t="shared" si="9"/>
        <v>0</v>
      </c>
      <c r="S21" s="28">
        <f t="shared" si="9"/>
        <v>0.56218143898982686</v>
      </c>
      <c r="T21" s="28">
        <f t="shared" si="10"/>
        <v>0</v>
      </c>
      <c r="U21" s="28">
        <f t="shared" si="10"/>
        <v>0.26308070577347437</v>
      </c>
      <c r="V21" s="28">
        <f t="shared" si="10"/>
        <v>0</v>
      </c>
      <c r="W21" s="28">
        <f t="shared" si="10"/>
        <v>0</v>
      </c>
      <c r="X21" s="28">
        <f t="shared" si="10"/>
        <v>0.13730816501851864</v>
      </c>
      <c r="Y21" s="28">
        <f t="shared" si="10"/>
        <v>2.7869285274473111E-2</v>
      </c>
      <c r="Z21" s="28">
        <f t="shared" si="10"/>
        <v>0</v>
      </c>
      <c r="AA21" s="28">
        <f t="shared" si="10"/>
        <v>0</v>
      </c>
      <c r="AB21" s="28">
        <f t="shared" si="10"/>
        <v>0</v>
      </c>
      <c r="AC21" s="28">
        <f t="shared" si="10"/>
        <v>0</v>
      </c>
      <c r="AD21" s="28">
        <f t="shared" si="13"/>
        <v>1</v>
      </c>
      <c r="AE21" s="62">
        <f t="shared" ref="AE21:AE26" si="14">IF(ISNA(VLOOKUP($A21,CWIPF16,3,FALSE)),0,VLOOKUP($A21,CWIPF16,3,FALSE))</f>
        <v>181070.22</v>
      </c>
      <c r="AF21" s="62">
        <f t="shared" si="11"/>
        <v>673227.09</v>
      </c>
    </row>
    <row r="22" spans="1:33" s="1" customFormat="1" ht="12.75" customHeight="1" x14ac:dyDescent="0.15">
      <c r="A22" s="12" t="s">
        <v>46</v>
      </c>
      <c r="B22" s="13" t="s">
        <v>47</v>
      </c>
      <c r="C22" s="3">
        <f>IF(VLOOKUP($A22,Incurred!$A$25:$W$371,C$3,FALSE)="",0,VLOOKUP($A22,Incurred!$A$25:$W$371,C$3,FALSE))+AE22-AF22</f>
        <v>49626.89</v>
      </c>
      <c r="D22" s="3">
        <f>IF(VLOOKUP($A22,Incurred!$A$25:$W$371,D$3,FALSE)="",0,VLOOKUP($A22,Incurred!$A$25:$W$371,D$3,FALSE))+AF22</f>
        <v>0</v>
      </c>
      <c r="E22" s="3" t="str">
        <f>VLOOKUP($A22,Incurred!$A$25:$W$371,E$3,FALSE)</f>
        <v/>
      </c>
      <c r="F22" s="3">
        <f t="shared" si="12"/>
        <v>49626.89</v>
      </c>
      <c r="G22" s="1">
        <f t="shared" si="8"/>
        <v>2017</v>
      </c>
      <c r="H22" s="3"/>
      <c r="I22" s="33"/>
      <c r="J22" s="28">
        <f t="shared" si="9"/>
        <v>0</v>
      </c>
      <c r="K22" s="28">
        <f t="shared" si="9"/>
        <v>5.99936848752763E-3</v>
      </c>
      <c r="L22" s="28">
        <f t="shared" si="9"/>
        <v>6.880161138447323E-2</v>
      </c>
      <c r="M22" s="28">
        <f t="shared" si="9"/>
        <v>0</v>
      </c>
      <c r="N22" s="28">
        <f t="shared" si="9"/>
        <v>0</v>
      </c>
      <c r="O22" s="28">
        <f t="shared" si="9"/>
        <v>0</v>
      </c>
      <c r="P22" s="28">
        <f t="shared" si="9"/>
        <v>0</v>
      </c>
      <c r="Q22" s="28">
        <f t="shared" si="9"/>
        <v>0</v>
      </c>
      <c r="R22" s="28">
        <f t="shared" si="9"/>
        <v>0</v>
      </c>
      <c r="S22" s="28">
        <f t="shared" si="9"/>
        <v>0.2140962288791419</v>
      </c>
      <c r="T22" s="28">
        <f t="shared" si="10"/>
        <v>0</v>
      </c>
      <c r="U22" s="28">
        <f t="shared" si="10"/>
        <v>0.34840063522013975</v>
      </c>
      <c r="V22" s="28">
        <f t="shared" si="10"/>
        <v>0</v>
      </c>
      <c r="W22" s="28">
        <f t="shared" si="10"/>
        <v>0</v>
      </c>
      <c r="X22" s="28">
        <f t="shared" si="10"/>
        <v>0.14400318053377922</v>
      </c>
      <c r="Y22" s="28">
        <f t="shared" si="10"/>
        <v>0.21869897549493836</v>
      </c>
      <c r="Z22" s="28">
        <f t="shared" si="10"/>
        <v>0</v>
      </c>
      <c r="AA22" s="28">
        <f t="shared" si="10"/>
        <v>0</v>
      </c>
      <c r="AB22" s="28">
        <f t="shared" si="10"/>
        <v>0</v>
      </c>
      <c r="AC22" s="28">
        <f t="shared" si="10"/>
        <v>0</v>
      </c>
      <c r="AD22" s="28">
        <f t="shared" si="13"/>
        <v>1.0000000000000002</v>
      </c>
      <c r="AE22" s="62">
        <f t="shared" si="14"/>
        <v>0</v>
      </c>
      <c r="AF22" s="62">
        <f t="shared" si="11"/>
        <v>0</v>
      </c>
    </row>
    <row r="23" spans="1:33" s="1" customFormat="1" ht="12.75" customHeight="1" x14ac:dyDescent="0.15">
      <c r="A23" s="12" t="s">
        <v>50</v>
      </c>
      <c r="B23" s="13" t="s">
        <v>51</v>
      </c>
      <c r="C23" s="3">
        <f>IF(VLOOKUP($A23,Incurred!$A$25:$W$371,C$3,FALSE)="",0,VLOOKUP($A23,Incurred!$A$25:$W$371,C$3,FALSE))+AE23-AF23</f>
        <v>279428.7</v>
      </c>
      <c r="D23" s="3">
        <f>IF(VLOOKUP($A23,Incurred!$A$25:$W$371,D$3,FALSE)="",0,VLOOKUP($A23,Incurred!$A$25:$W$371,D$3,FALSE))+AF23</f>
        <v>0</v>
      </c>
      <c r="E23" s="3" t="str">
        <f>VLOOKUP($A23,Incurred!$A$25:$W$371,E$3,FALSE)</f>
        <v/>
      </c>
      <c r="F23" s="3">
        <f t="shared" si="12"/>
        <v>279428.7</v>
      </c>
      <c r="G23" s="1">
        <f t="shared" si="8"/>
        <v>2017</v>
      </c>
      <c r="H23" s="3"/>
      <c r="I23" s="33"/>
      <c r="J23" s="28">
        <f t="shared" si="9"/>
        <v>0</v>
      </c>
      <c r="K23" s="28">
        <f t="shared" si="9"/>
        <v>0</v>
      </c>
      <c r="L23" s="28">
        <f t="shared" si="9"/>
        <v>2.999971012283276E-2</v>
      </c>
      <c r="M23" s="28">
        <f t="shared" si="9"/>
        <v>0</v>
      </c>
      <c r="N23" s="28">
        <f t="shared" si="9"/>
        <v>0</v>
      </c>
      <c r="O23" s="28">
        <f t="shared" si="9"/>
        <v>0</v>
      </c>
      <c r="P23" s="28">
        <f t="shared" si="9"/>
        <v>0</v>
      </c>
      <c r="Q23" s="28">
        <f t="shared" si="9"/>
        <v>0</v>
      </c>
      <c r="R23" s="28">
        <f t="shared" si="9"/>
        <v>0</v>
      </c>
      <c r="S23" s="28">
        <f t="shared" si="9"/>
        <v>0.57600067566431057</v>
      </c>
      <c r="T23" s="28">
        <f t="shared" si="10"/>
        <v>0</v>
      </c>
      <c r="U23" s="28">
        <f t="shared" si="10"/>
        <v>0.12189986211151535</v>
      </c>
      <c r="V23" s="28">
        <f t="shared" si="10"/>
        <v>2.7999987116570338E-3</v>
      </c>
      <c r="W23" s="28">
        <f t="shared" si="10"/>
        <v>0</v>
      </c>
      <c r="X23" s="28">
        <f t="shared" si="10"/>
        <v>0.26929975338968404</v>
      </c>
      <c r="Y23" s="28">
        <f t="shared" si="10"/>
        <v>0</v>
      </c>
      <c r="Z23" s="28">
        <f t="shared" si="10"/>
        <v>0</v>
      </c>
      <c r="AA23" s="28">
        <f t="shared" si="10"/>
        <v>0</v>
      </c>
      <c r="AB23" s="28">
        <f t="shared" si="10"/>
        <v>0</v>
      </c>
      <c r="AC23" s="28">
        <f t="shared" si="10"/>
        <v>0</v>
      </c>
      <c r="AD23" s="28">
        <f t="shared" si="13"/>
        <v>0.99999999999999978</v>
      </c>
      <c r="AE23" s="62">
        <f t="shared" si="14"/>
        <v>0</v>
      </c>
      <c r="AF23" s="62">
        <f t="shared" si="11"/>
        <v>0</v>
      </c>
    </row>
    <row r="24" spans="1:33" s="1" customFormat="1" ht="12.75" customHeight="1" x14ac:dyDescent="0.15">
      <c r="A24" s="12" t="s">
        <v>52</v>
      </c>
      <c r="B24" s="13" t="s">
        <v>53</v>
      </c>
      <c r="C24" s="3">
        <f>IF(VLOOKUP($A24,Incurred!$A$25:$W$371,C$3,FALSE)="",0,VLOOKUP($A24,Incurred!$A$25:$W$371,C$3,FALSE))+AE24-AF24</f>
        <v>373136.07</v>
      </c>
      <c r="D24" s="3">
        <f>IF(VLOOKUP($A24,Incurred!$A$25:$W$371,D$3,FALSE)="",0,VLOOKUP($A24,Incurred!$A$25:$W$371,D$3,FALSE))+AF24</f>
        <v>15412.661517590419</v>
      </c>
      <c r="E24" s="3" t="str">
        <f>VLOOKUP($A24,Incurred!$A$25:$W$371,E$3,FALSE)</f>
        <v/>
      </c>
      <c r="F24" s="3">
        <f t="shared" si="12"/>
        <v>388548.73151759041</v>
      </c>
      <c r="G24" s="1">
        <f t="shared" si="8"/>
        <v>2017</v>
      </c>
      <c r="H24" s="3"/>
      <c r="I24" s="33"/>
      <c r="J24" s="28">
        <f t="shared" si="9"/>
        <v>0</v>
      </c>
      <c r="K24" s="28">
        <f t="shared" si="9"/>
        <v>0</v>
      </c>
      <c r="L24" s="28">
        <f t="shared" si="9"/>
        <v>0</v>
      </c>
      <c r="M24" s="28">
        <f t="shared" si="9"/>
        <v>0</v>
      </c>
      <c r="N24" s="28">
        <f t="shared" si="9"/>
        <v>0</v>
      </c>
      <c r="O24" s="28">
        <f t="shared" si="9"/>
        <v>0</v>
      </c>
      <c r="P24" s="28">
        <f t="shared" si="9"/>
        <v>0</v>
      </c>
      <c r="Q24" s="28">
        <f t="shared" si="9"/>
        <v>0</v>
      </c>
      <c r="R24" s="28">
        <f t="shared" si="9"/>
        <v>0</v>
      </c>
      <c r="S24" s="28">
        <f t="shared" si="9"/>
        <v>0.61189994309582563</v>
      </c>
      <c r="T24" s="28">
        <f t="shared" si="10"/>
        <v>0</v>
      </c>
      <c r="U24" s="28">
        <f t="shared" si="10"/>
        <v>0.13740006427146001</v>
      </c>
      <c r="V24" s="28">
        <f t="shared" si="10"/>
        <v>0</v>
      </c>
      <c r="W24" s="28">
        <f t="shared" si="10"/>
        <v>0</v>
      </c>
      <c r="X24" s="28">
        <f t="shared" si="10"/>
        <v>0.25069999263271442</v>
      </c>
      <c r="Y24" s="28">
        <f t="shared" si="10"/>
        <v>0</v>
      </c>
      <c r="Z24" s="28">
        <f t="shared" si="10"/>
        <v>0</v>
      </c>
      <c r="AA24" s="28">
        <f t="shared" si="10"/>
        <v>0</v>
      </c>
      <c r="AB24" s="28">
        <f t="shared" si="10"/>
        <v>0</v>
      </c>
      <c r="AC24" s="28">
        <f t="shared" si="10"/>
        <v>0</v>
      </c>
      <c r="AD24" s="28">
        <f t="shared" si="13"/>
        <v>1</v>
      </c>
      <c r="AE24" s="62">
        <f t="shared" si="14"/>
        <v>0</v>
      </c>
      <c r="AF24" s="62">
        <f t="shared" si="11"/>
        <v>0.5</v>
      </c>
    </row>
    <row r="25" spans="1:33" s="1" customFormat="1" ht="12.75" customHeight="1" x14ac:dyDescent="0.15">
      <c r="A25" s="12" t="s">
        <v>57</v>
      </c>
      <c r="B25" s="13" t="s">
        <v>58</v>
      </c>
      <c r="C25" s="3">
        <f>IF(VLOOKUP($A25,Incurred!$A$25:$W$371,C$3,FALSE)="",0,VLOOKUP($A25,Incurred!$A$25:$W$371,C$3,FALSE))+AE25-AF25</f>
        <v>27967.15</v>
      </c>
      <c r="D25" s="3">
        <f>IF(VLOOKUP($A25,Incurred!$A$25:$W$371,D$3,FALSE)="",0,VLOOKUP($A25,Incurred!$A$25:$W$371,D$3,FALSE))+AF25</f>
        <v>0</v>
      </c>
      <c r="E25" s="3" t="str">
        <f>VLOOKUP($A25,Incurred!$A$25:$W$371,E$3,FALSE)</f>
        <v/>
      </c>
      <c r="F25" s="3">
        <f t="shared" si="12"/>
        <v>27967.15</v>
      </c>
      <c r="G25" s="1">
        <f t="shared" si="8"/>
        <v>2017</v>
      </c>
      <c r="H25" s="3"/>
      <c r="I25" s="33"/>
      <c r="J25" s="28">
        <f t="shared" si="9"/>
        <v>0</v>
      </c>
      <c r="K25" s="28">
        <f t="shared" si="9"/>
        <v>0</v>
      </c>
      <c r="L25" s="28">
        <f t="shared" si="9"/>
        <v>4.5019449406495209E-2</v>
      </c>
      <c r="M25" s="28">
        <f t="shared" si="9"/>
        <v>0</v>
      </c>
      <c r="N25" s="28">
        <f t="shared" si="9"/>
        <v>0</v>
      </c>
      <c r="O25" s="28">
        <f t="shared" si="9"/>
        <v>0</v>
      </c>
      <c r="P25" s="28">
        <f t="shared" si="9"/>
        <v>0</v>
      </c>
      <c r="Q25" s="28">
        <f t="shared" si="9"/>
        <v>0</v>
      </c>
      <c r="R25" s="28">
        <f t="shared" si="9"/>
        <v>0</v>
      </c>
      <c r="S25" s="28">
        <f t="shared" si="9"/>
        <v>0.46141719957434996</v>
      </c>
      <c r="T25" s="28">
        <f t="shared" si="10"/>
        <v>0</v>
      </c>
      <c r="U25" s="28">
        <f t="shared" si="10"/>
        <v>0.22842542937902044</v>
      </c>
      <c r="V25" s="28">
        <f t="shared" si="10"/>
        <v>0</v>
      </c>
      <c r="W25" s="28">
        <f t="shared" si="10"/>
        <v>0</v>
      </c>
      <c r="X25" s="28">
        <f t="shared" si="10"/>
        <v>0.26513792164013439</v>
      </c>
      <c r="Y25" s="28">
        <f t="shared" si="10"/>
        <v>0</v>
      </c>
      <c r="Z25" s="28">
        <f t="shared" si="10"/>
        <v>0</v>
      </c>
      <c r="AA25" s="28">
        <f t="shared" si="10"/>
        <v>0</v>
      </c>
      <c r="AB25" s="28">
        <f t="shared" si="10"/>
        <v>0</v>
      </c>
      <c r="AC25" s="28">
        <f t="shared" si="10"/>
        <v>0</v>
      </c>
      <c r="AD25" s="28">
        <f t="shared" si="13"/>
        <v>1</v>
      </c>
      <c r="AE25" s="62">
        <f t="shared" si="14"/>
        <v>0</v>
      </c>
      <c r="AF25" s="62">
        <f t="shared" si="11"/>
        <v>0</v>
      </c>
    </row>
    <row r="26" spans="1:33" s="1" customFormat="1" ht="12.75" customHeight="1" x14ac:dyDescent="0.15">
      <c r="A26" s="12" t="s">
        <v>3054</v>
      </c>
      <c r="B26" s="13" t="s">
        <v>3055</v>
      </c>
      <c r="C26" s="3">
        <f>IF(VLOOKUP($A26,Incurred!$A$25:$W$371,C$3,FALSE)="",0,VLOOKUP($A26,Incurred!$A$25:$W$371,C$3,FALSE))+AE26-AF26</f>
        <v>266994.53000000003</v>
      </c>
      <c r="D26" s="3">
        <f>IF(VLOOKUP($A26,Incurred!$A$25:$W$371,D$3,FALSE)="",0,VLOOKUP($A26,Incurred!$A$25:$W$371,D$3,FALSE))+AF26</f>
        <v>361488.9836642255</v>
      </c>
      <c r="E26" s="3" t="str">
        <f>VLOOKUP($A26,Incurred!$A$25:$W$371,E$3,FALSE)</f>
        <v/>
      </c>
      <c r="F26" s="3">
        <f t="shared" si="12"/>
        <v>628483.51366422558</v>
      </c>
      <c r="G26" s="1">
        <f t="shared" si="8"/>
        <v>2017</v>
      </c>
      <c r="H26" s="3"/>
      <c r="I26" s="33"/>
      <c r="J26" s="28">
        <f t="shared" si="9"/>
        <v>0</v>
      </c>
      <c r="K26" s="28">
        <f t="shared" si="9"/>
        <v>0</v>
      </c>
      <c r="L26" s="28">
        <f t="shared" si="9"/>
        <v>0</v>
      </c>
      <c r="M26" s="28">
        <f t="shared" si="9"/>
        <v>1</v>
      </c>
      <c r="N26" s="28">
        <f t="shared" si="9"/>
        <v>0</v>
      </c>
      <c r="O26" s="28">
        <f t="shared" si="9"/>
        <v>0</v>
      </c>
      <c r="P26" s="28">
        <f t="shared" si="9"/>
        <v>0</v>
      </c>
      <c r="Q26" s="28">
        <f t="shared" si="9"/>
        <v>0</v>
      </c>
      <c r="R26" s="28">
        <f t="shared" si="9"/>
        <v>0</v>
      </c>
      <c r="S26" s="28">
        <f t="shared" si="9"/>
        <v>0</v>
      </c>
      <c r="T26" s="28">
        <f t="shared" si="10"/>
        <v>0</v>
      </c>
      <c r="U26" s="28">
        <f t="shared" si="10"/>
        <v>0</v>
      </c>
      <c r="V26" s="28">
        <f t="shared" si="10"/>
        <v>0</v>
      </c>
      <c r="W26" s="28">
        <f t="shared" si="10"/>
        <v>0</v>
      </c>
      <c r="X26" s="28">
        <f t="shared" si="10"/>
        <v>0</v>
      </c>
      <c r="Y26" s="28">
        <f t="shared" si="10"/>
        <v>0</v>
      </c>
      <c r="Z26" s="28">
        <f t="shared" si="10"/>
        <v>0</v>
      </c>
      <c r="AA26" s="28">
        <f t="shared" si="10"/>
        <v>0</v>
      </c>
      <c r="AB26" s="28">
        <f t="shared" si="10"/>
        <v>0</v>
      </c>
      <c r="AC26" s="28">
        <f t="shared" si="10"/>
        <v>0</v>
      </c>
      <c r="AD26" s="28">
        <f t="shared" si="13"/>
        <v>1</v>
      </c>
      <c r="AE26" s="62">
        <f t="shared" si="14"/>
        <v>0</v>
      </c>
      <c r="AF26" s="62">
        <f t="shared" si="11"/>
        <v>113.12</v>
      </c>
    </row>
    <row r="27" spans="1:33" s="1" customFormat="1" ht="12.75" customHeight="1" x14ac:dyDescent="0.15">
      <c r="A27" s="12" t="s">
        <v>61</v>
      </c>
      <c r="B27" s="13" t="s">
        <v>62</v>
      </c>
      <c r="C27" s="3">
        <f>IF(VLOOKUP($A27,Incurred!$A$25:$W$371,C$3,FALSE)="",0,VLOOKUP($A27,Incurred!$A$25:$W$371,C$3,FALSE))+AE27-AF27</f>
        <v>21554097.391160093</v>
      </c>
      <c r="D27" s="3">
        <f>IF(VLOOKUP($A27,Incurred!$A$25:$W$371,D$3,FALSE)="",0,VLOOKUP($A27,Incurred!$A$25:$W$371,D$3,FALSE))+AF27</f>
        <v>435009.70831605524</v>
      </c>
      <c r="E27" s="3" t="str">
        <f>VLOOKUP($A27,Incurred!$A$25:$W$371,E$3,FALSE)</f>
        <v/>
      </c>
      <c r="F27" s="3">
        <f t="shared" si="12"/>
        <v>21989107.099476147</v>
      </c>
      <c r="G27" s="1">
        <f t="shared" si="8"/>
        <v>2017</v>
      </c>
      <c r="H27" s="3"/>
      <c r="I27" s="33"/>
      <c r="J27" s="28">
        <f t="shared" si="9"/>
        <v>0</v>
      </c>
      <c r="K27" s="28">
        <f t="shared" si="9"/>
        <v>0</v>
      </c>
      <c r="L27" s="28">
        <f t="shared" si="9"/>
        <v>6.6479641226698688E-4</v>
      </c>
      <c r="M27" s="28">
        <f t="shared" si="9"/>
        <v>0</v>
      </c>
      <c r="N27" s="28">
        <f t="shared" si="9"/>
        <v>0</v>
      </c>
      <c r="O27" s="28">
        <f t="shared" si="9"/>
        <v>0</v>
      </c>
      <c r="P27" s="28">
        <f t="shared" si="9"/>
        <v>0</v>
      </c>
      <c r="Q27" s="28">
        <f t="shared" si="9"/>
        <v>5.6982538211709302E-3</v>
      </c>
      <c r="R27" s="28">
        <f t="shared" si="9"/>
        <v>0</v>
      </c>
      <c r="S27" s="28">
        <f t="shared" si="9"/>
        <v>0.55173739786255382</v>
      </c>
      <c r="T27" s="28">
        <f t="shared" si="10"/>
        <v>0</v>
      </c>
      <c r="U27" s="28">
        <f t="shared" si="10"/>
        <v>8.8512869851203838E-2</v>
      </c>
      <c r="V27" s="28">
        <f t="shared" si="10"/>
        <v>0</v>
      </c>
      <c r="W27" s="28">
        <f t="shared" si="10"/>
        <v>0</v>
      </c>
      <c r="X27" s="28">
        <f t="shared" si="10"/>
        <v>0.3533866820528046</v>
      </c>
      <c r="Y27" s="28">
        <f t="shared" si="10"/>
        <v>0</v>
      </c>
      <c r="Z27" s="28">
        <f t="shared" si="10"/>
        <v>0</v>
      </c>
      <c r="AA27" s="28">
        <f t="shared" si="10"/>
        <v>0</v>
      </c>
      <c r="AB27" s="28">
        <f t="shared" si="10"/>
        <v>0</v>
      </c>
      <c r="AC27" s="28">
        <f t="shared" si="10"/>
        <v>0</v>
      </c>
      <c r="AD27" s="28">
        <f t="shared" si="13"/>
        <v>1.0000000000000002</v>
      </c>
      <c r="AE27" s="62">
        <f>VLOOKUP(A27,Incurred!$A$25:$BP$391,68,FALSE)</f>
        <v>12863840.331160093</v>
      </c>
      <c r="AF27" s="62">
        <f t="shared" si="11"/>
        <v>0</v>
      </c>
      <c r="AG27" s="1" t="s">
        <v>3129</v>
      </c>
    </row>
    <row r="28" spans="1:33" s="1" customFormat="1" ht="12.75" customHeight="1" x14ac:dyDescent="0.15">
      <c r="A28" s="12" t="s">
        <v>67</v>
      </c>
      <c r="B28" s="13" t="s">
        <v>68</v>
      </c>
      <c r="C28" s="3">
        <f>IF(VLOOKUP($A28,Incurred!$A$25:$W$371,C$3,FALSE)="",0,VLOOKUP($A28,Incurred!$A$25:$W$371,C$3,FALSE))+AE28-AF28</f>
        <v>989557.03</v>
      </c>
      <c r="D28" s="3">
        <f>IF(VLOOKUP($A28,Incurred!$A$25:$W$371,D$3,FALSE)="",0,VLOOKUP($A28,Incurred!$A$25:$W$371,D$3,FALSE))+AF28</f>
        <v>32941.692451655879</v>
      </c>
      <c r="E28" s="3" t="str">
        <f>VLOOKUP($A28,Incurred!$A$25:$W$371,E$3,FALSE)</f>
        <v/>
      </c>
      <c r="F28" s="3">
        <f t="shared" si="12"/>
        <v>1022498.7224516559</v>
      </c>
      <c r="G28" s="1">
        <f t="shared" si="8"/>
        <v>2017</v>
      </c>
      <c r="H28" s="3"/>
      <c r="I28" s="33"/>
      <c r="J28" s="28">
        <f t="shared" si="9"/>
        <v>0</v>
      </c>
      <c r="K28" s="28">
        <f t="shared" si="9"/>
        <v>1.7017376710523916E-3</v>
      </c>
      <c r="L28" s="28">
        <f t="shared" si="9"/>
        <v>7.2796248786436257E-2</v>
      </c>
      <c r="M28" s="28">
        <f t="shared" si="9"/>
        <v>0</v>
      </c>
      <c r="N28" s="28">
        <f t="shared" si="9"/>
        <v>0</v>
      </c>
      <c r="O28" s="28">
        <f t="shared" si="9"/>
        <v>0</v>
      </c>
      <c r="P28" s="28">
        <f t="shared" si="9"/>
        <v>0</v>
      </c>
      <c r="Q28" s="28">
        <f t="shared" si="9"/>
        <v>0</v>
      </c>
      <c r="R28" s="28">
        <f t="shared" si="9"/>
        <v>0</v>
      </c>
      <c r="S28" s="28">
        <f t="shared" si="9"/>
        <v>0.40929924573090215</v>
      </c>
      <c r="T28" s="28">
        <f t="shared" si="10"/>
        <v>0</v>
      </c>
      <c r="U28" s="28">
        <f t="shared" si="10"/>
        <v>0.15460765779756919</v>
      </c>
      <c r="V28" s="28">
        <f t="shared" si="10"/>
        <v>0</v>
      </c>
      <c r="W28" s="28">
        <f t="shared" si="10"/>
        <v>0</v>
      </c>
      <c r="X28" s="28">
        <f t="shared" si="10"/>
        <v>0.11708801793106921</v>
      </c>
      <c r="Y28" s="28">
        <f t="shared" si="10"/>
        <v>0.24450709208297083</v>
      </c>
      <c r="Z28" s="28">
        <f t="shared" si="10"/>
        <v>0</v>
      </c>
      <c r="AA28" s="28">
        <f t="shared" si="10"/>
        <v>0</v>
      </c>
      <c r="AB28" s="28">
        <f t="shared" si="10"/>
        <v>0</v>
      </c>
      <c r="AC28" s="28">
        <f t="shared" si="10"/>
        <v>0</v>
      </c>
      <c r="AD28" s="28">
        <f t="shared" si="13"/>
        <v>1</v>
      </c>
      <c r="AE28" s="62">
        <f>IF(ISNA(VLOOKUP($A28,CWIPF16,3,FALSE)),0,VLOOKUP($A28,CWIPF16,3,FALSE))</f>
        <v>0</v>
      </c>
      <c r="AF28" s="62">
        <f t="shared" si="11"/>
        <v>274.64</v>
      </c>
    </row>
    <row r="29" spans="1:33" s="1" customFormat="1" ht="12.75" customHeight="1" x14ac:dyDescent="0.15">
      <c r="A29" s="12" t="s">
        <v>87</v>
      </c>
      <c r="B29" s="13" t="s">
        <v>88</v>
      </c>
      <c r="C29" s="3">
        <f>IF(VLOOKUP($A29,Incurred!$A$25:$W$371,C$3,FALSE)="",0,VLOOKUP($A29,Incurred!$A$25:$W$371,C$3,FALSE))+AE29-AF29</f>
        <v>193768.15</v>
      </c>
      <c r="D29" s="3">
        <f>IF(VLOOKUP($A29,Incurred!$A$25:$W$371,D$3,FALSE)="",0,VLOOKUP($A29,Incurred!$A$25:$W$371,D$3,FALSE))+AF29</f>
        <v>0</v>
      </c>
      <c r="E29" s="3" t="str">
        <f>VLOOKUP($A29,Incurred!$A$25:$W$371,E$3,FALSE)</f>
        <v/>
      </c>
      <c r="F29" s="3">
        <f t="shared" si="12"/>
        <v>193768.15</v>
      </c>
      <c r="G29" s="1">
        <f t="shared" si="8"/>
        <v>2017</v>
      </c>
      <c r="H29" s="3"/>
      <c r="I29" s="33"/>
      <c r="J29" s="28">
        <f t="shared" ref="J29:S38" si="15">VLOOKUP(MID($A29,4,5),ProjectSplits,J$2,FALSE)</f>
        <v>0</v>
      </c>
      <c r="K29" s="28">
        <f t="shared" si="15"/>
        <v>1.2122431221694171E-2</v>
      </c>
      <c r="L29" s="28">
        <f t="shared" si="15"/>
        <v>7.4994971210511546E-2</v>
      </c>
      <c r="M29" s="28">
        <f t="shared" si="15"/>
        <v>0</v>
      </c>
      <c r="N29" s="28">
        <f t="shared" si="15"/>
        <v>0</v>
      </c>
      <c r="O29" s="28">
        <f t="shared" si="15"/>
        <v>0</v>
      </c>
      <c r="P29" s="28">
        <f t="shared" si="15"/>
        <v>0</v>
      </c>
      <c r="Q29" s="28">
        <f t="shared" si="15"/>
        <v>0</v>
      </c>
      <c r="R29" s="28">
        <f t="shared" si="15"/>
        <v>0</v>
      </c>
      <c r="S29" s="28">
        <f t="shared" si="15"/>
        <v>0.27203656908146467</v>
      </c>
      <c r="T29" s="28">
        <f t="shared" ref="T29:AC38" si="16">VLOOKUP(MID($A29,4,5),ProjectSplits,T$2,FALSE)</f>
        <v>0</v>
      </c>
      <c r="U29" s="28">
        <f t="shared" si="16"/>
        <v>8.95830733225607E-2</v>
      </c>
      <c r="V29" s="28">
        <f t="shared" si="16"/>
        <v>0</v>
      </c>
      <c r="W29" s="28">
        <f t="shared" si="16"/>
        <v>0</v>
      </c>
      <c r="X29" s="28">
        <f t="shared" si="16"/>
        <v>0.1773164428214706</v>
      </c>
      <c r="Y29" s="28">
        <f t="shared" si="16"/>
        <v>0.37394651234229831</v>
      </c>
      <c r="Z29" s="28">
        <f t="shared" si="16"/>
        <v>0</v>
      </c>
      <c r="AA29" s="28">
        <f t="shared" si="16"/>
        <v>0</v>
      </c>
      <c r="AB29" s="28">
        <f t="shared" si="16"/>
        <v>0</v>
      </c>
      <c r="AC29" s="28">
        <f t="shared" si="16"/>
        <v>0</v>
      </c>
      <c r="AD29" s="28">
        <f t="shared" si="13"/>
        <v>1</v>
      </c>
      <c r="AE29" s="62">
        <f>IF(ISNA(VLOOKUP($A29,CWIPF16,3,FALSE)),0,VLOOKUP($A29,CWIPF16,3,FALSE))</f>
        <v>0</v>
      </c>
      <c r="AF29" s="62">
        <f t="shared" si="11"/>
        <v>0</v>
      </c>
    </row>
    <row r="30" spans="1:33" s="1" customFormat="1" ht="12.75" customHeight="1" x14ac:dyDescent="0.15">
      <c r="A30" s="12" t="s">
        <v>89</v>
      </c>
      <c r="B30" s="13" t="s">
        <v>90</v>
      </c>
      <c r="C30" s="3">
        <f>IF(VLOOKUP($A30,Incurred!$A$25:$W$371,C$3,FALSE)="",0,VLOOKUP($A30,Incurred!$A$25:$W$371,C$3,FALSE))+AE30-AF30</f>
        <v>857760.69</v>
      </c>
      <c r="D30" s="3">
        <f>IF(VLOOKUP($A30,Incurred!$A$25:$W$371,D$3,FALSE)="",0,VLOOKUP($A30,Incurred!$A$25:$W$371,D$3,FALSE))+AF30</f>
        <v>0</v>
      </c>
      <c r="E30" s="3" t="str">
        <f>VLOOKUP($A30,Incurred!$A$25:$W$371,E$3,FALSE)</f>
        <v/>
      </c>
      <c r="F30" s="3">
        <f t="shared" si="12"/>
        <v>857760.69</v>
      </c>
      <c r="G30" s="1">
        <f t="shared" si="8"/>
        <v>2017</v>
      </c>
      <c r="H30" s="3"/>
      <c r="I30" s="33"/>
      <c r="J30" s="28">
        <f t="shared" si="15"/>
        <v>0</v>
      </c>
      <c r="K30" s="28">
        <f t="shared" si="15"/>
        <v>0</v>
      </c>
      <c r="L30" s="28">
        <f t="shared" si="15"/>
        <v>0.98529252208264806</v>
      </c>
      <c r="M30" s="28">
        <f t="shared" si="15"/>
        <v>0</v>
      </c>
      <c r="N30" s="28">
        <f t="shared" si="15"/>
        <v>0</v>
      </c>
      <c r="O30" s="28">
        <f t="shared" si="15"/>
        <v>0</v>
      </c>
      <c r="P30" s="28">
        <f t="shared" si="15"/>
        <v>0</v>
      </c>
      <c r="Q30" s="28">
        <f t="shared" si="15"/>
        <v>0</v>
      </c>
      <c r="R30" s="28">
        <f t="shared" si="15"/>
        <v>0</v>
      </c>
      <c r="S30" s="28">
        <f t="shared" si="15"/>
        <v>0</v>
      </c>
      <c r="T30" s="28">
        <f t="shared" si="16"/>
        <v>0</v>
      </c>
      <c r="U30" s="28">
        <f t="shared" si="16"/>
        <v>1.470747791735184E-2</v>
      </c>
      <c r="V30" s="28">
        <f t="shared" si="16"/>
        <v>0</v>
      </c>
      <c r="W30" s="28">
        <f t="shared" si="16"/>
        <v>0</v>
      </c>
      <c r="X30" s="28">
        <f t="shared" si="16"/>
        <v>0</v>
      </c>
      <c r="Y30" s="28">
        <f t="shared" si="16"/>
        <v>0</v>
      </c>
      <c r="Z30" s="28">
        <f t="shared" si="16"/>
        <v>0</v>
      </c>
      <c r="AA30" s="28">
        <f t="shared" si="16"/>
        <v>0</v>
      </c>
      <c r="AB30" s="28">
        <f t="shared" si="16"/>
        <v>0</v>
      </c>
      <c r="AC30" s="28">
        <f t="shared" si="16"/>
        <v>0</v>
      </c>
      <c r="AD30" s="28">
        <f t="shared" si="13"/>
        <v>0.99999999999999989</v>
      </c>
      <c r="AE30" s="62">
        <f>IF(ISNA(VLOOKUP($A30,CWIPF16,3,FALSE)),0,VLOOKUP($A30,CWIPF16,3,FALSE))</f>
        <v>857760.69</v>
      </c>
      <c r="AF30" s="62">
        <f t="shared" si="11"/>
        <v>0</v>
      </c>
    </row>
    <row r="31" spans="1:33" s="1" customFormat="1" ht="12.75" customHeight="1" x14ac:dyDescent="0.15">
      <c r="A31" s="12" t="s">
        <v>91</v>
      </c>
      <c r="B31" s="13" t="s">
        <v>92</v>
      </c>
      <c r="C31" s="3">
        <f>IF(VLOOKUP($A31,Incurred!$A$25:$W$371,C$3,FALSE)="",0,VLOOKUP($A31,Incurred!$A$25:$W$371,C$3,FALSE))+AE31-AF31</f>
        <v>384962.43</v>
      </c>
      <c r="D31" s="3">
        <f>IF(VLOOKUP($A31,Incurred!$A$25:$W$371,D$3,FALSE)="",0,VLOOKUP($A31,Incurred!$A$25:$W$371,D$3,FALSE))+AF31</f>
        <v>7229.1383989469932</v>
      </c>
      <c r="E31" s="3" t="str">
        <f>VLOOKUP($A31,Incurred!$A$25:$W$371,E$3,FALSE)</f>
        <v/>
      </c>
      <c r="F31" s="3">
        <f t="shared" si="12"/>
        <v>392191.56839894701</v>
      </c>
      <c r="G31" s="1">
        <f t="shared" si="8"/>
        <v>2017</v>
      </c>
      <c r="H31" s="3"/>
      <c r="I31" s="33"/>
      <c r="J31" s="28">
        <f t="shared" si="15"/>
        <v>0</v>
      </c>
      <c r="K31" s="28">
        <f t="shared" si="15"/>
        <v>0</v>
      </c>
      <c r="L31" s="28">
        <f t="shared" si="15"/>
        <v>0</v>
      </c>
      <c r="M31" s="28">
        <f t="shared" si="15"/>
        <v>1</v>
      </c>
      <c r="N31" s="28">
        <f t="shared" si="15"/>
        <v>0</v>
      </c>
      <c r="O31" s="28">
        <f t="shared" si="15"/>
        <v>0</v>
      </c>
      <c r="P31" s="28">
        <f t="shared" si="15"/>
        <v>0</v>
      </c>
      <c r="Q31" s="28">
        <f t="shared" si="15"/>
        <v>0</v>
      </c>
      <c r="R31" s="28">
        <f t="shared" si="15"/>
        <v>0</v>
      </c>
      <c r="S31" s="28">
        <f t="shared" si="15"/>
        <v>0</v>
      </c>
      <c r="T31" s="28">
        <f t="shared" si="16"/>
        <v>0</v>
      </c>
      <c r="U31" s="28">
        <f t="shared" si="16"/>
        <v>0</v>
      </c>
      <c r="V31" s="28">
        <f t="shared" si="16"/>
        <v>0</v>
      </c>
      <c r="W31" s="28">
        <f t="shared" si="16"/>
        <v>0</v>
      </c>
      <c r="X31" s="28">
        <f t="shared" si="16"/>
        <v>0</v>
      </c>
      <c r="Y31" s="28">
        <f t="shared" si="16"/>
        <v>0</v>
      </c>
      <c r="Z31" s="28">
        <f t="shared" si="16"/>
        <v>0</v>
      </c>
      <c r="AA31" s="28">
        <f t="shared" si="16"/>
        <v>0</v>
      </c>
      <c r="AB31" s="28">
        <f t="shared" si="16"/>
        <v>0</v>
      </c>
      <c r="AC31" s="28">
        <f t="shared" si="16"/>
        <v>0</v>
      </c>
      <c r="AD31" s="28">
        <f t="shared" si="13"/>
        <v>1</v>
      </c>
      <c r="AE31" s="62">
        <f>IF(ISNA(VLOOKUP($A31,CWIPF16,3,FALSE)),0,VLOOKUP($A31,CWIPF16,3,FALSE))</f>
        <v>0</v>
      </c>
      <c r="AF31" s="62">
        <f t="shared" si="11"/>
        <v>0</v>
      </c>
    </row>
    <row r="32" spans="1:33" x14ac:dyDescent="0.25">
      <c r="A32" s="12" t="s">
        <v>93</v>
      </c>
      <c r="B32" s="739" t="s">
        <v>94</v>
      </c>
      <c r="C32" s="3">
        <f>IF(VLOOKUP($A32,Incurred!$A$25:$W$371,C$3,FALSE)="",0,VLOOKUP($A32,Incurred!$A$25:$W$371,C$3,FALSE))+AE32-AF32</f>
        <v>3868898.9630392529</v>
      </c>
      <c r="D32" s="3">
        <f>IF(VLOOKUP($A32,Incurred!$A$25:$W$371,D$3,FALSE)="",0,VLOOKUP($A32,Incurred!$A$25:$W$371,D$3,FALSE))+AF32</f>
        <v>358.84371702232363</v>
      </c>
      <c r="E32" s="3"/>
      <c r="F32" s="3">
        <f t="shared" si="12"/>
        <v>3869257.8067562752</v>
      </c>
      <c r="G32" s="1">
        <f t="shared" si="8"/>
        <v>2017</v>
      </c>
      <c r="I32" s="33"/>
      <c r="J32" s="28">
        <f t="shared" si="15"/>
        <v>0</v>
      </c>
      <c r="K32" s="28">
        <f t="shared" si="15"/>
        <v>0</v>
      </c>
      <c r="L32" s="28">
        <f t="shared" si="15"/>
        <v>0</v>
      </c>
      <c r="M32" s="28">
        <f t="shared" si="15"/>
        <v>1</v>
      </c>
      <c r="N32" s="28">
        <f t="shared" si="15"/>
        <v>0</v>
      </c>
      <c r="O32" s="28">
        <f t="shared" si="15"/>
        <v>0</v>
      </c>
      <c r="P32" s="28">
        <f t="shared" si="15"/>
        <v>0</v>
      </c>
      <c r="Q32" s="28">
        <f t="shared" si="15"/>
        <v>0</v>
      </c>
      <c r="R32" s="28">
        <f t="shared" si="15"/>
        <v>0</v>
      </c>
      <c r="S32" s="28">
        <f t="shared" si="15"/>
        <v>0</v>
      </c>
      <c r="T32" s="28">
        <f t="shared" si="16"/>
        <v>0</v>
      </c>
      <c r="U32" s="28">
        <f t="shared" si="16"/>
        <v>0</v>
      </c>
      <c r="V32" s="28">
        <f t="shared" si="16"/>
        <v>0</v>
      </c>
      <c r="W32" s="28">
        <f t="shared" si="16"/>
        <v>0</v>
      </c>
      <c r="X32" s="28">
        <f t="shared" si="16"/>
        <v>0</v>
      </c>
      <c r="Y32" s="28">
        <f t="shared" si="16"/>
        <v>0</v>
      </c>
      <c r="Z32" s="28">
        <f t="shared" si="16"/>
        <v>0</v>
      </c>
      <c r="AA32" s="28">
        <f t="shared" si="16"/>
        <v>0</v>
      </c>
      <c r="AB32" s="28">
        <f t="shared" si="16"/>
        <v>0</v>
      </c>
      <c r="AC32" s="28">
        <f t="shared" si="16"/>
        <v>0</v>
      </c>
      <c r="AD32" s="28">
        <f t="shared" si="13"/>
        <v>1</v>
      </c>
      <c r="AE32" s="62">
        <f>VLOOKUP(A32,Incurred!$A$25:$BP$391,68,FALSE)</f>
        <v>3152225.6630392531</v>
      </c>
      <c r="AF32" s="62">
        <f t="shared" si="11"/>
        <v>0</v>
      </c>
      <c r="AG32" s="1" t="s">
        <v>3129</v>
      </c>
    </row>
    <row r="33" spans="1:33" x14ac:dyDescent="0.25">
      <c r="A33" s="12" t="s">
        <v>110</v>
      </c>
      <c r="B33" s="13" t="s">
        <v>111</v>
      </c>
      <c r="C33" s="3">
        <f>IF(VLOOKUP($A33,Incurred!$A$25:$W$371,C$3,FALSE)="",0,VLOOKUP($A33,Incurred!$A$25:$W$371,C$3,FALSE))+AE33-AF33</f>
        <v>178986.46</v>
      </c>
      <c r="D33" s="3">
        <f>IF(VLOOKUP($A33,Incurred!$A$25:$W$371,D$3,FALSE)="",0,VLOOKUP($A33,Incurred!$A$25:$W$371,D$3,FALSE))+AF33</f>
        <v>8403.8563240015737</v>
      </c>
      <c r="E33" s="3"/>
      <c r="F33" s="3">
        <f t="shared" si="12"/>
        <v>187390.31632400156</v>
      </c>
      <c r="G33" s="1">
        <f t="shared" si="8"/>
        <v>2017</v>
      </c>
      <c r="I33" s="33"/>
      <c r="J33" s="28">
        <f t="shared" si="15"/>
        <v>0</v>
      </c>
      <c r="K33" s="28">
        <f t="shared" si="15"/>
        <v>5.4800011129333456E-2</v>
      </c>
      <c r="L33" s="28">
        <f t="shared" si="15"/>
        <v>9.1599666254084222E-2</v>
      </c>
      <c r="M33" s="28">
        <f t="shared" si="15"/>
        <v>0</v>
      </c>
      <c r="N33" s="28">
        <f t="shared" si="15"/>
        <v>0</v>
      </c>
      <c r="O33" s="28">
        <f t="shared" si="15"/>
        <v>0</v>
      </c>
      <c r="P33" s="28">
        <f t="shared" si="15"/>
        <v>0</v>
      </c>
      <c r="Q33" s="28">
        <f t="shared" si="15"/>
        <v>0</v>
      </c>
      <c r="R33" s="28">
        <f t="shared" si="15"/>
        <v>0</v>
      </c>
      <c r="S33" s="28">
        <f t="shared" si="15"/>
        <v>0.10100026560668332</v>
      </c>
      <c r="T33" s="28">
        <f t="shared" si="16"/>
        <v>0</v>
      </c>
      <c r="U33" s="28">
        <f t="shared" si="16"/>
        <v>0.308800006436241</v>
      </c>
      <c r="V33" s="28">
        <f t="shared" si="16"/>
        <v>0</v>
      </c>
      <c r="W33" s="28">
        <f t="shared" si="16"/>
        <v>0</v>
      </c>
      <c r="X33" s="28">
        <f t="shared" si="16"/>
        <v>0.44380005057365801</v>
      </c>
      <c r="Y33" s="28">
        <f t="shared" si="16"/>
        <v>0</v>
      </c>
      <c r="Z33" s="28">
        <f t="shared" si="16"/>
        <v>0</v>
      </c>
      <c r="AA33" s="28">
        <f t="shared" si="16"/>
        <v>0</v>
      </c>
      <c r="AB33" s="28">
        <f t="shared" si="16"/>
        <v>0</v>
      </c>
      <c r="AC33" s="28">
        <f t="shared" si="16"/>
        <v>0</v>
      </c>
      <c r="AD33" s="28">
        <f t="shared" si="13"/>
        <v>1</v>
      </c>
      <c r="AE33" s="62">
        <f>IF(ISNA(VLOOKUP($A33,CWIPF16,3,FALSE)),0,VLOOKUP($A33,CWIPF16,3,FALSE))</f>
        <v>0</v>
      </c>
      <c r="AF33" s="62">
        <f t="shared" si="11"/>
        <v>83.31</v>
      </c>
      <c r="AG33" s="1"/>
    </row>
    <row r="34" spans="1:33" x14ac:dyDescent="0.25">
      <c r="A34" s="12" t="s">
        <v>128</v>
      </c>
      <c r="B34" s="13" t="s">
        <v>129</v>
      </c>
      <c r="C34" s="3">
        <f>IF(VLOOKUP($A34,Incurred!$A$25:$W$371,C$3,FALSE)="",0,VLOOKUP($A34,Incurred!$A$25:$W$371,C$3,FALSE))+AE34-AF34</f>
        <v>5402797.4578855988</v>
      </c>
      <c r="D34" s="3">
        <f>IF(VLOOKUP($A34,Incurred!$A$25:$W$371,D$3,FALSE)="",0,VLOOKUP($A34,Incurred!$A$25:$W$371,D$3,FALSE))+AF34</f>
        <v>5152.9765172036759</v>
      </c>
      <c r="E34" s="3">
        <f t="shared" ref="E34" si="17">SUM(E19:E33)</f>
        <v>0</v>
      </c>
      <c r="F34" s="3">
        <f t="shared" si="12"/>
        <v>5407950.434402802</v>
      </c>
      <c r="G34" s="1">
        <f t="shared" si="8"/>
        <v>2017</v>
      </c>
      <c r="J34" s="28">
        <f t="shared" si="15"/>
        <v>0</v>
      </c>
      <c r="K34" s="28">
        <f t="shared" si="15"/>
        <v>0</v>
      </c>
      <c r="L34" s="28">
        <f t="shared" si="15"/>
        <v>0</v>
      </c>
      <c r="M34" s="28">
        <f t="shared" si="15"/>
        <v>0</v>
      </c>
      <c r="N34" s="28">
        <f t="shared" si="15"/>
        <v>1</v>
      </c>
      <c r="O34" s="28">
        <f t="shared" si="15"/>
        <v>0</v>
      </c>
      <c r="P34" s="28">
        <f t="shared" si="15"/>
        <v>0</v>
      </c>
      <c r="Q34" s="28">
        <f t="shared" si="15"/>
        <v>0</v>
      </c>
      <c r="R34" s="28">
        <f t="shared" si="15"/>
        <v>0</v>
      </c>
      <c r="S34" s="28">
        <f t="shared" si="15"/>
        <v>0</v>
      </c>
      <c r="T34" s="28">
        <f t="shared" si="16"/>
        <v>0</v>
      </c>
      <c r="U34" s="28">
        <f t="shared" si="16"/>
        <v>0</v>
      </c>
      <c r="V34" s="28">
        <f t="shared" si="16"/>
        <v>0</v>
      </c>
      <c r="W34" s="28">
        <f t="shared" si="16"/>
        <v>0</v>
      </c>
      <c r="X34" s="28">
        <f t="shared" si="16"/>
        <v>0</v>
      </c>
      <c r="Y34" s="28">
        <f t="shared" si="16"/>
        <v>0</v>
      </c>
      <c r="Z34" s="28">
        <f t="shared" si="16"/>
        <v>0</v>
      </c>
      <c r="AA34" s="28">
        <f t="shared" si="16"/>
        <v>0</v>
      </c>
      <c r="AB34" s="28">
        <f t="shared" si="16"/>
        <v>0</v>
      </c>
      <c r="AC34" s="28">
        <f t="shared" si="16"/>
        <v>0</v>
      </c>
      <c r="AD34" s="28">
        <f t="shared" ref="AD34:AD78" si="18">SUM(J34:AB34)</f>
        <v>1</v>
      </c>
      <c r="AE34" s="62">
        <f>VLOOKUP(A34,Incurred!$A$25:$BP$391,68,FALSE)+6.59</f>
        <v>4097688.0378855984</v>
      </c>
      <c r="AF34" s="62">
        <f t="shared" si="11"/>
        <v>6.59</v>
      </c>
      <c r="AG34" s="1" t="s">
        <v>3129</v>
      </c>
    </row>
    <row r="35" spans="1:33" x14ac:dyDescent="0.25">
      <c r="A35" s="12" t="s">
        <v>137</v>
      </c>
      <c r="B35" s="13" t="s">
        <v>138</v>
      </c>
      <c r="C35" s="3">
        <f>IF(VLOOKUP($A35,Incurred!$A$25:$W$371,C$3,FALSE)="",0,VLOOKUP($A35,Incurred!$A$25:$W$371,C$3,FALSE))+AE35-AF35</f>
        <v>4171.92</v>
      </c>
      <c r="D35" s="3">
        <f>IF(VLOOKUP($A35,Incurred!$A$25:$W$371,D$3,FALSE)="",0,VLOOKUP($A35,Incurred!$A$25:$W$371,D$3,FALSE))+AF35</f>
        <v>0</v>
      </c>
      <c r="F35" s="3">
        <f t="shared" si="12"/>
        <v>4171.92</v>
      </c>
      <c r="G35" s="1">
        <f t="shared" si="8"/>
        <v>2017</v>
      </c>
      <c r="J35" s="28">
        <f t="shared" si="15"/>
        <v>0</v>
      </c>
      <c r="K35" s="28">
        <f t="shared" si="15"/>
        <v>0</v>
      </c>
      <c r="L35" s="28">
        <f t="shared" si="15"/>
        <v>0</v>
      </c>
      <c r="M35" s="28">
        <f t="shared" si="15"/>
        <v>1</v>
      </c>
      <c r="N35" s="28">
        <f t="shared" si="15"/>
        <v>0</v>
      </c>
      <c r="O35" s="28">
        <f t="shared" si="15"/>
        <v>0</v>
      </c>
      <c r="P35" s="28">
        <f t="shared" si="15"/>
        <v>0</v>
      </c>
      <c r="Q35" s="28">
        <f t="shared" si="15"/>
        <v>0</v>
      </c>
      <c r="R35" s="28">
        <f t="shared" si="15"/>
        <v>0</v>
      </c>
      <c r="S35" s="28">
        <f t="shared" si="15"/>
        <v>0</v>
      </c>
      <c r="T35" s="28">
        <f t="shared" si="16"/>
        <v>0</v>
      </c>
      <c r="U35" s="28">
        <f t="shared" si="16"/>
        <v>0</v>
      </c>
      <c r="V35" s="28">
        <f t="shared" si="16"/>
        <v>0</v>
      </c>
      <c r="W35" s="28">
        <f t="shared" si="16"/>
        <v>0</v>
      </c>
      <c r="X35" s="28">
        <f t="shared" si="16"/>
        <v>0</v>
      </c>
      <c r="Y35" s="28">
        <f t="shared" si="16"/>
        <v>0</v>
      </c>
      <c r="Z35" s="28">
        <f t="shared" si="16"/>
        <v>0</v>
      </c>
      <c r="AA35" s="28">
        <f t="shared" si="16"/>
        <v>0</v>
      </c>
      <c r="AB35" s="28">
        <f t="shared" si="16"/>
        <v>0</v>
      </c>
      <c r="AC35" s="28">
        <f t="shared" si="16"/>
        <v>0</v>
      </c>
      <c r="AD35" s="28">
        <f t="shared" si="18"/>
        <v>1</v>
      </c>
      <c r="AE35" s="62">
        <f>IF(ISNA(VLOOKUP($A35,CWIPF16,3,FALSE)),0,VLOOKUP($A35,CWIPF16,3,FALSE))</f>
        <v>0</v>
      </c>
      <c r="AF35" s="62">
        <f t="shared" si="11"/>
        <v>0</v>
      </c>
      <c r="AG35" s="1"/>
    </row>
    <row r="36" spans="1:33" x14ac:dyDescent="0.25">
      <c r="A36" s="12" t="s">
        <v>139</v>
      </c>
      <c r="B36" s="13" t="s">
        <v>140</v>
      </c>
      <c r="C36" s="3">
        <f>IF(VLOOKUP($A36,Incurred!$A$25:$W$371,C$3,FALSE)="",0,VLOOKUP($A36,Incurred!$A$25:$W$371,C$3,FALSE))+AE36-AF36</f>
        <v>3969.64</v>
      </c>
      <c r="D36" s="3">
        <f>IF(VLOOKUP($A36,Incurred!$A$25:$W$371,D$3,FALSE)="",0,VLOOKUP($A36,Incurred!$A$25:$W$371,D$3,FALSE))+AF36</f>
        <v>0</v>
      </c>
      <c r="F36" s="3">
        <f t="shared" si="12"/>
        <v>3969.64</v>
      </c>
      <c r="G36" s="1">
        <f t="shared" si="8"/>
        <v>2017</v>
      </c>
      <c r="J36" s="28">
        <f t="shared" si="15"/>
        <v>0</v>
      </c>
      <c r="K36" s="28">
        <f t="shared" si="15"/>
        <v>0</v>
      </c>
      <c r="L36" s="28">
        <f t="shared" si="15"/>
        <v>0</v>
      </c>
      <c r="M36" s="28">
        <f t="shared" si="15"/>
        <v>1</v>
      </c>
      <c r="N36" s="28">
        <f t="shared" si="15"/>
        <v>0</v>
      </c>
      <c r="O36" s="28">
        <f t="shared" si="15"/>
        <v>0</v>
      </c>
      <c r="P36" s="28">
        <f t="shared" si="15"/>
        <v>0</v>
      </c>
      <c r="Q36" s="28">
        <f t="shared" si="15"/>
        <v>0</v>
      </c>
      <c r="R36" s="28">
        <f t="shared" si="15"/>
        <v>0</v>
      </c>
      <c r="S36" s="28">
        <f t="shared" si="15"/>
        <v>0</v>
      </c>
      <c r="T36" s="28">
        <f t="shared" si="16"/>
        <v>0</v>
      </c>
      <c r="U36" s="28">
        <f t="shared" si="16"/>
        <v>0</v>
      </c>
      <c r="V36" s="28">
        <f t="shared" si="16"/>
        <v>0</v>
      </c>
      <c r="W36" s="28">
        <f t="shared" si="16"/>
        <v>0</v>
      </c>
      <c r="X36" s="28">
        <f t="shared" si="16"/>
        <v>0</v>
      </c>
      <c r="Y36" s="28">
        <f t="shared" si="16"/>
        <v>0</v>
      </c>
      <c r="Z36" s="28">
        <f t="shared" si="16"/>
        <v>0</v>
      </c>
      <c r="AA36" s="28">
        <f t="shared" si="16"/>
        <v>0</v>
      </c>
      <c r="AB36" s="28">
        <f t="shared" si="16"/>
        <v>0</v>
      </c>
      <c r="AC36" s="28">
        <f t="shared" si="16"/>
        <v>0</v>
      </c>
      <c r="AD36" s="28">
        <f t="shared" si="18"/>
        <v>1</v>
      </c>
      <c r="AE36" s="62">
        <f>IF(ISNA(VLOOKUP($A36,CWIPF16,3,FALSE)),0,VLOOKUP($A36,CWIPF16,3,FALSE))</f>
        <v>0</v>
      </c>
      <c r="AF36" s="62">
        <f t="shared" si="11"/>
        <v>0</v>
      </c>
      <c r="AG36" s="1"/>
    </row>
    <row r="37" spans="1:33" x14ac:dyDescent="0.25">
      <c r="A37" s="12" t="s">
        <v>156</v>
      </c>
      <c r="B37" s="13" t="s">
        <v>157</v>
      </c>
      <c r="C37" s="3">
        <f>IF(VLOOKUP($A37,Incurred!$A$25:$W$371,C$3,FALSE)="",0,VLOOKUP($A37,Incurred!$A$25:$W$371,C$3,FALSE))+AE37-AF37</f>
        <v>1991673.1529627859</v>
      </c>
      <c r="D37" s="3">
        <f>IF(VLOOKUP($A37,Incurred!$A$25:$W$371,D$3,FALSE)="",0,VLOOKUP($A37,Incurred!$A$25:$W$371,D$3,FALSE))+AF37</f>
        <v>82044.520082057599</v>
      </c>
      <c r="F37" s="3">
        <f t="shared" si="12"/>
        <v>2073717.6730448436</v>
      </c>
      <c r="G37" s="1">
        <f t="shared" si="8"/>
        <v>2017</v>
      </c>
      <c r="J37" s="28">
        <f t="shared" si="15"/>
        <v>0</v>
      </c>
      <c r="K37" s="28">
        <f t="shared" si="15"/>
        <v>0</v>
      </c>
      <c r="L37" s="28">
        <f t="shared" si="15"/>
        <v>0</v>
      </c>
      <c r="M37" s="28">
        <f t="shared" si="15"/>
        <v>0</v>
      </c>
      <c r="N37" s="28">
        <f t="shared" si="15"/>
        <v>0</v>
      </c>
      <c r="O37" s="28">
        <f t="shared" si="15"/>
        <v>0</v>
      </c>
      <c r="P37" s="28">
        <f t="shared" si="15"/>
        <v>0</v>
      </c>
      <c r="Q37" s="28">
        <f t="shared" si="15"/>
        <v>0</v>
      </c>
      <c r="R37" s="28">
        <f t="shared" si="15"/>
        <v>0</v>
      </c>
      <c r="S37" s="28">
        <f t="shared" si="15"/>
        <v>0</v>
      </c>
      <c r="T37" s="28">
        <f t="shared" si="16"/>
        <v>0</v>
      </c>
      <c r="U37" s="28">
        <f t="shared" si="16"/>
        <v>0</v>
      </c>
      <c r="V37" s="28">
        <f t="shared" si="16"/>
        <v>0</v>
      </c>
      <c r="W37" s="28">
        <f t="shared" si="16"/>
        <v>0</v>
      </c>
      <c r="X37" s="28">
        <f t="shared" si="16"/>
        <v>0</v>
      </c>
      <c r="Y37" s="28">
        <f t="shared" si="16"/>
        <v>0</v>
      </c>
      <c r="Z37" s="28">
        <f t="shared" si="16"/>
        <v>0</v>
      </c>
      <c r="AA37" s="28">
        <f t="shared" si="16"/>
        <v>0</v>
      </c>
      <c r="AB37" s="28">
        <f t="shared" si="16"/>
        <v>1</v>
      </c>
      <c r="AC37" s="28">
        <f t="shared" si="16"/>
        <v>0</v>
      </c>
      <c r="AD37" s="28">
        <f t="shared" si="18"/>
        <v>1</v>
      </c>
      <c r="AE37" s="62">
        <f>VLOOKUP(A37,Incurred!$A$25:$BP$391,68,FALSE)-10229</f>
        <v>1859017.8629627859</v>
      </c>
      <c r="AF37" s="62">
        <v>0</v>
      </c>
      <c r="AG37" s="1" t="s">
        <v>3130</v>
      </c>
    </row>
    <row r="38" spans="1:33" x14ac:dyDescent="0.25">
      <c r="A38" s="12" t="s">
        <v>158</v>
      </c>
      <c r="B38" s="13" t="s">
        <v>159</v>
      </c>
      <c r="C38" s="3">
        <f>IF(VLOOKUP($A38,Incurred!$A$25:$W$371,C$3,FALSE)="",0,VLOOKUP($A38,Incurred!$A$25:$W$371,C$3,FALSE))+AE38-AF38</f>
        <v>5325000.7093801061</v>
      </c>
      <c r="D38" s="3">
        <f>IF(VLOOKUP($A38,Incurred!$A$25:$W$371,D$3,FALSE)="",0,VLOOKUP($A38,Incurred!$A$25:$W$371,D$3,FALSE))+AF38</f>
        <v>180155.31726962919</v>
      </c>
      <c r="F38" s="3">
        <f t="shared" si="12"/>
        <v>5505156.0266497349</v>
      </c>
      <c r="G38" s="1">
        <f t="shared" si="8"/>
        <v>2017</v>
      </c>
      <c r="J38" s="28">
        <f t="shared" si="15"/>
        <v>0</v>
      </c>
      <c r="K38" s="28">
        <f t="shared" si="15"/>
        <v>0</v>
      </c>
      <c r="L38" s="28">
        <f t="shared" si="15"/>
        <v>0</v>
      </c>
      <c r="M38" s="28">
        <f t="shared" si="15"/>
        <v>0</v>
      </c>
      <c r="N38" s="28">
        <f t="shared" si="15"/>
        <v>0</v>
      </c>
      <c r="O38" s="28">
        <f t="shared" si="15"/>
        <v>0</v>
      </c>
      <c r="P38" s="28">
        <f t="shared" si="15"/>
        <v>0</v>
      </c>
      <c r="Q38" s="28">
        <f t="shared" si="15"/>
        <v>0</v>
      </c>
      <c r="R38" s="28">
        <f t="shared" si="15"/>
        <v>0</v>
      </c>
      <c r="S38" s="28">
        <f t="shared" si="15"/>
        <v>0</v>
      </c>
      <c r="T38" s="28">
        <f t="shared" si="16"/>
        <v>0</v>
      </c>
      <c r="U38" s="28">
        <f t="shared" si="16"/>
        <v>0</v>
      </c>
      <c r="V38" s="28">
        <f t="shared" si="16"/>
        <v>0</v>
      </c>
      <c r="W38" s="28">
        <f t="shared" si="16"/>
        <v>0</v>
      </c>
      <c r="X38" s="28">
        <f t="shared" si="16"/>
        <v>0</v>
      </c>
      <c r="Y38" s="28">
        <f t="shared" si="16"/>
        <v>0</v>
      </c>
      <c r="Z38" s="28">
        <f t="shared" si="16"/>
        <v>0</v>
      </c>
      <c r="AA38" s="28">
        <f t="shared" si="16"/>
        <v>0</v>
      </c>
      <c r="AB38" s="28">
        <f t="shared" si="16"/>
        <v>1</v>
      </c>
      <c r="AC38" s="28">
        <f t="shared" si="16"/>
        <v>0</v>
      </c>
      <c r="AD38" s="28">
        <f t="shared" si="18"/>
        <v>1</v>
      </c>
      <c r="AE38" s="62">
        <f>VLOOKUP(A38,Incurred!$A$25:$BP$391,68,FALSE)-10229</f>
        <v>5228276.7993801059</v>
      </c>
      <c r="AF38" s="62">
        <v>0</v>
      </c>
      <c r="AG38" s="1" t="s">
        <v>3130</v>
      </c>
    </row>
    <row r="39" spans="1:33" x14ac:dyDescent="0.25">
      <c r="A39" s="12" t="s">
        <v>162</v>
      </c>
      <c r="B39" s="13" t="s">
        <v>163</v>
      </c>
      <c r="C39" s="3">
        <f>IF(VLOOKUP($A39,Incurred!$A$25:$W$371,C$3,FALSE)="",0,VLOOKUP($A39,Incurred!$A$25:$W$371,C$3,FALSE))+AE39-AF39</f>
        <v>1645.95</v>
      </c>
      <c r="D39" s="3">
        <f>IF(VLOOKUP($A39,Incurred!$A$25:$W$371,D$3,FALSE)="",0,VLOOKUP($A39,Incurred!$A$25:$W$371,D$3,FALSE))+AF39</f>
        <v>1381.0756618829173</v>
      </c>
      <c r="F39" s="3">
        <f t="shared" si="12"/>
        <v>3027.0256618829171</v>
      </c>
      <c r="G39" s="1">
        <f t="shared" si="8"/>
        <v>2017</v>
      </c>
      <c r="J39" s="28">
        <f t="shared" ref="J39:S48" si="19">VLOOKUP(MID($A39,4,5),ProjectSplits,J$2,FALSE)</f>
        <v>0</v>
      </c>
      <c r="K39" s="28">
        <f t="shared" si="19"/>
        <v>0</v>
      </c>
      <c r="L39" s="28">
        <f t="shared" si="19"/>
        <v>0</v>
      </c>
      <c r="M39" s="28">
        <f t="shared" si="19"/>
        <v>0</v>
      </c>
      <c r="N39" s="28">
        <f t="shared" si="19"/>
        <v>0</v>
      </c>
      <c r="O39" s="28">
        <f t="shared" si="19"/>
        <v>0</v>
      </c>
      <c r="P39" s="28">
        <f t="shared" si="19"/>
        <v>0</v>
      </c>
      <c r="Q39" s="28">
        <f t="shared" si="19"/>
        <v>0</v>
      </c>
      <c r="R39" s="28">
        <f t="shared" si="19"/>
        <v>0</v>
      </c>
      <c r="S39" s="28">
        <f t="shared" si="19"/>
        <v>0</v>
      </c>
      <c r="T39" s="28">
        <f t="shared" ref="T39:AC48" si="20">VLOOKUP(MID($A39,4,5),ProjectSplits,T$2,FALSE)</f>
        <v>0</v>
      </c>
      <c r="U39" s="28">
        <f t="shared" si="20"/>
        <v>0</v>
      </c>
      <c r="V39" s="28">
        <f t="shared" si="20"/>
        <v>0</v>
      </c>
      <c r="W39" s="28">
        <f t="shared" si="20"/>
        <v>0</v>
      </c>
      <c r="X39" s="28">
        <f t="shared" si="20"/>
        <v>0</v>
      </c>
      <c r="Y39" s="28">
        <f t="shared" si="20"/>
        <v>0</v>
      </c>
      <c r="Z39" s="28">
        <f t="shared" si="20"/>
        <v>0</v>
      </c>
      <c r="AA39" s="28">
        <f t="shared" si="20"/>
        <v>0</v>
      </c>
      <c r="AB39" s="28">
        <f t="shared" si="20"/>
        <v>1</v>
      </c>
      <c r="AC39" s="28">
        <f t="shared" si="20"/>
        <v>0</v>
      </c>
      <c r="AD39" s="28">
        <f t="shared" si="18"/>
        <v>1</v>
      </c>
      <c r="AE39" s="62">
        <f>IF(ISNA(VLOOKUP($A39,CWIPF16,3,FALSE)),0,VLOOKUP($A39,CWIPF16,3,FALSE))</f>
        <v>0</v>
      </c>
      <c r="AF39" s="62">
        <f t="shared" ref="AF39:AF74" si="21">IF(ISNA(VLOOKUP(A39,CWIPF17,3,FALSE)),0,VLOOKUP(A39,CWIPF17,3,FALSE))</f>
        <v>0</v>
      </c>
      <c r="AG39" s="1"/>
    </row>
    <row r="40" spans="1:33" x14ac:dyDescent="0.25">
      <c r="A40" s="12" t="s">
        <v>168</v>
      </c>
      <c r="B40" s="13" t="s">
        <v>169</v>
      </c>
      <c r="C40" s="3">
        <f>IF(VLOOKUP($A40,Incurred!$A$25:$W$371,C$3,FALSE)="",0,VLOOKUP($A40,Incurred!$A$25:$W$371,C$3,FALSE))+AE40-AF40</f>
        <v>1771510.5150657333</v>
      </c>
      <c r="D40" s="3">
        <f>IF(VLOOKUP($A40,Incurred!$A$25:$W$371,D$3,FALSE)="",0,VLOOKUP($A40,Incurred!$A$25:$W$371,D$3,FALSE))+AF40</f>
        <v>628167.9585651824</v>
      </c>
      <c r="F40" s="3">
        <f t="shared" si="12"/>
        <v>2399678.4736309159</v>
      </c>
      <c r="G40" s="1">
        <f t="shared" si="8"/>
        <v>2017</v>
      </c>
      <c r="J40" s="28">
        <f t="shared" si="19"/>
        <v>0</v>
      </c>
      <c r="K40" s="28">
        <f t="shared" si="19"/>
        <v>0</v>
      </c>
      <c r="L40" s="28">
        <f t="shared" si="19"/>
        <v>0</v>
      </c>
      <c r="M40" s="28">
        <f t="shared" si="19"/>
        <v>0</v>
      </c>
      <c r="N40" s="28">
        <f t="shared" si="19"/>
        <v>0</v>
      </c>
      <c r="O40" s="28">
        <f t="shared" si="19"/>
        <v>0</v>
      </c>
      <c r="P40" s="28">
        <f t="shared" si="19"/>
        <v>0</v>
      </c>
      <c r="Q40" s="28">
        <f t="shared" si="19"/>
        <v>1</v>
      </c>
      <c r="R40" s="28">
        <f t="shared" si="19"/>
        <v>0</v>
      </c>
      <c r="S40" s="28">
        <f t="shared" si="19"/>
        <v>0</v>
      </c>
      <c r="T40" s="28">
        <f t="shared" si="20"/>
        <v>0</v>
      </c>
      <c r="U40" s="28">
        <f t="shared" si="20"/>
        <v>0</v>
      </c>
      <c r="V40" s="28">
        <f t="shared" si="20"/>
        <v>0</v>
      </c>
      <c r="W40" s="28">
        <f t="shared" si="20"/>
        <v>0</v>
      </c>
      <c r="X40" s="28">
        <f t="shared" si="20"/>
        <v>0</v>
      </c>
      <c r="Y40" s="28">
        <f t="shared" si="20"/>
        <v>0</v>
      </c>
      <c r="Z40" s="28">
        <f t="shared" si="20"/>
        <v>0</v>
      </c>
      <c r="AA40" s="28">
        <f t="shared" si="20"/>
        <v>0</v>
      </c>
      <c r="AB40" s="28">
        <f t="shared" si="20"/>
        <v>0</v>
      </c>
      <c r="AC40" s="28">
        <f t="shared" si="20"/>
        <v>0</v>
      </c>
      <c r="AD40" s="28">
        <f t="shared" si="18"/>
        <v>1</v>
      </c>
      <c r="AE40" s="62">
        <f>VLOOKUP(A40,Incurred!$A$25:$BP$391,68,FALSE)</f>
        <v>422328.27506573335</v>
      </c>
      <c r="AF40" s="62">
        <f t="shared" si="21"/>
        <v>1843.02</v>
      </c>
      <c r="AG40" s="1" t="s">
        <v>3129</v>
      </c>
    </row>
    <row r="41" spans="1:33" x14ac:dyDescent="0.25">
      <c r="A41" s="12" t="s">
        <v>186</v>
      </c>
      <c r="B41" s="13" t="s">
        <v>2267</v>
      </c>
      <c r="C41" s="3">
        <f>IF(VLOOKUP($A41,Incurred!$A$25:$W$371,C$3,FALSE)="",0,VLOOKUP($A41,Incurred!$A$25:$W$371,C$3,FALSE))+AE41-AF41</f>
        <v>-556.55999999999995</v>
      </c>
      <c r="D41" s="3">
        <f>IF(VLOOKUP($A41,Incurred!$A$25:$W$371,D$3,FALSE)="",0,VLOOKUP($A41,Incurred!$A$25:$W$371,D$3,FALSE))+AF41</f>
        <v>0</v>
      </c>
      <c r="F41" s="3">
        <f t="shared" si="12"/>
        <v>-556.55999999999995</v>
      </c>
      <c r="G41" s="1">
        <f t="shared" si="8"/>
        <v>2017</v>
      </c>
      <c r="J41" s="28">
        <f t="shared" si="19"/>
        <v>0</v>
      </c>
      <c r="K41" s="28">
        <f t="shared" si="19"/>
        <v>0.1100869627713095</v>
      </c>
      <c r="L41" s="28">
        <f t="shared" si="19"/>
        <v>8.7986919649274117E-2</v>
      </c>
      <c r="M41" s="28">
        <f t="shared" si="19"/>
        <v>0</v>
      </c>
      <c r="N41" s="28">
        <f t="shared" si="19"/>
        <v>0</v>
      </c>
      <c r="O41" s="28">
        <f t="shared" si="19"/>
        <v>0</v>
      </c>
      <c r="P41" s="28">
        <f t="shared" si="19"/>
        <v>0</v>
      </c>
      <c r="Q41" s="28">
        <f t="shared" si="19"/>
        <v>0</v>
      </c>
      <c r="R41" s="28">
        <f t="shared" si="19"/>
        <v>0</v>
      </c>
      <c r="S41" s="28">
        <f t="shared" si="19"/>
        <v>0.27765200517464428</v>
      </c>
      <c r="T41" s="28">
        <f t="shared" si="20"/>
        <v>0</v>
      </c>
      <c r="U41" s="28">
        <f t="shared" si="20"/>
        <v>0.35649345982463709</v>
      </c>
      <c r="V41" s="28">
        <f t="shared" si="20"/>
        <v>0</v>
      </c>
      <c r="W41" s="28">
        <f t="shared" si="20"/>
        <v>0</v>
      </c>
      <c r="X41" s="28">
        <f t="shared" si="20"/>
        <v>0.15047793589190744</v>
      </c>
      <c r="Y41" s="28">
        <f t="shared" si="20"/>
        <v>1.7302716688227686E-2</v>
      </c>
      <c r="Z41" s="28">
        <f t="shared" si="20"/>
        <v>0</v>
      </c>
      <c r="AA41" s="28">
        <f t="shared" si="20"/>
        <v>0</v>
      </c>
      <c r="AB41" s="28">
        <f t="shared" si="20"/>
        <v>0</v>
      </c>
      <c r="AC41" s="28">
        <f t="shared" si="20"/>
        <v>0</v>
      </c>
      <c r="AD41" s="28">
        <f t="shared" si="18"/>
        <v>1</v>
      </c>
      <c r="AE41" s="62">
        <f>IF(ISNA(VLOOKUP($A41,CWIPF16,3,FALSE)),0,VLOOKUP($A41,CWIPF16,3,FALSE))</f>
        <v>-556.55999999999995</v>
      </c>
      <c r="AF41" s="62">
        <f t="shared" si="21"/>
        <v>0</v>
      </c>
      <c r="AG41" s="1"/>
    </row>
    <row r="42" spans="1:33" x14ac:dyDescent="0.25">
      <c r="A42" s="12" t="s">
        <v>187</v>
      </c>
      <c r="B42" s="13" t="s">
        <v>2360</v>
      </c>
      <c r="C42" s="3">
        <f>IF(VLOOKUP($A42,Incurred!$A$25:$W$371,C$3,FALSE)="",0,VLOOKUP($A42,Incurred!$A$25:$W$371,C$3,FALSE))+AE42-AF42</f>
        <v>-429.37</v>
      </c>
      <c r="D42" s="3">
        <f>IF(VLOOKUP($A42,Incurred!$A$25:$W$371,D$3,FALSE)="",0,VLOOKUP($A42,Incurred!$A$25:$W$371,D$3,FALSE))+AF42</f>
        <v>0</v>
      </c>
      <c r="F42" s="3">
        <f t="shared" si="12"/>
        <v>-429.37</v>
      </c>
      <c r="G42" s="1">
        <f t="shared" si="8"/>
        <v>2017</v>
      </c>
      <c r="J42" s="28">
        <f t="shared" si="19"/>
        <v>0</v>
      </c>
      <c r="K42" s="28">
        <f t="shared" si="19"/>
        <v>0</v>
      </c>
      <c r="L42" s="28">
        <f t="shared" si="19"/>
        <v>0.10776253580827726</v>
      </c>
      <c r="M42" s="28">
        <f t="shared" si="19"/>
        <v>0</v>
      </c>
      <c r="N42" s="28">
        <f t="shared" si="19"/>
        <v>0</v>
      </c>
      <c r="O42" s="28">
        <f t="shared" si="19"/>
        <v>0</v>
      </c>
      <c r="P42" s="28">
        <f t="shared" si="19"/>
        <v>0</v>
      </c>
      <c r="Q42" s="28">
        <f t="shared" si="19"/>
        <v>0</v>
      </c>
      <c r="R42" s="28">
        <f t="shared" si="19"/>
        <v>0</v>
      </c>
      <c r="S42" s="28">
        <f t="shared" si="19"/>
        <v>0.39145725132170395</v>
      </c>
      <c r="T42" s="28">
        <f t="shared" si="20"/>
        <v>0</v>
      </c>
      <c r="U42" s="28">
        <f t="shared" si="20"/>
        <v>0.30943009525584003</v>
      </c>
      <c r="V42" s="28">
        <f t="shared" si="20"/>
        <v>0</v>
      </c>
      <c r="W42" s="28">
        <f t="shared" si="20"/>
        <v>0</v>
      </c>
      <c r="X42" s="28">
        <f t="shared" si="20"/>
        <v>0.19135011761417889</v>
      </c>
      <c r="Y42" s="28">
        <f t="shared" si="20"/>
        <v>0</v>
      </c>
      <c r="Z42" s="28">
        <f t="shared" si="20"/>
        <v>0</v>
      </c>
      <c r="AA42" s="28">
        <f t="shared" si="20"/>
        <v>0</v>
      </c>
      <c r="AB42" s="28">
        <f t="shared" si="20"/>
        <v>0</v>
      </c>
      <c r="AC42" s="28">
        <f t="shared" si="20"/>
        <v>0</v>
      </c>
      <c r="AD42" s="28">
        <f t="shared" si="18"/>
        <v>1.0000000000000002</v>
      </c>
      <c r="AE42" s="62">
        <f>IF(ISNA(VLOOKUP($A42,CWIPF16,3,FALSE)),0,VLOOKUP($A42,CWIPF16,3,FALSE))</f>
        <v>-429.37</v>
      </c>
      <c r="AF42" s="62">
        <f t="shared" si="21"/>
        <v>0</v>
      </c>
      <c r="AG42" s="1"/>
    </row>
    <row r="43" spans="1:33" x14ac:dyDescent="0.25">
      <c r="A43" s="12" t="s">
        <v>190</v>
      </c>
      <c r="B43" s="13" t="s">
        <v>191</v>
      </c>
      <c r="C43" s="3">
        <f>IF(VLOOKUP($A43,Incurred!$A$25:$W$371,C$3,FALSE)="",0,VLOOKUP($A43,Incurred!$A$25:$W$371,C$3,FALSE))+AE43-AF43</f>
        <v>2.44</v>
      </c>
      <c r="D43" s="3">
        <f>IF(VLOOKUP($A43,Incurred!$A$25:$W$371,D$3,FALSE)="",0,VLOOKUP($A43,Incurred!$A$25:$W$371,D$3,FALSE))+AF43</f>
        <v>0</v>
      </c>
      <c r="F43" s="3">
        <f t="shared" si="12"/>
        <v>2.44</v>
      </c>
      <c r="G43" s="1">
        <f t="shared" si="8"/>
        <v>2017</v>
      </c>
      <c r="J43" s="28">
        <f t="shared" si="19"/>
        <v>0</v>
      </c>
      <c r="K43" s="28">
        <f t="shared" si="19"/>
        <v>0</v>
      </c>
      <c r="L43" s="28">
        <f t="shared" si="19"/>
        <v>0</v>
      </c>
      <c r="M43" s="28">
        <f t="shared" si="19"/>
        <v>1</v>
      </c>
      <c r="N43" s="28">
        <f t="shared" si="19"/>
        <v>0</v>
      </c>
      <c r="O43" s="28">
        <f t="shared" si="19"/>
        <v>0</v>
      </c>
      <c r="P43" s="28">
        <f t="shared" si="19"/>
        <v>0</v>
      </c>
      <c r="Q43" s="28">
        <f t="shared" si="19"/>
        <v>0</v>
      </c>
      <c r="R43" s="28">
        <f t="shared" si="19"/>
        <v>0</v>
      </c>
      <c r="S43" s="28">
        <f t="shared" si="19"/>
        <v>0</v>
      </c>
      <c r="T43" s="28">
        <f t="shared" si="20"/>
        <v>0</v>
      </c>
      <c r="U43" s="28">
        <f t="shared" si="20"/>
        <v>0</v>
      </c>
      <c r="V43" s="28">
        <f t="shared" si="20"/>
        <v>0</v>
      </c>
      <c r="W43" s="28">
        <f t="shared" si="20"/>
        <v>0</v>
      </c>
      <c r="X43" s="28">
        <f t="shared" si="20"/>
        <v>0</v>
      </c>
      <c r="Y43" s="28">
        <f t="shared" si="20"/>
        <v>0</v>
      </c>
      <c r="Z43" s="28">
        <f t="shared" si="20"/>
        <v>0</v>
      </c>
      <c r="AA43" s="28">
        <f t="shared" si="20"/>
        <v>0</v>
      </c>
      <c r="AB43" s="28">
        <f t="shared" si="20"/>
        <v>0</v>
      </c>
      <c r="AC43" s="28">
        <f t="shared" si="20"/>
        <v>0</v>
      </c>
      <c r="AD43" s="28">
        <f t="shared" si="18"/>
        <v>1</v>
      </c>
      <c r="AE43" s="62">
        <f>IF(ISNA(VLOOKUP($A43,CWIPF16,3,FALSE)),0,VLOOKUP($A43,CWIPF16,3,FALSE))</f>
        <v>0</v>
      </c>
      <c r="AF43" s="62">
        <f t="shared" si="21"/>
        <v>0</v>
      </c>
      <c r="AG43" s="1"/>
    </row>
    <row r="44" spans="1:33" x14ac:dyDescent="0.25">
      <c r="A44" s="12" t="s">
        <v>203</v>
      </c>
      <c r="B44" s="13" t="s">
        <v>204</v>
      </c>
      <c r="C44" s="3">
        <f>IF(VLOOKUP($A44,Incurred!$A$25:$W$371,C$3,FALSE)="",0,VLOOKUP($A44,Incurred!$A$25:$W$371,C$3,FALSE))+AE44-AF44</f>
        <v>271.25</v>
      </c>
      <c r="D44" s="3">
        <f>IF(VLOOKUP($A44,Incurred!$A$25:$W$371,D$3,FALSE)="",0,VLOOKUP($A44,Incurred!$A$25:$W$371,D$3,FALSE))+AF44</f>
        <v>0</v>
      </c>
      <c r="F44" s="3">
        <f t="shared" si="12"/>
        <v>271.25</v>
      </c>
      <c r="G44" s="1">
        <f t="shared" si="8"/>
        <v>2017</v>
      </c>
      <c r="J44" s="28">
        <f t="shared" si="19"/>
        <v>0</v>
      </c>
      <c r="K44" s="28">
        <f t="shared" si="19"/>
        <v>5.4113247421954639E-4</v>
      </c>
      <c r="L44" s="28">
        <f t="shared" si="19"/>
        <v>0.24782136750391559</v>
      </c>
      <c r="M44" s="28">
        <f t="shared" si="19"/>
        <v>0</v>
      </c>
      <c r="N44" s="28">
        <f t="shared" si="19"/>
        <v>0</v>
      </c>
      <c r="O44" s="28">
        <f t="shared" si="19"/>
        <v>0</v>
      </c>
      <c r="P44" s="28">
        <f t="shared" si="19"/>
        <v>0</v>
      </c>
      <c r="Q44" s="28">
        <f t="shared" si="19"/>
        <v>0</v>
      </c>
      <c r="R44" s="28">
        <f t="shared" si="19"/>
        <v>0</v>
      </c>
      <c r="S44" s="28">
        <f t="shared" si="19"/>
        <v>0</v>
      </c>
      <c r="T44" s="28">
        <f t="shared" si="20"/>
        <v>0</v>
      </c>
      <c r="U44" s="28">
        <f t="shared" si="20"/>
        <v>8.7997881025152803E-3</v>
      </c>
      <c r="V44" s="28">
        <f t="shared" si="20"/>
        <v>0</v>
      </c>
      <c r="W44" s="28">
        <f t="shared" si="20"/>
        <v>0</v>
      </c>
      <c r="X44" s="28">
        <f t="shared" si="20"/>
        <v>0</v>
      </c>
      <c r="Y44" s="28">
        <f t="shared" si="20"/>
        <v>0.74283771191934955</v>
      </c>
      <c r="Z44" s="28">
        <f t="shared" si="20"/>
        <v>0</v>
      </c>
      <c r="AA44" s="28">
        <f t="shared" si="20"/>
        <v>0</v>
      </c>
      <c r="AB44" s="28">
        <f t="shared" si="20"/>
        <v>0</v>
      </c>
      <c r="AC44" s="28">
        <f t="shared" si="20"/>
        <v>0</v>
      </c>
      <c r="AD44" s="28">
        <f t="shared" si="18"/>
        <v>1</v>
      </c>
      <c r="AE44" s="62">
        <f>IF(ISNA(VLOOKUP($A44,CWIPF16,3,FALSE)),0,VLOOKUP($A44,CWIPF16,3,FALSE))</f>
        <v>0</v>
      </c>
      <c r="AF44" s="62">
        <f t="shared" si="21"/>
        <v>0</v>
      </c>
      <c r="AG44" s="1"/>
    </row>
    <row r="45" spans="1:33" x14ac:dyDescent="0.25">
      <c r="A45" s="12" t="s">
        <v>209</v>
      </c>
      <c r="B45" s="13" t="s">
        <v>210</v>
      </c>
      <c r="C45" s="3">
        <f>IF(VLOOKUP($A45,Incurred!$A$25:$W$371,C$3,FALSE)="",0,VLOOKUP($A45,Incurred!$A$25:$W$371,C$3,FALSE))+AE45-AF45</f>
        <v>3536025.5901379585</v>
      </c>
      <c r="D45" s="3">
        <f>IF(VLOOKUP($A45,Incurred!$A$25:$W$371,D$3,FALSE)="",0,VLOOKUP($A45,Incurred!$A$25:$W$371,D$3,FALSE))+AF45</f>
        <v>76915.228345205178</v>
      </c>
      <c r="F45" s="3">
        <f t="shared" si="12"/>
        <v>3612940.8184831636</v>
      </c>
      <c r="G45" s="1">
        <f t="shared" si="8"/>
        <v>2017</v>
      </c>
      <c r="J45" s="28">
        <f t="shared" si="19"/>
        <v>0</v>
      </c>
      <c r="K45" s="28">
        <f t="shared" si="19"/>
        <v>0.28319999959765962</v>
      </c>
      <c r="L45" s="28">
        <f t="shared" si="19"/>
        <v>0.47229999628178043</v>
      </c>
      <c r="M45" s="28">
        <f t="shared" si="19"/>
        <v>0</v>
      </c>
      <c r="N45" s="28">
        <f t="shared" si="19"/>
        <v>0</v>
      </c>
      <c r="O45" s="28">
        <f t="shared" si="19"/>
        <v>0</v>
      </c>
      <c r="P45" s="28">
        <f t="shared" si="19"/>
        <v>0</v>
      </c>
      <c r="Q45" s="28">
        <f t="shared" si="19"/>
        <v>0</v>
      </c>
      <c r="R45" s="28">
        <f t="shared" si="19"/>
        <v>0</v>
      </c>
      <c r="S45" s="28">
        <f t="shared" si="19"/>
        <v>0</v>
      </c>
      <c r="T45" s="28">
        <f t="shared" si="20"/>
        <v>0</v>
      </c>
      <c r="U45" s="28">
        <f t="shared" si="20"/>
        <v>0.24450000412055986</v>
      </c>
      <c r="V45" s="28">
        <f t="shared" si="20"/>
        <v>0</v>
      </c>
      <c r="W45" s="28">
        <f t="shared" si="20"/>
        <v>0</v>
      </c>
      <c r="X45" s="28">
        <f t="shared" si="20"/>
        <v>0</v>
      </c>
      <c r="Y45" s="28">
        <f t="shared" si="20"/>
        <v>0</v>
      </c>
      <c r="Z45" s="28">
        <f t="shared" si="20"/>
        <v>0</v>
      </c>
      <c r="AA45" s="28">
        <f t="shared" si="20"/>
        <v>0</v>
      </c>
      <c r="AB45" s="28">
        <f t="shared" si="20"/>
        <v>0</v>
      </c>
      <c r="AC45" s="28">
        <f t="shared" si="20"/>
        <v>0</v>
      </c>
      <c r="AD45" s="28">
        <f t="shared" si="18"/>
        <v>0.99999999999999989</v>
      </c>
      <c r="AE45" s="62">
        <f>VLOOKUP(A45,Incurred!$A$25:$BP$391,68,FALSE)</f>
        <v>1642954.1201379588</v>
      </c>
      <c r="AF45" s="62">
        <f t="shared" si="21"/>
        <v>54.93</v>
      </c>
      <c r="AG45" s="1" t="s">
        <v>3129</v>
      </c>
    </row>
    <row r="46" spans="1:33" x14ac:dyDescent="0.25">
      <c r="A46" s="12" t="s">
        <v>214</v>
      </c>
      <c r="B46" s="13" t="s">
        <v>215</v>
      </c>
      <c r="C46" s="3">
        <f>IF(VLOOKUP($A46,Incurred!$A$25:$W$371,C$3,FALSE)="",0,VLOOKUP($A46,Incurred!$A$25:$W$371,C$3,FALSE))+AE46-AF46</f>
        <v>0</v>
      </c>
      <c r="D46" s="3">
        <f>IF(VLOOKUP($A46,Incurred!$A$25:$W$371,D$3,FALSE)="",0,VLOOKUP($A46,Incurred!$A$25:$W$371,D$3,FALSE))+AF46</f>
        <v>7323.17</v>
      </c>
      <c r="F46" s="3">
        <f t="shared" si="12"/>
        <v>7323.17</v>
      </c>
      <c r="G46" s="1">
        <f t="shared" si="8"/>
        <v>2018</v>
      </c>
      <c r="I46" s="33"/>
      <c r="J46" s="28">
        <f t="shared" si="19"/>
        <v>0</v>
      </c>
      <c r="K46" s="28">
        <f t="shared" si="19"/>
        <v>0</v>
      </c>
      <c r="L46" s="28">
        <f t="shared" si="19"/>
        <v>0</v>
      </c>
      <c r="M46" s="28">
        <f t="shared" si="19"/>
        <v>0</v>
      </c>
      <c r="N46" s="28">
        <f t="shared" si="19"/>
        <v>0</v>
      </c>
      <c r="O46" s="28">
        <f t="shared" si="19"/>
        <v>0</v>
      </c>
      <c r="P46" s="28">
        <f t="shared" si="19"/>
        <v>0</v>
      </c>
      <c r="Q46" s="28">
        <f t="shared" si="19"/>
        <v>1</v>
      </c>
      <c r="R46" s="28">
        <f t="shared" si="19"/>
        <v>0</v>
      </c>
      <c r="S46" s="28">
        <f t="shared" si="19"/>
        <v>0</v>
      </c>
      <c r="T46" s="28">
        <f t="shared" si="20"/>
        <v>0</v>
      </c>
      <c r="U46" s="28">
        <f t="shared" si="20"/>
        <v>0</v>
      </c>
      <c r="V46" s="28">
        <f t="shared" si="20"/>
        <v>0</v>
      </c>
      <c r="W46" s="28">
        <f t="shared" si="20"/>
        <v>0</v>
      </c>
      <c r="X46" s="28">
        <f t="shared" si="20"/>
        <v>0</v>
      </c>
      <c r="Y46" s="28">
        <f t="shared" si="20"/>
        <v>0</v>
      </c>
      <c r="Z46" s="28">
        <f t="shared" si="20"/>
        <v>0</v>
      </c>
      <c r="AA46" s="28">
        <f t="shared" si="20"/>
        <v>0</v>
      </c>
      <c r="AB46" s="28">
        <f t="shared" si="20"/>
        <v>0</v>
      </c>
      <c r="AC46" s="28">
        <f t="shared" si="20"/>
        <v>0</v>
      </c>
      <c r="AD46" s="28">
        <f t="shared" si="18"/>
        <v>1</v>
      </c>
      <c r="AE46" s="62">
        <f>IF(ISNA(VLOOKUP($A46,CWIPF16,3,FALSE)),0,VLOOKUP($A46,CWIPF16,3,FALSE))</f>
        <v>852.42</v>
      </c>
      <c r="AF46" s="62">
        <f t="shared" si="21"/>
        <v>7323.17</v>
      </c>
      <c r="AG46" s="1"/>
    </row>
    <row r="47" spans="1:33" x14ac:dyDescent="0.25">
      <c r="A47" s="12" t="s">
        <v>220</v>
      </c>
      <c r="B47" s="13" t="s">
        <v>2373</v>
      </c>
      <c r="C47" s="3">
        <f>IF(VLOOKUP($A47,Incurred!$A$25:$W$371,C$3,FALSE)="",0,VLOOKUP($A47,Incurred!$A$25:$W$371,C$3,FALSE))+AE47-AF47</f>
        <v>484157.84891434119</v>
      </c>
      <c r="D47" s="3">
        <f>IF(VLOOKUP($A47,Incurred!$A$25:$W$371,D$3,FALSE)="",0,VLOOKUP($A47,Incurred!$A$25:$W$371,D$3,FALSE))+AF47</f>
        <v>9142.8473203519752</v>
      </c>
      <c r="F47" s="3">
        <f t="shared" si="12"/>
        <v>493300.69623469317</v>
      </c>
      <c r="G47" s="1">
        <f t="shared" si="8"/>
        <v>2017</v>
      </c>
      <c r="J47" s="28">
        <f t="shared" si="19"/>
        <v>0</v>
      </c>
      <c r="K47" s="28">
        <f t="shared" si="19"/>
        <v>0</v>
      </c>
      <c r="L47" s="28">
        <f t="shared" si="19"/>
        <v>0</v>
      </c>
      <c r="M47" s="28">
        <f t="shared" si="19"/>
        <v>1</v>
      </c>
      <c r="N47" s="28">
        <f t="shared" si="19"/>
        <v>0</v>
      </c>
      <c r="O47" s="28">
        <f t="shared" si="19"/>
        <v>0</v>
      </c>
      <c r="P47" s="28">
        <f t="shared" si="19"/>
        <v>0</v>
      </c>
      <c r="Q47" s="28">
        <f t="shared" si="19"/>
        <v>0</v>
      </c>
      <c r="R47" s="28">
        <f t="shared" si="19"/>
        <v>0</v>
      </c>
      <c r="S47" s="28">
        <f t="shared" si="19"/>
        <v>0</v>
      </c>
      <c r="T47" s="28">
        <f t="shared" si="20"/>
        <v>0</v>
      </c>
      <c r="U47" s="28">
        <f t="shared" si="20"/>
        <v>0</v>
      </c>
      <c r="V47" s="28">
        <f t="shared" si="20"/>
        <v>0</v>
      </c>
      <c r="W47" s="28">
        <f t="shared" si="20"/>
        <v>0</v>
      </c>
      <c r="X47" s="28">
        <f t="shared" si="20"/>
        <v>0</v>
      </c>
      <c r="Y47" s="28">
        <f t="shared" si="20"/>
        <v>0</v>
      </c>
      <c r="Z47" s="28">
        <f t="shared" si="20"/>
        <v>0</v>
      </c>
      <c r="AA47" s="28">
        <f t="shared" si="20"/>
        <v>0</v>
      </c>
      <c r="AB47" s="28">
        <f t="shared" si="20"/>
        <v>0</v>
      </c>
      <c r="AC47" s="28">
        <f t="shared" si="20"/>
        <v>0</v>
      </c>
      <c r="AD47" s="28">
        <f t="shared" si="18"/>
        <v>1</v>
      </c>
      <c r="AE47" s="62">
        <f>VLOOKUP(A47,Incurred!$A$25:$BP$391,68,FALSE)</f>
        <v>388592.75891434116</v>
      </c>
      <c r="AF47" s="62">
        <f t="shared" si="21"/>
        <v>0</v>
      </c>
      <c r="AG47" s="1" t="s">
        <v>3129</v>
      </c>
    </row>
    <row r="48" spans="1:33" x14ac:dyDescent="0.25">
      <c r="A48" s="12" t="s">
        <v>221</v>
      </c>
      <c r="B48" s="13" t="s">
        <v>222</v>
      </c>
      <c r="C48" s="3">
        <f>IF(VLOOKUP($A48,Incurred!$A$25:$W$371,C$3,FALSE)="",0,VLOOKUP($A48,Incurred!$A$25:$W$371,C$3,FALSE))+AE48-AF48</f>
        <v>145338.79999999999</v>
      </c>
      <c r="D48" s="3">
        <f>IF(VLOOKUP($A48,Incurred!$A$25:$W$371,D$3,FALSE)="",0,VLOOKUP($A48,Incurred!$A$25:$W$371,D$3,FALSE))+AF48</f>
        <v>0</v>
      </c>
      <c r="F48" s="3">
        <f t="shared" si="12"/>
        <v>145338.79999999999</v>
      </c>
      <c r="G48" s="1">
        <f t="shared" si="8"/>
        <v>2017</v>
      </c>
      <c r="J48" s="28">
        <f t="shared" si="19"/>
        <v>0</v>
      </c>
      <c r="K48" s="28">
        <f t="shared" si="19"/>
        <v>0</v>
      </c>
      <c r="L48" s="28">
        <f t="shared" si="19"/>
        <v>0</v>
      </c>
      <c r="M48" s="28">
        <f t="shared" si="19"/>
        <v>1</v>
      </c>
      <c r="N48" s="28">
        <f t="shared" si="19"/>
        <v>0</v>
      </c>
      <c r="O48" s="28">
        <f t="shared" si="19"/>
        <v>0</v>
      </c>
      <c r="P48" s="28">
        <f t="shared" si="19"/>
        <v>0</v>
      </c>
      <c r="Q48" s="28">
        <f t="shared" si="19"/>
        <v>0</v>
      </c>
      <c r="R48" s="28">
        <f t="shared" si="19"/>
        <v>0</v>
      </c>
      <c r="S48" s="28">
        <f t="shared" si="19"/>
        <v>0</v>
      </c>
      <c r="T48" s="28">
        <f t="shared" si="20"/>
        <v>0</v>
      </c>
      <c r="U48" s="28">
        <f t="shared" si="20"/>
        <v>0</v>
      </c>
      <c r="V48" s="28">
        <f t="shared" si="20"/>
        <v>0</v>
      </c>
      <c r="W48" s="28">
        <f t="shared" si="20"/>
        <v>0</v>
      </c>
      <c r="X48" s="28">
        <f t="shared" si="20"/>
        <v>0</v>
      </c>
      <c r="Y48" s="28">
        <f t="shared" si="20"/>
        <v>0</v>
      </c>
      <c r="Z48" s="28">
        <f t="shared" si="20"/>
        <v>0</v>
      </c>
      <c r="AA48" s="28">
        <f t="shared" si="20"/>
        <v>0</v>
      </c>
      <c r="AB48" s="28">
        <f t="shared" si="20"/>
        <v>0</v>
      </c>
      <c r="AC48" s="28">
        <f t="shared" si="20"/>
        <v>0</v>
      </c>
      <c r="AD48" s="28">
        <f t="shared" si="18"/>
        <v>1</v>
      </c>
      <c r="AE48" s="62">
        <f t="shared" ref="AE48:AE54" si="22">IF(ISNA(VLOOKUP($A48,CWIPF16,3,FALSE)),0,VLOOKUP($A48,CWIPF16,3,FALSE))</f>
        <v>0</v>
      </c>
      <c r="AF48" s="62">
        <f t="shared" si="21"/>
        <v>0</v>
      </c>
      <c r="AG48" s="1"/>
    </row>
    <row r="49" spans="1:33" x14ac:dyDescent="0.25">
      <c r="A49" s="12" t="s">
        <v>237</v>
      </c>
      <c r="B49" s="13" t="s">
        <v>238</v>
      </c>
      <c r="C49" s="3">
        <f>IF(VLOOKUP($A49,Incurred!$A$25:$W$371,C$3,FALSE)="",0,VLOOKUP($A49,Incurred!$A$25:$W$371,C$3,FALSE))+AE49-AF49</f>
        <v>-2221.56</v>
      </c>
      <c r="D49" s="3">
        <f>IF(VLOOKUP($A49,Incurred!$A$25:$W$371,D$3,FALSE)="",0,VLOOKUP($A49,Incurred!$A$25:$W$371,D$3,FALSE))+AF49</f>
        <v>0</v>
      </c>
      <c r="F49" s="3">
        <f t="shared" si="12"/>
        <v>-2221.56</v>
      </c>
      <c r="G49" s="1">
        <f t="shared" si="8"/>
        <v>2017</v>
      </c>
      <c r="J49" s="28">
        <f t="shared" ref="J49:S58" si="23">VLOOKUP(MID($A49,4,5),ProjectSplits,J$2,FALSE)</f>
        <v>0.46721923856033698</v>
      </c>
      <c r="K49" s="28">
        <f t="shared" si="23"/>
        <v>0</v>
      </c>
      <c r="L49" s="28">
        <f t="shared" si="23"/>
        <v>0</v>
      </c>
      <c r="M49" s="28">
        <f t="shared" si="23"/>
        <v>0.20941617456069511</v>
      </c>
      <c r="N49" s="28">
        <f t="shared" si="23"/>
        <v>0</v>
      </c>
      <c r="O49" s="28">
        <f t="shared" si="23"/>
        <v>0</v>
      </c>
      <c r="P49" s="28">
        <f t="shared" si="23"/>
        <v>0</v>
      </c>
      <c r="Q49" s="28">
        <f t="shared" si="23"/>
        <v>0.32336458687896802</v>
      </c>
      <c r="R49" s="28">
        <f t="shared" si="23"/>
        <v>0</v>
      </c>
      <c r="S49" s="28">
        <f t="shared" si="23"/>
        <v>0</v>
      </c>
      <c r="T49" s="28">
        <f t="shared" ref="T49:AC58" si="24">VLOOKUP(MID($A49,4,5),ProjectSplits,T$2,FALSE)</f>
        <v>0</v>
      </c>
      <c r="U49" s="28">
        <f t="shared" si="24"/>
        <v>0</v>
      </c>
      <c r="V49" s="28">
        <f t="shared" si="24"/>
        <v>0</v>
      </c>
      <c r="W49" s="28">
        <f t="shared" si="24"/>
        <v>0</v>
      </c>
      <c r="X49" s="28">
        <f t="shared" si="24"/>
        <v>0</v>
      </c>
      <c r="Y49" s="28">
        <f t="shared" si="24"/>
        <v>0</v>
      </c>
      <c r="Z49" s="28">
        <f t="shared" si="24"/>
        <v>0</v>
      </c>
      <c r="AA49" s="28">
        <f t="shared" si="24"/>
        <v>0</v>
      </c>
      <c r="AB49" s="28">
        <f t="shared" si="24"/>
        <v>0</v>
      </c>
      <c r="AC49" s="28">
        <f t="shared" si="24"/>
        <v>0</v>
      </c>
      <c r="AD49" s="28">
        <f t="shared" si="18"/>
        <v>1.0000000000000002</v>
      </c>
      <c r="AE49" s="62">
        <f t="shared" si="22"/>
        <v>0</v>
      </c>
      <c r="AF49" s="62">
        <f t="shared" si="21"/>
        <v>0</v>
      </c>
      <c r="AG49" s="1"/>
    </row>
    <row r="50" spans="1:33" x14ac:dyDescent="0.25">
      <c r="A50" s="12" t="s">
        <v>252</v>
      </c>
      <c r="B50" s="13" t="s">
        <v>253</v>
      </c>
      <c r="C50" s="3">
        <f>IF(VLOOKUP($A50,Incurred!$A$25:$W$371,C$3,FALSE)="",0,VLOOKUP($A50,Incurred!$A$25:$W$371,C$3,FALSE))+AE50-AF50</f>
        <v>10361.02</v>
      </c>
      <c r="D50" s="3">
        <f>IF(VLOOKUP($A50,Incurred!$A$25:$W$371,D$3,FALSE)="",0,VLOOKUP($A50,Incurred!$A$25:$W$371,D$3,FALSE))+AF50</f>
        <v>0</v>
      </c>
      <c r="F50" s="3">
        <f t="shared" si="12"/>
        <v>10361.02</v>
      </c>
      <c r="G50" s="1">
        <f t="shared" si="8"/>
        <v>2017</v>
      </c>
      <c r="J50" s="28">
        <f t="shared" si="23"/>
        <v>0</v>
      </c>
      <c r="K50" s="28">
        <f t="shared" si="23"/>
        <v>0</v>
      </c>
      <c r="L50" s="28">
        <f t="shared" si="23"/>
        <v>0</v>
      </c>
      <c r="M50" s="28">
        <f t="shared" si="23"/>
        <v>0</v>
      </c>
      <c r="N50" s="28">
        <f t="shared" si="23"/>
        <v>0</v>
      </c>
      <c r="O50" s="28">
        <f t="shared" si="23"/>
        <v>0</v>
      </c>
      <c r="P50" s="28">
        <f t="shared" si="23"/>
        <v>0</v>
      </c>
      <c r="Q50" s="28">
        <f t="shared" si="23"/>
        <v>1</v>
      </c>
      <c r="R50" s="28">
        <f t="shared" si="23"/>
        <v>0</v>
      </c>
      <c r="S50" s="28">
        <f t="shared" si="23"/>
        <v>0</v>
      </c>
      <c r="T50" s="28">
        <f t="shared" si="24"/>
        <v>0</v>
      </c>
      <c r="U50" s="28">
        <f t="shared" si="24"/>
        <v>0</v>
      </c>
      <c r="V50" s="28">
        <f t="shared" si="24"/>
        <v>0</v>
      </c>
      <c r="W50" s="28">
        <f t="shared" si="24"/>
        <v>0</v>
      </c>
      <c r="X50" s="28">
        <f t="shared" si="24"/>
        <v>0</v>
      </c>
      <c r="Y50" s="28">
        <f t="shared" si="24"/>
        <v>0</v>
      </c>
      <c r="Z50" s="28">
        <f t="shared" si="24"/>
        <v>0</v>
      </c>
      <c r="AA50" s="28">
        <f t="shared" si="24"/>
        <v>0</v>
      </c>
      <c r="AB50" s="28">
        <f t="shared" si="24"/>
        <v>0</v>
      </c>
      <c r="AC50" s="28">
        <f t="shared" si="24"/>
        <v>0</v>
      </c>
      <c r="AD50" s="28">
        <f t="shared" si="18"/>
        <v>1</v>
      </c>
      <c r="AE50" s="62">
        <f t="shared" si="22"/>
        <v>0</v>
      </c>
      <c r="AF50" s="62">
        <f t="shared" si="21"/>
        <v>0</v>
      </c>
      <c r="AG50" s="1"/>
    </row>
    <row r="51" spans="1:33" x14ac:dyDescent="0.25">
      <c r="A51" s="12" t="s">
        <v>254</v>
      </c>
      <c r="B51" s="13" t="s">
        <v>2375</v>
      </c>
      <c r="C51" s="3">
        <f>IF(VLOOKUP($A51,Incurred!$A$25:$W$371,C$3,FALSE)="",0,VLOOKUP($A51,Incurred!$A$25:$W$371,C$3,FALSE))+AE51-AF51</f>
        <v>160.63999999999999</v>
      </c>
      <c r="D51" s="3">
        <f>IF(VLOOKUP($A51,Incurred!$A$25:$W$371,D$3,FALSE)="",0,VLOOKUP($A51,Incurred!$A$25:$W$371,D$3,FALSE))+AF51</f>
        <v>0</v>
      </c>
      <c r="F51" s="3">
        <f t="shared" si="12"/>
        <v>160.63999999999999</v>
      </c>
      <c r="G51" s="1">
        <f t="shared" si="8"/>
        <v>2017</v>
      </c>
      <c r="J51" s="28">
        <f t="shared" si="23"/>
        <v>1</v>
      </c>
      <c r="K51" s="28">
        <f t="shared" si="23"/>
        <v>0</v>
      </c>
      <c r="L51" s="28">
        <f t="shared" si="23"/>
        <v>0</v>
      </c>
      <c r="M51" s="28">
        <f t="shared" si="23"/>
        <v>0</v>
      </c>
      <c r="N51" s="28">
        <f t="shared" si="23"/>
        <v>0</v>
      </c>
      <c r="O51" s="28">
        <f t="shared" si="23"/>
        <v>0</v>
      </c>
      <c r="P51" s="28">
        <f t="shared" si="23"/>
        <v>0</v>
      </c>
      <c r="Q51" s="28">
        <f t="shared" si="23"/>
        <v>0</v>
      </c>
      <c r="R51" s="28">
        <f t="shared" si="23"/>
        <v>0</v>
      </c>
      <c r="S51" s="28">
        <f t="shared" si="23"/>
        <v>0</v>
      </c>
      <c r="T51" s="28">
        <f t="shared" si="24"/>
        <v>0</v>
      </c>
      <c r="U51" s="28">
        <f t="shared" si="24"/>
        <v>0</v>
      </c>
      <c r="V51" s="28">
        <f t="shared" si="24"/>
        <v>0</v>
      </c>
      <c r="W51" s="28">
        <f t="shared" si="24"/>
        <v>0</v>
      </c>
      <c r="X51" s="28">
        <f t="shared" si="24"/>
        <v>0</v>
      </c>
      <c r="Y51" s="28">
        <f t="shared" si="24"/>
        <v>0</v>
      </c>
      <c r="Z51" s="28">
        <f t="shared" si="24"/>
        <v>0</v>
      </c>
      <c r="AA51" s="28">
        <f t="shared" si="24"/>
        <v>0</v>
      </c>
      <c r="AB51" s="28">
        <f t="shared" si="24"/>
        <v>0</v>
      </c>
      <c r="AC51" s="28">
        <f t="shared" si="24"/>
        <v>0</v>
      </c>
      <c r="AD51" s="28">
        <f t="shared" si="18"/>
        <v>1</v>
      </c>
      <c r="AE51" s="62">
        <f t="shared" si="22"/>
        <v>0</v>
      </c>
      <c r="AF51" s="62">
        <f t="shared" si="21"/>
        <v>0</v>
      </c>
      <c r="AG51" s="1"/>
    </row>
    <row r="52" spans="1:33" x14ac:dyDescent="0.25">
      <c r="A52" s="12" t="s">
        <v>257</v>
      </c>
      <c r="B52" s="13" t="s">
        <v>2376</v>
      </c>
      <c r="C52" s="3">
        <f>IF(VLOOKUP($A52,Incurred!$A$25:$W$371,C$3,FALSE)="",0,VLOOKUP($A52,Incurred!$A$25:$W$371,C$3,FALSE))+AE52-AF52</f>
        <v>1448.55</v>
      </c>
      <c r="D52" s="3">
        <f>IF(VLOOKUP($A52,Incurred!$A$25:$W$371,D$3,FALSE)="",0,VLOOKUP($A52,Incurred!$A$25:$W$371,D$3,FALSE))+AF52</f>
        <v>0</v>
      </c>
      <c r="F52" s="3">
        <f t="shared" si="12"/>
        <v>1448.55</v>
      </c>
      <c r="G52" s="1">
        <f t="shared" si="8"/>
        <v>2017</v>
      </c>
      <c r="J52" s="28">
        <f t="shared" si="23"/>
        <v>0</v>
      </c>
      <c r="K52" s="28">
        <f t="shared" si="23"/>
        <v>0</v>
      </c>
      <c r="L52" s="28">
        <f t="shared" si="23"/>
        <v>0</v>
      </c>
      <c r="M52" s="28">
        <f t="shared" si="23"/>
        <v>0</v>
      </c>
      <c r="N52" s="28">
        <f t="shared" si="23"/>
        <v>0</v>
      </c>
      <c r="O52" s="28">
        <f t="shared" si="23"/>
        <v>0</v>
      </c>
      <c r="P52" s="28">
        <f t="shared" si="23"/>
        <v>0</v>
      </c>
      <c r="Q52" s="28">
        <f t="shared" si="23"/>
        <v>1</v>
      </c>
      <c r="R52" s="28">
        <f t="shared" si="23"/>
        <v>0</v>
      </c>
      <c r="S52" s="28">
        <f t="shared" si="23"/>
        <v>0</v>
      </c>
      <c r="T52" s="28">
        <f t="shared" si="24"/>
        <v>0</v>
      </c>
      <c r="U52" s="28">
        <f t="shared" si="24"/>
        <v>0</v>
      </c>
      <c r="V52" s="28">
        <f t="shared" si="24"/>
        <v>0</v>
      </c>
      <c r="W52" s="28">
        <f t="shared" si="24"/>
        <v>0</v>
      </c>
      <c r="X52" s="28">
        <f t="shared" si="24"/>
        <v>0</v>
      </c>
      <c r="Y52" s="28">
        <f t="shared" si="24"/>
        <v>0</v>
      </c>
      <c r="Z52" s="28">
        <f t="shared" si="24"/>
        <v>0</v>
      </c>
      <c r="AA52" s="28">
        <f t="shared" si="24"/>
        <v>0</v>
      </c>
      <c r="AB52" s="28">
        <f t="shared" si="24"/>
        <v>0</v>
      </c>
      <c r="AC52" s="28">
        <f t="shared" si="24"/>
        <v>0</v>
      </c>
      <c r="AD52" s="28">
        <f t="shared" si="18"/>
        <v>1</v>
      </c>
      <c r="AE52" s="62">
        <f t="shared" si="22"/>
        <v>0</v>
      </c>
      <c r="AF52" s="62">
        <f t="shared" si="21"/>
        <v>0</v>
      </c>
      <c r="AG52" s="1"/>
    </row>
    <row r="53" spans="1:33" x14ac:dyDescent="0.25">
      <c r="A53" s="12" t="s">
        <v>268</v>
      </c>
      <c r="B53" s="13" t="s">
        <v>269</v>
      </c>
      <c r="C53" s="3">
        <f>IF(VLOOKUP($A53,Incurred!$A$25:$W$371,C$3,FALSE)="",0,VLOOKUP($A53,Incurred!$A$25:$W$371,C$3,FALSE))+AE53-AF53</f>
        <v>730031.56</v>
      </c>
      <c r="D53" s="3">
        <f>IF(VLOOKUP($A53,Incurred!$A$25:$W$371,D$3,FALSE)="",0,VLOOKUP($A53,Incurred!$A$25:$W$371,D$3,FALSE))+AF53</f>
        <v>0</v>
      </c>
      <c r="F53" s="3">
        <f t="shared" si="12"/>
        <v>730031.56</v>
      </c>
      <c r="G53" s="1">
        <f t="shared" si="8"/>
        <v>2017</v>
      </c>
      <c r="J53" s="28">
        <f t="shared" si="23"/>
        <v>3.9035305763873365E-4</v>
      </c>
      <c r="K53" s="28">
        <f t="shared" si="23"/>
        <v>0</v>
      </c>
      <c r="L53" s="28">
        <f t="shared" si="23"/>
        <v>0</v>
      </c>
      <c r="M53" s="28">
        <f t="shared" si="23"/>
        <v>0.99960964694236121</v>
      </c>
      <c r="N53" s="28">
        <f t="shared" si="23"/>
        <v>0</v>
      </c>
      <c r="O53" s="28">
        <f t="shared" si="23"/>
        <v>0</v>
      </c>
      <c r="P53" s="28">
        <f t="shared" si="23"/>
        <v>0</v>
      </c>
      <c r="Q53" s="28">
        <f t="shared" si="23"/>
        <v>0</v>
      </c>
      <c r="R53" s="28">
        <f t="shared" si="23"/>
        <v>0</v>
      </c>
      <c r="S53" s="28">
        <f t="shared" si="23"/>
        <v>0</v>
      </c>
      <c r="T53" s="28">
        <f t="shared" si="24"/>
        <v>0</v>
      </c>
      <c r="U53" s="28">
        <f t="shared" si="24"/>
        <v>0</v>
      </c>
      <c r="V53" s="28">
        <f t="shared" si="24"/>
        <v>0</v>
      </c>
      <c r="W53" s="28">
        <f t="shared" si="24"/>
        <v>0</v>
      </c>
      <c r="X53" s="28">
        <f t="shared" si="24"/>
        <v>0</v>
      </c>
      <c r="Y53" s="28">
        <f t="shared" si="24"/>
        <v>0</v>
      </c>
      <c r="Z53" s="28">
        <f t="shared" si="24"/>
        <v>0</v>
      </c>
      <c r="AA53" s="28">
        <f t="shared" si="24"/>
        <v>0</v>
      </c>
      <c r="AB53" s="28">
        <f t="shared" si="24"/>
        <v>0</v>
      </c>
      <c r="AC53" s="28">
        <f t="shared" si="24"/>
        <v>0</v>
      </c>
      <c r="AD53" s="28">
        <f t="shared" si="18"/>
        <v>0.99999999999999989</v>
      </c>
      <c r="AE53" s="62">
        <f t="shared" si="22"/>
        <v>37206.400000000001</v>
      </c>
      <c r="AF53" s="62">
        <f t="shared" si="21"/>
        <v>0</v>
      </c>
      <c r="AG53" s="1"/>
    </row>
    <row r="54" spans="1:33" x14ac:dyDescent="0.25">
      <c r="A54" s="12" t="s">
        <v>270</v>
      </c>
      <c r="B54" s="13" t="s">
        <v>271</v>
      </c>
      <c r="C54" s="3">
        <f>IF(VLOOKUP($A54,Incurred!$A$25:$W$371,C$3,FALSE)="",0,VLOOKUP($A54,Incurred!$A$25:$W$371,C$3,FALSE))+AE54-AF54</f>
        <v>406569.87</v>
      </c>
      <c r="D54" s="3">
        <f>IF(VLOOKUP($A54,Incurred!$A$25:$W$371,D$3,FALSE)="",0,VLOOKUP($A54,Incurred!$A$25:$W$371,D$3,FALSE))+AF54</f>
        <v>0</v>
      </c>
      <c r="F54" s="3">
        <f t="shared" si="12"/>
        <v>406569.87</v>
      </c>
      <c r="G54" s="1">
        <f t="shared" si="8"/>
        <v>2017</v>
      </c>
      <c r="J54" s="28">
        <f t="shared" si="23"/>
        <v>0</v>
      </c>
      <c r="K54" s="28">
        <f t="shared" si="23"/>
        <v>0</v>
      </c>
      <c r="L54" s="28">
        <f t="shared" si="23"/>
        <v>0</v>
      </c>
      <c r="M54" s="28">
        <f t="shared" si="23"/>
        <v>1</v>
      </c>
      <c r="N54" s="28">
        <f t="shared" si="23"/>
        <v>0</v>
      </c>
      <c r="O54" s="28">
        <f t="shared" si="23"/>
        <v>0</v>
      </c>
      <c r="P54" s="28">
        <f t="shared" si="23"/>
        <v>0</v>
      </c>
      <c r="Q54" s="28">
        <f t="shared" si="23"/>
        <v>0</v>
      </c>
      <c r="R54" s="28">
        <f t="shared" si="23"/>
        <v>0</v>
      </c>
      <c r="S54" s="28">
        <f t="shared" si="23"/>
        <v>0</v>
      </c>
      <c r="T54" s="28">
        <f t="shared" si="24"/>
        <v>0</v>
      </c>
      <c r="U54" s="28">
        <f t="shared" si="24"/>
        <v>0</v>
      </c>
      <c r="V54" s="28">
        <f t="shared" si="24"/>
        <v>0</v>
      </c>
      <c r="W54" s="28">
        <f t="shared" si="24"/>
        <v>0</v>
      </c>
      <c r="X54" s="28">
        <f t="shared" si="24"/>
        <v>0</v>
      </c>
      <c r="Y54" s="28">
        <f t="shared" si="24"/>
        <v>0</v>
      </c>
      <c r="Z54" s="28">
        <f t="shared" si="24"/>
        <v>0</v>
      </c>
      <c r="AA54" s="28">
        <f t="shared" si="24"/>
        <v>0</v>
      </c>
      <c r="AB54" s="28">
        <f t="shared" si="24"/>
        <v>0</v>
      </c>
      <c r="AC54" s="28">
        <f t="shared" si="24"/>
        <v>0</v>
      </c>
      <c r="AD54" s="28">
        <f t="shared" si="18"/>
        <v>1</v>
      </c>
      <c r="AE54" s="62">
        <f t="shared" si="22"/>
        <v>0</v>
      </c>
      <c r="AF54" s="62">
        <f t="shared" si="21"/>
        <v>0</v>
      </c>
      <c r="AG54" s="1"/>
    </row>
    <row r="55" spans="1:33" x14ac:dyDescent="0.25">
      <c r="A55" s="12" t="s">
        <v>272</v>
      </c>
      <c r="B55" s="13" t="s">
        <v>273</v>
      </c>
      <c r="C55" s="3">
        <f>IF(VLOOKUP($A55,Incurred!$A$25:$W$371,C$3,FALSE)="",0,VLOOKUP($A55,Incurred!$A$25:$W$371,C$3,FALSE))+AE55-AF55</f>
        <v>2237204.9325340381</v>
      </c>
      <c r="D55" s="3">
        <f>IF(VLOOKUP($A55,Incurred!$A$25:$W$371,D$3,FALSE)="",0,VLOOKUP($A55,Incurred!$A$25:$W$371,D$3,FALSE))+AF55</f>
        <v>38094.803692329035</v>
      </c>
      <c r="F55" s="3">
        <f t="shared" si="12"/>
        <v>2275299.7362263673</v>
      </c>
      <c r="G55" s="1">
        <f t="shared" si="8"/>
        <v>2017</v>
      </c>
      <c r="J55" s="28">
        <f t="shared" si="23"/>
        <v>0</v>
      </c>
      <c r="K55" s="28">
        <f t="shared" si="23"/>
        <v>0</v>
      </c>
      <c r="L55" s="28">
        <f t="shared" si="23"/>
        <v>0</v>
      </c>
      <c r="M55" s="28">
        <f t="shared" si="23"/>
        <v>1.0000000000000002</v>
      </c>
      <c r="N55" s="28">
        <f t="shared" si="23"/>
        <v>0</v>
      </c>
      <c r="O55" s="28">
        <f t="shared" si="23"/>
        <v>0</v>
      </c>
      <c r="P55" s="28">
        <f t="shared" si="23"/>
        <v>0</v>
      </c>
      <c r="Q55" s="28">
        <f t="shared" si="23"/>
        <v>0</v>
      </c>
      <c r="R55" s="28">
        <f t="shared" si="23"/>
        <v>0</v>
      </c>
      <c r="S55" s="28">
        <f t="shared" si="23"/>
        <v>0</v>
      </c>
      <c r="T55" s="28">
        <f t="shared" si="24"/>
        <v>0</v>
      </c>
      <c r="U55" s="28">
        <f t="shared" si="24"/>
        <v>0</v>
      </c>
      <c r="V55" s="28">
        <f t="shared" si="24"/>
        <v>0</v>
      </c>
      <c r="W55" s="28">
        <f t="shared" si="24"/>
        <v>0</v>
      </c>
      <c r="X55" s="28">
        <f t="shared" si="24"/>
        <v>0</v>
      </c>
      <c r="Y55" s="28">
        <f t="shared" si="24"/>
        <v>0</v>
      </c>
      <c r="Z55" s="28">
        <f t="shared" si="24"/>
        <v>0</v>
      </c>
      <c r="AA55" s="28">
        <f t="shared" si="24"/>
        <v>0</v>
      </c>
      <c r="AB55" s="28">
        <f t="shared" si="24"/>
        <v>0</v>
      </c>
      <c r="AC55" s="28">
        <f t="shared" si="24"/>
        <v>0</v>
      </c>
      <c r="AD55" s="28">
        <f t="shared" si="18"/>
        <v>1.0000000000000002</v>
      </c>
      <c r="AE55" s="62">
        <f>VLOOKUP(A55,Incurred!$A$25:$BP$391,68,FALSE)</f>
        <v>1882239.122534038</v>
      </c>
      <c r="AF55" s="62">
        <f t="shared" si="21"/>
        <v>0</v>
      </c>
      <c r="AG55" s="1" t="s">
        <v>3129</v>
      </c>
    </row>
    <row r="56" spans="1:33" x14ac:dyDescent="0.25">
      <c r="A56" s="12" t="s">
        <v>274</v>
      </c>
      <c r="B56" s="13" t="s">
        <v>275</v>
      </c>
      <c r="C56" s="3">
        <f>IF(VLOOKUP($A56,Incurred!$A$25:$W$371,C$3,FALSE)="",0,VLOOKUP($A56,Incurred!$A$25:$W$371,C$3,FALSE))+AE56-AF56</f>
        <v>1775154.5025063653</v>
      </c>
      <c r="D56" s="3">
        <f>IF(VLOOKUP($A56,Incurred!$A$25:$W$371,D$3,FALSE)="",0,VLOOKUP($A56,Incurred!$A$25:$W$371,D$3,FALSE))+AF56</f>
        <v>15589.57379569409</v>
      </c>
      <c r="F56" s="3">
        <f t="shared" si="12"/>
        <v>1790744.0763020595</v>
      </c>
      <c r="G56" s="1">
        <f t="shared" si="8"/>
        <v>2017</v>
      </c>
      <c r="J56" s="28">
        <f t="shared" si="23"/>
        <v>0</v>
      </c>
      <c r="K56" s="28">
        <f t="shared" si="23"/>
        <v>0</v>
      </c>
      <c r="L56" s="28">
        <f t="shared" si="23"/>
        <v>0</v>
      </c>
      <c r="M56" s="28">
        <f t="shared" si="23"/>
        <v>0.99999999999999989</v>
      </c>
      <c r="N56" s="28">
        <f t="shared" si="23"/>
        <v>0</v>
      </c>
      <c r="O56" s="28">
        <f t="shared" si="23"/>
        <v>0</v>
      </c>
      <c r="P56" s="28">
        <f t="shared" si="23"/>
        <v>0</v>
      </c>
      <c r="Q56" s="28">
        <f t="shared" si="23"/>
        <v>0</v>
      </c>
      <c r="R56" s="28">
        <f t="shared" si="23"/>
        <v>0</v>
      </c>
      <c r="S56" s="28">
        <f t="shared" si="23"/>
        <v>0</v>
      </c>
      <c r="T56" s="28">
        <f t="shared" si="24"/>
        <v>0</v>
      </c>
      <c r="U56" s="28">
        <f t="shared" si="24"/>
        <v>0</v>
      </c>
      <c r="V56" s="28">
        <f t="shared" si="24"/>
        <v>0</v>
      </c>
      <c r="W56" s="28">
        <f t="shared" si="24"/>
        <v>0</v>
      </c>
      <c r="X56" s="28">
        <f t="shared" si="24"/>
        <v>0</v>
      </c>
      <c r="Y56" s="28">
        <f t="shared" si="24"/>
        <v>0</v>
      </c>
      <c r="Z56" s="28">
        <f t="shared" si="24"/>
        <v>0</v>
      </c>
      <c r="AA56" s="28">
        <f t="shared" si="24"/>
        <v>0</v>
      </c>
      <c r="AB56" s="28">
        <f t="shared" si="24"/>
        <v>0</v>
      </c>
      <c r="AC56" s="28">
        <f t="shared" si="24"/>
        <v>0</v>
      </c>
      <c r="AD56" s="28">
        <f t="shared" si="18"/>
        <v>0.99999999999999989</v>
      </c>
      <c r="AE56" s="62">
        <f>VLOOKUP(A56,Incurred!$A$25:$BP$391,68,FALSE)</f>
        <v>1300079.7525063653</v>
      </c>
      <c r="AF56" s="62">
        <f t="shared" si="21"/>
        <v>114.08</v>
      </c>
      <c r="AG56" s="1" t="s">
        <v>3129</v>
      </c>
    </row>
    <row r="57" spans="1:33" x14ac:dyDescent="0.25">
      <c r="A57" s="12" t="s">
        <v>276</v>
      </c>
      <c r="B57" s="13" t="s">
        <v>3114</v>
      </c>
      <c r="C57" s="3">
        <f>IF(VLOOKUP($A57,Incurred!$A$25:$W$371,C$3,FALSE)="",0,VLOOKUP($A57,Incurred!$A$25:$W$371,C$3,FALSE))+AE57-AF57</f>
        <v>282037.09537892707</v>
      </c>
      <c r="D57" s="3">
        <f>IF(VLOOKUP($A57,Incurred!$A$25:$W$371,D$3,FALSE)="",0,VLOOKUP($A57,Incurred!$A$25:$W$371,D$3,FALSE))+AF57</f>
        <v>0</v>
      </c>
      <c r="F57" s="3">
        <f t="shared" si="12"/>
        <v>282037.09537892707</v>
      </c>
      <c r="G57" s="1">
        <f t="shared" si="8"/>
        <v>2017</v>
      </c>
      <c r="J57" s="28">
        <f t="shared" si="23"/>
        <v>0.41640004020760796</v>
      </c>
      <c r="K57" s="28">
        <f t="shared" si="23"/>
        <v>0</v>
      </c>
      <c r="L57" s="28">
        <f t="shared" si="23"/>
        <v>0</v>
      </c>
      <c r="M57" s="28">
        <f t="shared" si="23"/>
        <v>6.3000006083283627E-2</v>
      </c>
      <c r="N57" s="28">
        <f t="shared" si="23"/>
        <v>0</v>
      </c>
      <c r="O57" s="28">
        <f t="shared" si="23"/>
        <v>0</v>
      </c>
      <c r="P57" s="28">
        <f t="shared" si="23"/>
        <v>0</v>
      </c>
      <c r="Q57" s="28">
        <f t="shared" si="23"/>
        <v>0.52059995370910839</v>
      </c>
      <c r="R57" s="28">
        <f t="shared" si="23"/>
        <v>0</v>
      </c>
      <c r="S57" s="28">
        <f t="shared" si="23"/>
        <v>0</v>
      </c>
      <c r="T57" s="28">
        <f t="shared" si="24"/>
        <v>0</v>
      </c>
      <c r="U57" s="28">
        <f t="shared" si="24"/>
        <v>0</v>
      </c>
      <c r="V57" s="28">
        <f t="shared" si="24"/>
        <v>0</v>
      </c>
      <c r="W57" s="28">
        <f t="shared" si="24"/>
        <v>0</v>
      </c>
      <c r="X57" s="28">
        <f t="shared" si="24"/>
        <v>0</v>
      </c>
      <c r="Y57" s="28">
        <f t="shared" si="24"/>
        <v>0</v>
      </c>
      <c r="Z57" s="28">
        <f t="shared" si="24"/>
        <v>0</v>
      </c>
      <c r="AA57" s="28">
        <f t="shared" si="24"/>
        <v>0</v>
      </c>
      <c r="AB57" s="28">
        <f t="shared" si="24"/>
        <v>0</v>
      </c>
      <c r="AC57" s="28">
        <f t="shared" si="24"/>
        <v>0</v>
      </c>
      <c r="AD57" s="28">
        <f t="shared" si="18"/>
        <v>1</v>
      </c>
      <c r="AE57" s="62">
        <f>VLOOKUP(A57,Incurred!$A$25:$BP$391,68,FALSE)</f>
        <v>282037.09537892707</v>
      </c>
      <c r="AF57" s="62">
        <f t="shared" si="21"/>
        <v>0</v>
      </c>
      <c r="AG57" s="1" t="s">
        <v>3129</v>
      </c>
    </row>
    <row r="58" spans="1:33" x14ac:dyDescent="0.25">
      <c r="A58" s="12" t="s">
        <v>284</v>
      </c>
      <c r="B58" s="13" t="s">
        <v>2378</v>
      </c>
      <c r="C58" s="3">
        <f>IF(VLOOKUP($A58,Incurred!$A$25:$W$371,C$3,FALSE)="",0,VLOOKUP($A58,Incurred!$A$25:$W$371,C$3,FALSE))+AE58-AF58</f>
        <v>85446.718992606038</v>
      </c>
      <c r="D58" s="3">
        <f>IF(VLOOKUP($A58,Incurred!$A$25:$W$371,D$3,FALSE)="",0,VLOOKUP($A58,Incurred!$A$25:$W$371,D$3,FALSE))+AF58</f>
        <v>0</v>
      </c>
      <c r="F58" s="3">
        <f t="shared" si="12"/>
        <v>85446.718992606038</v>
      </c>
      <c r="G58" s="1">
        <f t="shared" si="8"/>
        <v>2017</v>
      </c>
      <c r="J58" s="28">
        <f t="shared" si="23"/>
        <v>0.25080021451402257</v>
      </c>
      <c r="K58" s="28">
        <f t="shared" si="23"/>
        <v>0</v>
      </c>
      <c r="L58" s="28">
        <f t="shared" si="23"/>
        <v>0</v>
      </c>
      <c r="M58" s="28">
        <f t="shared" si="23"/>
        <v>0.6762001185874823</v>
      </c>
      <c r="N58" s="28">
        <f t="shared" si="23"/>
        <v>0</v>
      </c>
      <c r="O58" s="28">
        <f t="shared" si="23"/>
        <v>0</v>
      </c>
      <c r="P58" s="28">
        <f t="shared" si="23"/>
        <v>0</v>
      </c>
      <c r="Q58" s="28">
        <f t="shared" si="23"/>
        <v>7.2999666898495116E-2</v>
      </c>
      <c r="R58" s="28">
        <f t="shared" si="23"/>
        <v>0</v>
      </c>
      <c r="S58" s="28">
        <f t="shared" si="23"/>
        <v>0</v>
      </c>
      <c r="T58" s="28">
        <f t="shared" si="24"/>
        <v>0</v>
      </c>
      <c r="U58" s="28">
        <f t="shared" si="24"/>
        <v>0</v>
      </c>
      <c r="V58" s="28">
        <f t="shared" si="24"/>
        <v>0</v>
      </c>
      <c r="W58" s="28">
        <f t="shared" si="24"/>
        <v>0</v>
      </c>
      <c r="X58" s="28">
        <f t="shared" si="24"/>
        <v>0</v>
      </c>
      <c r="Y58" s="28">
        <f t="shared" si="24"/>
        <v>0</v>
      </c>
      <c r="Z58" s="28">
        <f t="shared" si="24"/>
        <v>0</v>
      </c>
      <c r="AA58" s="28">
        <f t="shared" si="24"/>
        <v>0</v>
      </c>
      <c r="AB58" s="28">
        <f t="shared" si="24"/>
        <v>0</v>
      </c>
      <c r="AC58" s="28">
        <f t="shared" si="24"/>
        <v>0</v>
      </c>
      <c r="AD58" s="28">
        <f t="shared" si="18"/>
        <v>1</v>
      </c>
      <c r="AE58" s="62">
        <f>VLOOKUP(A58,Incurred!$A$25:$BP$391,68,FALSE)</f>
        <v>85446.718992606038</v>
      </c>
      <c r="AF58" s="62">
        <f t="shared" si="21"/>
        <v>0</v>
      </c>
      <c r="AG58" s="1" t="s">
        <v>3129</v>
      </c>
    </row>
    <row r="59" spans="1:33" x14ac:dyDescent="0.25">
      <c r="A59" s="12" t="s">
        <v>285</v>
      </c>
      <c r="B59" s="13" t="s">
        <v>286</v>
      </c>
      <c r="C59" s="3">
        <f>IF(VLOOKUP($A59,Incurred!$A$25:$W$371,C$3,FALSE)="",0,VLOOKUP($A59,Incurred!$A$25:$W$371,C$3,FALSE))+AE59-AF59</f>
        <v>258512.13999999998</v>
      </c>
      <c r="D59" s="3">
        <f>IF(VLOOKUP($A59,Incurred!$A$25:$W$371,D$3,FALSE)="",0,VLOOKUP($A59,Incurred!$A$25:$W$371,D$3,FALSE))+AF59</f>
        <v>88.73</v>
      </c>
      <c r="F59" s="3">
        <f t="shared" ref="F59" si="25">SUM(C59:E59)</f>
        <v>258600.87</v>
      </c>
      <c r="G59" s="1">
        <f t="shared" si="8"/>
        <v>2017</v>
      </c>
      <c r="J59" s="28">
        <f t="shared" ref="J59:S68" si="26">VLOOKUP(MID($A59,4,5),ProjectSplits,J$2,FALSE)</f>
        <v>0</v>
      </c>
      <c r="K59" s="28">
        <f t="shared" si="26"/>
        <v>0</v>
      </c>
      <c r="L59" s="28">
        <f t="shared" si="26"/>
        <v>0</v>
      </c>
      <c r="M59" s="28">
        <f t="shared" si="26"/>
        <v>1.350013968396223E-2</v>
      </c>
      <c r="N59" s="28">
        <f t="shared" si="26"/>
        <v>0</v>
      </c>
      <c r="O59" s="28">
        <f t="shared" si="26"/>
        <v>0</v>
      </c>
      <c r="P59" s="28">
        <f t="shared" si="26"/>
        <v>0</v>
      </c>
      <c r="Q59" s="28">
        <f t="shared" si="26"/>
        <v>0.98649986031603776</v>
      </c>
      <c r="R59" s="28">
        <f t="shared" si="26"/>
        <v>0</v>
      </c>
      <c r="S59" s="28">
        <f t="shared" si="26"/>
        <v>0</v>
      </c>
      <c r="T59" s="28">
        <f t="shared" ref="T59:AC68" si="27">VLOOKUP(MID($A59,4,5),ProjectSplits,T$2,FALSE)</f>
        <v>0</v>
      </c>
      <c r="U59" s="28">
        <f t="shared" si="27"/>
        <v>0</v>
      </c>
      <c r="V59" s="28">
        <f t="shared" si="27"/>
        <v>0</v>
      </c>
      <c r="W59" s="28">
        <f t="shared" si="27"/>
        <v>0</v>
      </c>
      <c r="X59" s="28">
        <f t="shared" si="27"/>
        <v>0</v>
      </c>
      <c r="Y59" s="28">
        <f t="shared" si="27"/>
        <v>0</v>
      </c>
      <c r="Z59" s="28">
        <f t="shared" si="27"/>
        <v>0</v>
      </c>
      <c r="AA59" s="28">
        <f t="shared" si="27"/>
        <v>0</v>
      </c>
      <c r="AB59" s="28">
        <f t="shared" si="27"/>
        <v>0</v>
      </c>
      <c r="AC59" s="28">
        <f t="shared" si="27"/>
        <v>0</v>
      </c>
      <c r="AD59" s="28">
        <f t="shared" ref="AD59" si="28">SUM(J59:AB59)</f>
        <v>1</v>
      </c>
      <c r="AE59" s="62">
        <f>VLOOKUP(A59,Incurred!$A$25:$BP$391,68,FALSE)</f>
        <v>0</v>
      </c>
      <c r="AF59" s="62">
        <f t="shared" si="21"/>
        <v>88.73</v>
      </c>
      <c r="AG59" s="1"/>
    </row>
    <row r="60" spans="1:33" x14ac:dyDescent="0.25">
      <c r="A60" s="12" t="s">
        <v>295</v>
      </c>
      <c r="B60" s="13" t="s">
        <v>296</v>
      </c>
      <c r="C60" s="3">
        <v>0</v>
      </c>
      <c r="D60" s="3">
        <f>IF(VLOOKUP($A60,Incurred!$A$25:$W$371,D$3,FALSE)="",0,VLOOKUP($A60,Incurred!$A$25:$W$371,D$3,FALSE))+AF60</f>
        <v>1101009.5360977447</v>
      </c>
      <c r="F60" s="3">
        <f t="shared" si="12"/>
        <v>1101009.5360977447</v>
      </c>
      <c r="G60" s="1">
        <f t="shared" si="8"/>
        <v>2018</v>
      </c>
      <c r="I60" s="33"/>
      <c r="J60" s="28">
        <f t="shared" si="26"/>
        <v>0</v>
      </c>
      <c r="K60" s="28">
        <f t="shared" si="26"/>
        <v>0</v>
      </c>
      <c r="L60" s="28">
        <f t="shared" si="26"/>
        <v>0</v>
      </c>
      <c r="M60" s="28">
        <f t="shared" si="26"/>
        <v>0</v>
      </c>
      <c r="N60" s="28">
        <f t="shared" si="26"/>
        <v>0.97373609774783831</v>
      </c>
      <c r="O60" s="28">
        <f t="shared" si="26"/>
        <v>0</v>
      </c>
      <c r="P60" s="28">
        <f t="shared" si="26"/>
        <v>0</v>
      </c>
      <c r="Q60" s="28">
        <f t="shared" si="26"/>
        <v>0</v>
      </c>
      <c r="R60" s="28">
        <f t="shared" si="26"/>
        <v>0</v>
      </c>
      <c r="S60" s="28">
        <f t="shared" si="26"/>
        <v>0</v>
      </c>
      <c r="T60" s="28">
        <f t="shared" si="27"/>
        <v>0</v>
      </c>
      <c r="U60" s="28">
        <f t="shared" si="27"/>
        <v>0</v>
      </c>
      <c r="V60" s="28">
        <f t="shared" si="27"/>
        <v>0</v>
      </c>
      <c r="W60" s="28">
        <f t="shared" si="27"/>
        <v>0</v>
      </c>
      <c r="X60" s="28">
        <f t="shared" si="27"/>
        <v>0</v>
      </c>
      <c r="Y60" s="28">
        <f t="shared" si="27"/>
        <v>0</v>
      </c>
      <c r="Z60" s="28">
        <f t="shared" si="27"/>
        <v>2.6263902252161648E-2</v>
      </c>
      <c r="AA60" s="28">
        <f t="shared" si="27"/>
        <v>0</v>
      </c>
      <c r="AB60" s="28">
        <f t="shared" si="27"/>
        <v>0</v>
      </c>
      <c r="AC60" s="28">
        <f t="shared" si="27"/>
        <v>0</v>
      </c>
      <c r="AD60" s="28">
        <f t="shared" si="18"/>
        <v>1</v>
      </c>
      <c r="AE60" s="62">
        <v>0</v>
      </c>
      <c r="AF60" s="62">
        <f t="shared" si="21"/>
        <v>891533.56</v>
      </c>
      <c r="AG60" s="1" t="s">
        <v>3129</v>
      </c>
    </row>
    <row r="61" spans="1:33" x14ac:dyDescent="0.25">
      <c r="A61" s="12" t="s">
        <v>297</v>
      </c>
      <c r="B61" s="13" t="s">
        <v>298</v>
      </c>
      <c r="C61" s="3">
        <f>IF(VLOOKUP($A61,Incurred!$A$25:$W$371,C$3,FALSE)="",0,VLOOKUP($A61,Incurred!$A$25:$W$371,C$3,FALSE))+AE61-AF61</f>
        <v>794180.12</v>
      </c>
      <c r="D61" s="3">
        <f>IF(VLOOKUP($A61,Incurred!$A$25:$W$371,D$3,FALSE)="",0,VLOOKUP($A61,Incurred!$A$25:$W$371,D$3,FALSE))+AF61</f>
        <v>903088.23379070149</v>
      </c>
      <c r="F61" s="3">
        <f t="shared" si="12"/>
        <v>1697268.3537907014</v>
      </c>
      <c r="G61" s="1">
        <f t="shared" si="8"/>
        <v>2017</v>
      </c>
      <c r="J61" s="28">
        <f t="shared" si="26"/>
        <v>0</v>
      </c>
      <c r="K61" s="28">
        <f t="shared" si="26"/>
        <v>0</v>
      </c>
      <c r="L61" s="28">
        <f t="shared" si="26"/>
        <v>0</v>
      </c>
      <c r="M61" s="28">
        <f t="shared" si="26"/>
        <v>0</v>
      </c>
      <c r="N61" s="28">
        <f t="shared" si="26"/>
        <v>0.89185895442031593</v>
      </c>
      <c r="O61" s="28">
        <f t="shared" si="26"/>
        <v>0.10814104557968407</v>
      </c>
      <c r="P61" s="28">
        <f t="shared" si="26"/>
        <v>0</v>
      </c>
      <c r="Q61" s="28">
        <f t="shared" si="26"/>
        <v>0</v>
      </c>
      <c r="R61" s="28">
        <f t="shared" si="26"/>
        <v>0</v>
      </c>
      <c r="S61" s="28">
        <f t="shared" si="26"/>
        <v>0</v>
      </c>
      <c r="T61" s="28">
        <f t="shared" si="27"/>
        <v>0</v>
      </c>
      <c r="U61" s="28">
        <f t="shared" si="27"/>
        <v>0</v>
      </c>
      <c r="V61" s="28">
        <f t="shared" si="27"/>
        <v>0</v>
      </c>
      <c r="W61" s="28">
        <f t="shared" si="27"/>
        <v>0</v>
      </c>
      <c r="X61" s="28">
        <f t="shared" si="27"/>
        <v>0</v>
      </c>
      <c r="Y61" s="28">
        <f t="shared" si="27"/>
        <v>0</v>
      </c>
      <c r="Z61" s="28">
        <f t="shared" si="27"/>
        <v>0</v>
      </c>
      <c r="AA61" s="28">
        <f t="shared" si="27"/>
        <v>0</v>
      </c>
      <c r="AB61" s="28">
        <f t="shared" si="27"/>
        <v>0</v>
      </c>
      <c r="AC61" s="28">
        <f t="shared" si="27"/>
        <v>0</v>
      </c>
      <c r="AD61" s="28">
        <f t="shared" si="18"/>
        <v>1</v>
      </c>
      <c r="AE61" s="62">
        <f>IF(ISNA(VLOOKUP($A61,CWIPF16,3,FALSE)),0,VLOOKUP($A61,CWIPF16,3,FALSE))+13.58</f>
        <v>109241.37</v>
      </c>
      <c r="AF61" s="62">
        <f t="shared" si="21"/>
        <v>13.58</v>
      </c>
      <c r="AG61" s="1"/>
    </row>
    <row r="62" spans="1:33" x14ac:dyDescent="0.25">
      <c r="A62" s="12" t="s">
        <v>304</v>
      </c>
      <c r="B62" s="13" t="s">
        <v>305</v>
      </c>
      <c r="C62" s="3">
        <f>IF(VLOOKUP($A62,Incurred!$A$25:$W$371,C$3,FALSE)="",0,VLOOKUP($A62,Incurred!$A$25:$W$371,C$3,FALSE))+AE62-AF62</f>
        <v>1116.27</v>
      </c>
      <c r="D62" s="3">
        <f>IF(VLOOKUP($A62,Incurred!$A$25:$W$371,D$3,FALSE)="",0,VLOOKUP($A62,Incurred!$A$25:$W$371,D$3,FALSE))+AF62</f>
        <v>0</v>
      </c>
      <c r="F62" s="3">
        <f t="shared" si="12"/>
        <v>1116.27</v>
      </c>
      <c r="G62" s="1">
        <f t="shared" si="8"/>
        <v>2017</v>
      </c>
      <c r="J62" s="28">
        <f t="shared" si="26"/>
        <v>0</v>
      </c>
      <c r="K62" s="28">
        <f t="shared" si="26"/>
        <v>0</v>
      </c>
      <c r="L62" s="28">
        <f t="shared" si="26"/>
        <v>0</v>
      </c>
      <c r="M62" s="28">
        <f t="shared" si="26"/>
        <v>0</v>
      </c>
      <c r="N62" s="28">
        <f t="shared" si="26"/>
        <v>0</v>
      </c>
      <c r="O62" s="28">
        <f t="shared" si="26"/>
        <v>0</v>
      </c>
      <c r="P62" s="28">
        <f t="shared" si="26"/>
        <v>0</v>
      </c>
      <c r="Q62" s="28">
        <f t="shared" si="26"/>
        <v>0</v>
      </c>
      <c r="R62" s="28">
        <f t="shared" si="26"/>
        <v>0</v>
      </c>
      <c r="S62" s="28">
        <f t="shared" si="26"/>
        <v>7.648687145583058E-2</v>
      </c>
      <c r="T62" s="28">
        <f t="shared" si="27"/>
        <v>0</v>
      </c>
      <c r="U62" s="28">
        <f t="shared" si="27"/>
        <v>0</v>
      </c>
      <c r="V62" s="28">
        <f t="shared" si="27"/>
        <v>0</v>
      </c>
      <c r="W62" s="28">
        <f t="shared" si="27"/>
        <v>0</v>
      </c>
      <c r="X62" s="28">
        <f t="shared" si="27"/>
        <v>3.7813432234136905E-2</v>
      </c>
      <c r="Y62" s="28">
        <f t="shared" si="27"/>
        <v>0.88569969631003254</v>
      </c>
      <c r="Z62" s="28">
        <f t="shared" si="27"/>
        <v>0</v>
      </c>
      <c r="AA62" s="28">
        <f t="shared" si="27"/>
        <v>0</v>
      </c>
      <c r="AB62" s="28">
        <f t="shared" si="27"/>
        <v>0</v>
      </c>
      <c r="AC62" s="28">
        <f t="shared" si="27"/>
        <v>0</v>
      </c>
      <c r="AD62" s="28">
        <f t="shared" si="18"/>
        <v>1</v>
      </c>
      <c r="AE62" s="62">
        <f>IF(ISNA(VLOOKUP($A62,CWIPF16,3,FALSE)),0,VLOOKUP($A62,CWIPF16,3,FALSE))</f>
        <v>0</v>
      </c>
      <c r="AF62" s="62">
        <f t="shared" si="21"/>
        <v>0</v>
      </c>
      <c r="AG62" s="1"/>
    </row>
    <row r="63" spans="1:33" x14ac:dyDescent="0.25">
      <c r="A63" s="12" t="s">
        <v>306</v>
      </c>
      <c r="B63" s="13" t="s">
        <v>307</v>
      </c>
      <c r="C63" s="3">
        <f>IF(VLOOKUP($A63,Incurred!$A$25:$W$371,C$3,FALSE)="",0,VLOOKUP($A63,Incurred!$A$25:$W$371,C$3,FALSE))+AE63-AF63</f>
        <v>0</v>
      </c>
      <c r="D63" s="3">
        <f>(IF(VLOOKUP($A63,Incurred!$A$25:$W$371,D$3,FALSE)="",0,VLOOKUP($A63,Incurred!$A$25:$W$371,D$3,FALSE))+AF63)*0.75</f>
        <v>4659733.1544198571</v>
      </c>
      <c r="E63" s="3">
        <f>D63/0.75*0.25*1.025+Incurred!S147+Incurred!T147</f>
        <v>5314207.375111849</v>
      </c>
      <c r="F63" s="3">
        <f t="shared" ref="F63" si="29">SUM(C63:E63)</f>
        <v>9973940.5295317061</v>
      </c>
      <c r="G63" s="1">
        <f t="shared" si="8"/>
        <v>2017</v>
      </c>
      <c r="I63" s="33"/>
      <c r="J63" s="28">
        <f t="shared" si="26"/>
        <v>0</v>
      </c>
      <c r="K63" s="28">
        <f t="shared" si="26"/>
        <v>0</v>
      </c>
      <c r="L63" s="28">
        <f t="shared" si="26"/>
        <v>0</v>
      </c>
      <c r="M63" s="28">
        <f t="shared" si="26"/>
        <v>0</v>
      </c>
      <c r="N63" s="28">
        <f t="shared" si="26"/>
        <v>0</v>
      </c>
      <c r="O63" s="28">
        <f t="shared" si="26"/>
        <v>0</v>
      </c>
      <c r="P63" s="28">
        <f t="shared" si="26"/>
        <v>0</v>
      </c>
      <c r="Q63" s="28">
        <f t="shared" si="26"/>
        <v>0</v>
      </c>
      <c r="R63" s="28">
        <f t="shared" si="26"/>
        <v>0</v>
      </c>
      <c r="S63" s="28">
        <f t="shared" si="26"/>
        <v>0</v>
      </c>
      <c r="T63" s="28">
        <f t="shared" si="27"/>
        <v>0.5</v>
      </c>
      <c r="U63" s="28">
        <f t="shared" si="27"/>
        <v>0.5</v>
      </c>
      <c r="V63" s="28">
        <f t="shared" si="27"/>
        <v>0</v>
      </c>
      <c r="W63" s="28">
        <f t="shared" si="27"/>
        <v>0</v>
      </c>
      <c r="X63" s="28">
        <f t="shared" si="27"/>
        <v>0</v>
      </c>
      <c r="Y63" s="28">
        <f t="shared" si="27"/>
        <v>0</v>
      </c>
      <c r="Z63" s="28">
        <f t="shared" si="27"/>
        <v>0</v>
      </c>
      <c r="AA63" s="28">
        <f t="shared" si="27"/>
        <v>0</v>
      </c>
      <c r="AB63" s="28">
        <f t="shared" si="27"/>
        <v>0</v>
      </c>
      <c r="AC63" s="28">
        <f t="shared" si="27"/>
        <v>0</v>
      </c>
      <c r="AD63" s="28">
        <f t="shared" ref="AD63" si="30">SUM(J63:AB63)</f>
        <v>1</v>
      </c>
      <c r="AE63" s="62">
        <f>IF(ISNA(VLOOKUP($A63,CWIPF16,3,FALSE)),0,VLOOKUP($A63,CWIPF16,3,FALSE))</f>
        <v>87606.14</v>
      </c>
      <c r="AF63" s="62">
        <f t="shared" ref="AF63" si="31">IF(ISNA(VLOOKUP(A63,CWIPF17,3,FALSE)),0,VLOOKUP(A63,CWIPF17,3,FALSE))</f>
        <v>360134.54</v>
      </c>
      <c r="AG63" s="1"/>
    </row>
    <row r="64" spans="1:33" x14ac:dyDescent="0.25">
      <c r="A64" s="12" t="s">
        <v>312</v>
      </c>
      <c r="B64" s="13" t="s">
        <v>313</v>
      </c>
      <c r="C64" s="3">
        <f>IF(VLOOKUP($A64,Incurred!$A$25:$W$371,C$3,FALSE)="",0,VLOOKUP($A64,Incurred!$A$25:$W$371,C$3,FALSE))+AE64-AF64</f>
        <v>372723.37</v>
      </c>
      <c r="D64" s="3">
        <f>IF(VLOOKUP($A64,Incurred!$A$25:$W$371,D$3,FALSE)="",0,VLOOKUP($A64,Incurred!$A$25:$W$371,D$3,FALSE))+AF64</f>
        <v>34828.134154626678</v>
      </c>
      <c r="F64" s="3">
        <f t="shared" si="12"/>
        <v>407551.50415462669</v>
      </c>
      <c r="G64" s="1">
        <f t="shared" si="8"/>
        <v>2017</v>
      </c>
      <c r="J64" s="28">
        <f t="shared" si="26"/>
        <v>0.23145583814612966</v>
      </c>
      <c r="K64" s="28">
        <f t="shared" si="26"/>
        <v>0</v>
      </c>
      <c r="L64" s="28">
        <f t="shared" si="26"/>
        <v>0</v>
      </c>
      <c r="M64" s="28">
        <f t="shared" si="26"/>
        <v>1.4758935024653808E-2</v>
      </c>
      <c r="N64" s="28">
        <f t="shared" si="26"/>
        <v>0</v>
      </c>
      <c r="O64" s="28">
        <f t="shared" si="26"/>
        <v>0</v>
      </c>
      <c r="P64" s="28">
        <f t="shared" si="26"/>
        <v>0</v>
      </c>
      <c r="Q64" s="28">
        <f t="shared" si="26"/>
        <v>0.75378522682921656</v>
      </c>
      <c r="R64" s="28">
        <f t="shared" si="26"/>
        <v>0</v>
      </c>
      <c r="S64" s="28">
        <f t="shared" si="26"/>
        <v>0</v>
      </c>
      <c r="T64" s="28">
        <f t="shared" si="27"/>
        <v>0</v>
      </c>
      <c r="U64" s="28">
        <f t="shared" si="27"/>
        <v>0</v>
      </c>
      <c r="V64" s="28">
        <f t="shared" si="27"/>
        <v>0</v>
      </c>
      <c r="W64" s="28">
        <f t="shared" si="27"/>
        <v>0</v>
      </c>
      <c r="X64" s="28">
        <f t="shared" si="27"/>
        <v>0</v>
      </c>
      <c r="Y64" s="28">
        <f t="shared" si="27"/>
        <v>0</v>
      </c>
      <c r="Z64" s="28">
        <f t="shared" si="27"/>
        <v>0</v>
      </c>
      <c r="AA64" s="28">
        <f t="shared" si="27"/>
        <v>0</v>
      </c>
      <c r="AB64" s="28">
        <f t="shared" si="27"/>
        <v>0</v>
      </c>
      <c r="AC64" s="28">
        <f t="shared" si="27"/>
        <v>0</v>
      </c>
      <c r="AD64" s="28">
        <f t="shared" si="18"/>
        <v>1</v>
      </c>
      <c r="AE64" s="62">
        <f>IF(ISNA(VLOOKUP($A64,CWIPF16,3,FALSE)),0,VLOOKUP($A64,CWIPF16,3,FALSE))</f>
        <v>0</v>
      </c>
      <c r="AF64" s="62">
        <f t="shared" si="21"/>
        <v>2642.78</v>
      </c>
      <c r="AG64" s="1"/>
    </row>
    <row r="65" spans="1:35" x14ac:dyDescent="0.25">
      <c r="A65" s="12" t="s">
        <v>314</v>
      </c>
      <c r="B65" s="13" t="s">
        <v>315</v>
      </c>
      <c r="C65" s="3">
        <f>IF(VLOOKUP($A65,Incurred!$A$25:$W$371,C$3,FALSE)="",0,VLOOKUP($A65,Incurred!$A$25:$W$371,C$3,FALSE))+AE65-AF65</f>
        <v>1122835.1100000001</v>
      </c>
      <c r="D65" s="3">
        <f>IF(VLOOKUP($A65,Incurred!$A$25:$W$371,D$3,FALSE)="",0,VLOOKUP($A65,Incurred!$A$25:$W$371,D$3,FALSE))+AF65</f>
        <v>817839.14333365555</v>
      </c>
      <c r="F65" s="3">
        <f t="shared" si="12"/>
        <v>1940674.2533336557</v>
      </c>
      <c r="G65" s="1">
        <f t="shared" si="8"/>
        <v>2017</v>
      </c>
      <c r="J65" s="28">
        <f t="shared" si="26"/>
        <v>0</v>
      </c>
      <c r="K65" s="28">
        <f t="shared" si="26"/>
        <v>0</v>
      </c>
      <c r="L65" s="28">
        <f t="shared" si="26"/>
        <v>1.5300002508827838E-2</v>
      </c>
      <c r="M65" s="28">
        <f t="shared" si="26"/>
        <v>0</v>
      </c>
      <c r="N65" s="28">
        <f t="shared" si="26"/>
        <v>0</v>
      </c>
      <c r="O65" s="28">
        <f t="shared" si="26"/>
        <v>0</v>
      </c>
      <c r="P65" s="28">
        <f t="shared" si="26"/>
        <v>0</v>
      </c>
      <c r="Q65" s="28">
        <f t="shared" si="26"/>
        <v>0</v>
      </c>
      <c r="R65" s="28">
        <f t="shared" si="26"/>
        <v>0</v>
      </c>
      <c r="S65" s="28">
        <f t="shared" si="26"/>
        <v>1.7399990279961919E-2</v>
      </c>
      <c r="T65" s="28">
        <f t="shared" si="27"/>
        <v>0</v>
      </c>
      <c r="U65" s="28">
        <f t="shared" si="27"/>
        <v>0</v>
      </c>
      <c r="V65" s="28">
        <f t="shared" si="27"/>
        <v>0</v>
      </c>
      <c r="W65" s="28">
        <f t="shared" si="27"/>
        <v>0</v>
      </c>
      <c r="X65" s="28">
        <f t="shared" si="27"/>
        <v>0</v>
      </c>
      <c r="Y65" s="28">
        <f t="shared" si="27"/>
        <v>0.96730000721121023</v>
      </c>
      <c r="Z65" s="28">
        <f t="shared" si="27"/>
        <v>0</v>
      </c>
      <c r="AA65" s="28">
        <f t="shared" si="27"/>
        <v>0</v>
      </c>
      <c r="AB65" s="28">
        <f t="shared" si="27"/>
        <v>0</v>
      </c>
      <c r="AC65" s="28">
        <f t="shared" si="27"/>
        <v>0</v>
      </c>
      <c r="AD65" s="28">
        <f t="shared" si="18"/>
        <v>1</v>
      </c>
      <c r="AE65" s="62">
        <f>IF(ISNA(VLOOKUP($A65,CWIPF16,3,FALSE)),0,VLOOKUP($A65,CWIPF16,3,FALSE))</f>
        <v>0</v>
      </c>
      <c r="AF65" s="62">
        <f t="shared" si="21"/>
        <v>0</v>
      </c>
      <c r="AG65" s="1"/>
    </row>
    <row r="66" spans="1:35" x14ac:dyDescent="0.25">
      <c r="A66" s="12" t="s">
        <v>326</v>
      </c>
      <c r="B66" s="13" t="s">
        <v>2361</v>
      </c>
      <c r="C66" s="3">
        <f>IF(VLOOKUP($A66,Incurred!$A$25:$W$371,C$3,FALSE)="",0,VLOOKUP($A66,Incurred!$A$25:$W$371,C$3,FALSE))+AE66-AF66</f>
        <v>9399.75</v>
      </c>
      <c r="D66" s="3">
        <f>IF(VLOOKUP($A66,Incurred!$A$25:$W$371,D$3,FALSE)="",0,VLOOKUP($A66,Incurred!$A$25:$W$371,D$3,FALSE))+AF66</f>
        <v>0</v>
      </c>
      <c r="F66" s="3">
        <f t="shared" si="12"/>
        <v>9399.75</v>
      </c>
      <c r="G66" s="1">
        <f t="shared" si="8"/>
        <v>2017</v>
      </c>
      <c r="J66" s="28">
        <f t="shared" si="26"/>
        <v>0</v>
      </c>
      <c r="K66" s="28">
        <f t="shared" si="26"/>
        <v>0.2373999308492247</v>
      </c>
      <c r="L66" s="28">
        <f t="shared" si="26"/>
        <v>0.36070321019176044</v>
      </c>
      <c r="M66" s="28">
        <f t="shared" si="26"/>
        <v>0</v>
      </c>
      <c r="N66" s="28">
        <f t="shared" si="26"/>
        <v>0</v>
      </c>
      <c r="O66" s="28">
        <f t="shared" si="26"/>
        <v>0</v>
      </c>
      <c r="P66" s="28">
        <f t="shared" si="26"/>
        <v>0</v>
      </c>
      <c r="Q66" s="28">
        <f t="shared" si="26"/>
        <v>0</v>
      </c>
      <c r="R66" s="28">
        <f t="shared" si="26"/>
        <v>0</v>
      </c>
      <c r="S66" s="28">
        <f t="shared" si="26"/>
        <v>0</v>
      </c>
      <c r="T66" s="28">
        <f t="shared" si="27"/>
        <v>0</v>
      </c>
      <c r="U66" s="28">
        <f t="shared" si="27"/>
        <v>0.32249474720072341</v>
      </c>
      <c r="V66" s="28">
        <f t="shared" si="27"/>
        <v>0</v>
      </c>
      <c r="W66" s="28">
        <f t="shared" si="27"/>
        <v>0</v>
      </c>
      <c r="X66" s="28">
        <f t="shared" si="27"/>
        <v>7.9402111758291427E-2</v>
      </c>
      <c r="Y66" s="28">
        <f t="shared" si="27"/>
        <v>0</v>
      </c>
      <c r="Z66" s="28">
        <f t="shared" si="27"/>
        <v>0</v>
      </c>
      <c r="AA66" s="28">
        <f t="shared" si="27"/>
        <v>0</v>
      </c>
      <c r="AB66" s="28">
        <f t="shared" si="27"/>
        <v>0</v>
      </c>
      <c r="AC66" s="28">
        <f t="shared" si="27"/>
        <v>0</v>
      </c>
      <c r="AD66" s="28">
        <f t="shared" si="18"/>
        <v>1</v>
      </c>
      <c r="AE66" s="62">
        <f>IF(ISNA(VLOOKUP($A66,CWIPF16,3,FALSE)),0,VLOOKUP($A66,CWIPF16,3,FALSE))</f>
        <v>0</v>
      </c>
      <c r="AF66" s="62">
        <f t="shared" si="21"/>
        <v>0</v>
      </c>
      <c r="AG66" s="1"/>
    </row>
    <row r="67" spans="1:35" x14ac:dyDescent="0.25">
      <c r="A67" s="12" t="s">
        <v>327</v>
      </c>
      <c r="B67" s="13" t="s">
        <v>328</v>
      </c>
      <c r="C67" s="3">
        <f>IF(VLOOKUP($A67,Incurred!$A$25:$W$371,C$3,FALSE)="",0,VLOOKUP($A67,Incurred!$A$25:$W$371,C$3,FALSE))+AE67-AF67</f>
        <v>3329184.4315940756</v>
      </c>
      <c r="D67" s="3">
        <f>IF(VLOOKUP($A67,Incurred!$A$25:$W$371,D$3,FALSE)="",0,VLOOKUP($A67,Incurred!$A$25:$W$371,D$3,FALSE))+AF67</f>
        <v>61488.013856208068</v>
      </c>
      <c r="F67" s="3">
        <f t="shared" si="12"/>
        <v>3390672.4454502836</v>
      </c>
      <c r="G67" s="1">
        <f t="shared" si="8"/>
        <v>2017</v>
      </c>
      <c r="J67" s="28">
        <f t="shared" si="26"/>
        <v>0</v>
      </c>
      <c r="K67" s="28">
        <f t="shared" si="26"/>
        <v>0.21770006044922716</v>
      </c>
      <c r="L67" s="28">
        <f t="shared" si="26"/>
        <v>0.50480005056796151</v>
      </c>
      <c r="M67" s="28">
        <f t="shared" si="26"/>
        <v>0</v>
      </c>
      <c r="N67" s="28">
        <f t="shared" si="26"/>
        <v>0</v>
      </c>
      <c r="O67" s="28">
        <f t="shared" si="26"/>
        <v>0</v>
      </c>
      <c r="P67" s="28">
        <f t="shared" si="26"/>
        <v>0</v>
      </c>
      <c r="Q67" s="28">
        <f t="shared" si="26"/>
        <v>0</v>
      </c>
      <c r="R67" s="28">
        <f t="shared" si="26"/>
        <v>0</v>
      </c>
      <c r="S67" s="28">
        <f t="shared" si="26"/>
        <v>0</v>
      </c>
      <c r="T67" s="28">
        <f t="shared" si="27"/>
        <v>0</v>
      </c>
      <c r="U67" s="28">
        <f t="shared" si="27"/>
        <v>0.27749988898281136</v>
      </c>
      <c r="V67" s="28">
        <f t="shared" si="27"/>
        <v>0</v>
      </c>
      <c r="W67" s="28">
        <f t="shared" si="27"/>
        <v>0</v>
      </c>
      <c r="X67" s="28">
        <f t="shared" si="27"/>
        <v>0</v>
      </c>
      <c r="Y67" s="28">
        <f t="shared" si="27"/>
        <v>0</v>
      </c>
      <c r="Z67" s="28">
        <f t="shared" si="27"/>
        <v>0</v>
      </c>
      <c r="AA67" s="28">
        <f t="shared" si="27"/>
        <v>0</v>
      </c>
      <c r="AB67" s="28">
        <f t="shared" si="27"/>
        <v>0</v>
      </c>
      <c r="AC67" s="28">
        <f t="shared" si="27"/>
        <v>0</v>
      </c>
      <c r="AD67" s="28">
        <f t="shared" si="18"/>
        <v>1</v>
      </c>
      <c r="AE67" s="62">
        <f>VLOOKUP(A67,Incurred!$A$25:$BP$391,68,FALSE)</f>
        <v>2592386.2815940753</v>
      </c>
      <c r="AF67" s="62">
        <f t="shared" si="21"/>
        <v>94.63</v>
      </c>
      <c r="AG67" s="1" t="s">
        <v>3129</v>
      </c>
    </row>
    <row r="68" spans="1:35" x14ac:dyDescent="0.25">
      <c r="A68" s="12" t="s">
        <v>329</v>
      </c>
      <c r="B68" s="13" t="s">
        <v>330</v>
      </c>
      <c r="C68" s="3">
        <f>IF(VLOOKUP($A68,Incurred!$A$25:$W$371,C$3,FALSE)="",0,VLOOKUP($A68,Incurred!$A$25:$W$371,C$3,FALSE))+AE68-AF68</f>
        <v>8014159.8071774011</v>
      </c>
      <c r="D68" s="3">
        <f>IF(VLOOKUP($A68,Incurred!$A$25:$W$371,D$3,FALSE)="",0,VLOOKUP($A68,Incurred!$A$25:$W$371,D$3,FALSE))+AF68</f>
        <v>-31284.904020643367</v>
      </c>
      <c r="F68" s="3">
        <f t="shared" si="12"/>
        <v>7982874.9031567574</v>
      </c>
      <c r="G68" s="1">
        <f t="shared" si="8"/>
        <v>2017</v>
      </c>
      <c r="J68" s="28">
        <f t="shared" si="26"/>
        <v>0</v>
      </c>
      <c r="K68" s="28">
        <f t="shared" si="26"/>
        <v>0</v>
      </c>
      <c r="L68" s="28">
        <f t="shared" si="26"/>
        <v>1.0900000170686416E-2</v>
      </c>
      <c r="M68" s="28">
        <f t="shared" si="26"/>
        <v>0</v>
      </c>
      <c r="N68" s="28">
        <f t="shared" si="26"/>
        <v>0</v>
      </c>
      <c r="O68" s="28">
        <f t="shared" si="26"/>
        <v>0</v>
      </c>
      <c r="P68" s="28">
        <f t="shared" si="26"/>
        <v>0</v>
      </c>
      <c r="Q68" s="28">
        <f t="shared" si="26"/>
        <v>0</v>
      </c>
      <c r="R68" s="28">
        <f t="shared" si="26"/>
        <v>0</v>
      </c>
      <c r="S68" s="28">
        <f t="shared" si="26"/>
        <v>0.37900000064883788</v>
      </c>
      <c r="T68" s="28">
        <f t="shared" si="27"/>
        <v>0</v>
      </c>
      <c r="U68" s="28">
        <f t="shared" si="27"/>
        <v>0.3153999994307054</v>
      </c>
      <c r="V68" s="28">
        <f t="shared" si="27"/>
        <v>5.5400001393790359E-2</v>
      </c>
      <c r="W68" s="28">
        <f t="shared" si="27"/>
        <v>0</v>
      </c>
      <c r="X68" s="28">
        <f t="shared" si="27"/>
        <v>0.23929999835598009</v>
      </c>
      <c r="Y68" s="28">
        <f t="shared" si="27"/>
        <v>0</v>
      </c>
      <c r="Z68" s="28">
        <f t="shared" si="27"/>
        <v>0</v>
      </c>
      <c r="AA68" s="28">
        <f t="shared" si="27"/>
        <v>0</v>
      </c>
      <c r="AB68" s="28">
        <f t="shared" si="27"/>
        <v>0</v>
      </c>
      <c r="AC68" s="28">
        <f t="shared" si="27"/>
        <v>0</v>
      </c>
      <c r="AD68" s="28">
        <f t="shared" si="18"/>
        <v>1</v>
      </c>
      <c r="AE68" s="62">
        <f>VLOOKUP(A68,Incurred!$A$25:$BP$391,68,FALSE)</f>
        <v>4906602.9271774013</v>
      </c>
      <c r="AF68" s="62">
        <f t="shared" si="21"/>
        <v>-64.95</v>
      </c>
      <c r="AG68" s="1" t="s">
        <v>3129</v>
      </c>
    </row>
    <row r="69" spans="1:35" x14ac:dyDescent="0.25">
      <c r="A69" s="12" t="s">
        <v>334</v>
      </c>
      <c r="B69" s="13" t="s">
        <v>335</v>
      </c>
      <c r="C69" s="3">
        <f>IF(VLOOKUP($A69,Incurred!$A$25:$W$371,C$3,FALSE)="",0,VLOOKUP($A69,Incurred!$A$25:$W$371,C$3,FALSE))+AE69-AF69</f>
        <v>0</v>
      </c>
      <c r="D69" s="3">
        <f>IF(VLOOKUP($A69,Incurred!$A$25:$W$371,D$3,FALSE)="",0,VLOOKUP($A69,Incurred!$A$25:$W$371,D$3,FALSE))+AF69</f>
        <v>62333.551860996842</v>
      </c>
      <c r="F69" s="3">
        <f t="shared" si="12"/>
        <v>62333.551860996842</v>
      </c>
      <c r="G69" s="1">
        <f t="shared" si="8"/>
        <v>2018</v>
      </c>
      <c r="I69" s="33"/>
      <c r="J69" s="28">
        <f t="shared" ref="J69:S78" si="32">VLOOKUP(MID($A69,4,5),ProjectSplits,J$2,FALSE)</f>
        <v>0</v>
      </c>
      <c r="K69" s="28">
        <f t="shared" si="32"/>
        <v>0</v>
      </c>
      <c r="L69" s="28">
        <f t="shared" si="32"/>
        <v>0</v>
      </c>
      <c r="M69" s="28">
        <f t="shared" si="32"/>
        <v>0</v>
      </c>
      <c r="N69" s="28">
        <f t="shared" si="32"/>
        <v>0</v>
      </c>
      <c r="O69" s="28">
        <f t="shared" si="32"/>
        <v>0</v>
      </c>
      <c r="P69" s="28">
        <f t="shared" si="32"/>
        <v>0</v>
      </c>
      <c r="Q69" s="28">
        <f t="shared" si="32"/>
        <v>0</v>
      </c>
      <c r="R69" s="28">
        <f t="shared" si="32"/>
        <v>0</v>
      </c>
      <c r="S69" s="28">
        <f t="shared" si="32"/>
        <v>0</v>
      </c>
      <c r="T69" s="28">
        <f t="shared" ref="T69:AC78" si="33">VLOOKUP(MID($A69,4,5),ProjectSplits,T$2,FALSE)</f>
        <v>0</v>
      </c>
      <c r="U69" s="28">
        <f t="shared" si="33"/>
        <v>0</v>
      </c>
      <c r="V69" s="28">
        <f t="shared" si="33"/>
        <v>0</v>
      </c>
      <c r="W69" s="28">
        <f t="shared" si="33"/>
        <v>0</v>
      </c>
      <c r="X69" s="28">
        <f t="shared" si="33"/>
        <v>1</v>
      </c>
      <c r="Y69" s="28">
        <f t="shared" si="33"/>
        <v>0</v>
      </c>
      <c r="Z69" s="28">
        <f t="shared" si="33"/>
        <v>0</v>
      </c>
      <c r="AA69" s="28">
        <f t="shared" si="33"/>
        <v>0</v>
      </c>
      <c r="AB69" s="28">
        <f t="shared" si="33"/>
        <v>0</v>
      </c>
      <c r="AC69" s="28">
        <f t="shared" si="33"/>
        <v>0</v>
      </c>
      <c r="AD69" s="28">
        <f t="shared" si="18"/>
        <v>1</v>
      </c>
      <c r="AE69" s="62">
        <f t="shared" ref="AE69:AE78" si="34">IF(ISNA(VLOOKUP($A69,CWIPF16,3,FALSE)),0,VLOOKUP($A69,CWIPF16,3,FALSE))</f>
        <v>0</v>
      </c>
      <c r="AF69" s="62">
        <f t="shared" si="21"/>
        <v>30966.25</v>
      </c>
      <c r="AG69" s="1"/>
    </row>
    <row r="70" spans="1:35" x14ac:dyDescent="0.25">
      <c r="A70" s="12" t="s">
        <v>450</v>
      </c>
      <c r="B70" s="13" t="s">
        <v>451</v>
      </c>
      <c r="C70" s="3">
        <f>IF(VLOOKUP($A70,Incurred!$A$25:$W$371,C$3,FALSE)="",0,VLOOKUP($A70,Incurred!$A$25:$W$371,C$3,FALSE))+AE70-AF70</f>
        <v>-3441.67</v>
      </c>
      <c r="D70" s="3">
        <f>IF(VLOOKUP($A70,Incurred!$A$25:$W$371,D$3,FALSE)="",0,VLOOKUP($A70,Incurred!$A$25:$W$371,D$3,FALSE))+AF70</f>
        <v>0</v>
      </c>
      <c r="F70" s="3">
        <f t="shared" si="12"/>
        <v>-3441.67</v>
      </c>
      <c r="G70" s="1">
        <f t="shared" si="8"/>
        <v>2017</v>
      </c>
      <c r="J70" s="28">
        <f t="shared" si="32"/>
        <v>0</v>
      </c>
      <c r="K70" s="28">
        <f t="shared" si="32"/>
        <v>0</v>
      </c>
      <c r="L70" s="28">
        <f t="shared" si="32"/>
        <v>0</v>
      </c>
      <c r="M70" s="28">
        <f t="shared" si="32"/>
        <v>0</v>
      </c>
      <c r="N70" s="28">
        <f t="shared" si="32"/>
        <v>0</v>
      </c>
      <c r="O70" s="28">
        <f t="shared" si="32"/>
        <v>0</v>
      </c>
      <c r="P70" s="28">
        <f t="shared" si="32"/>
        <v>0</v>
      </c>
      <c r="Q70" s="28">
        <f t="shared" si="32"/>
        <v>0</v>
      </c>
      <c r="R70" s="28">
        <f t="shared" si="32"/>
        <v>0</v>
      </c>
      <c r="S70" s="28">
        <f t="shared" si="32"/>
        <v>0</v>
      </c>
      <c r="T70" s="28">
        <f t="shared" si="33"/>
        <v>0</v>
      </c>
      <c r="U70" s="28">
        <f t="shared" si="33"/>
        <v>0</v>
      </c>
      <c r="V70" s="28">
        <f t="shared" si="33"/>
        <v>0</v>
      </c>
      <c r="W70" s="28">
        <f t="shared" si="33"/>
        <v>0</v>
      </c>
      <c r="X70" s="28">
        <f t="shared" si="33"/>
        <v>1</v>
      </c>
      <c r="Y70" s="28">
        <f t="shared" si="33"/>
        <v>0</v>
      </c>
      <c r="Z70" s="28">
        <f t="shared" si="33"/>
        <v>0</v>
      </c>
      <c r="AA70" s="28">
        <f t="shared" si="33"/>
        <v>0</v>
      </c>
      <c r="AB70" s="28">
        <f t="shared" si="33"/>
        <v>0</v>
      </c>
      <c r="AC70" s="28">
        <f t="shared" si="33"/>
        <v>0</v>
      </c>
      <c r="AD70" s="28">
        <f t="shared" si="18"/>
        <v>1</v>
      </c>
      <c r="AE70" s="62">
        <f t="shared" si="34"/>
        <v>0</v>
      </c>
      <c r="AF70" s="62">
        <f t="shared" si="21"/>
        <v>0</v>
      </c>
      <c r="AG70" s="1"/>
    </row>
    <row r="71" spans="1:35" x14ac:dyDescent="0.25">
      <c r="A71" s="12" t="s">
        <v>475</v>
      </c>
      <c r="B71" s="13" t="s">
        <v>476</v>
      </c>
      <c r="C71" s="3">
        <f>IF(VLOOKUP($A71,Incurred!$A$25:$W$371,C$3,FALSE)="",0,VLOOKUP($A71,Incurred!$A$25:$W$371,C$3,FALSE))+AE71-AF71</f>
        <v>-0.01</v>
      </c>
      <c r="D71" s="3">
        <f>IF(VLOOKUP($A71,Incurred!$A$25:$W$371,D$3,FALSE)="",0,VLOOKUP($A71,Incurred!$A$25:$W$371,D$3,FALSE))+AF71</f>
        <v>0</v>
      </c>
      <c r="F71" s="3">
        <f t="shared" si="12"/>
        <v>-0.01</v>
      </c>
      <c r="G71" s="1">
        <f t="shared" si="8"/>
        <v>2017</v>
      </c>
      <c r="J71" s="28">
        <f t="shared" si="32"/>
        <v>0</v>
      </c>
      <c r="K71" s="28">
        <f t="shared" si="32"/>
        <v>0</v>
      </c>
      <c r="L71" s="28">
        <f t="shared" si="32"/>
        <v>0</v>
      </c>
      <c r="M71" s="28">
        <f t="shared" si="32"/>
        <v>1</v>
      </c>
      <c r="N71" s="28">
        <f t="shared" si="32"/>
        <v>0</v>
      </c>
      <c r="O71" s="28">
        <f t="shared" si="32"/>
        <v>0</v>
      </c>
      <c r="P71" s="28">
        <f t="shared" si="32"/>
        <v>0</v>
      </c>
      <c r="Q71" s="28">
        <f t="shared" si="32"/>
        <v>0</v>
      </c>
      <c r="R71" s="28">
        <f t="shared" si="32"/>
        <v>0</v>
      </c>
      <c r="S71" s="28">
        <f t="shared" si="32"/>
        <v>0</v>
      </c>
      <c r="T71" s="28">
        <f t="shared" si="33"/>
        <v>0</v>
      </c>
      <c r="U71" s="28">
        <f t="shared" si="33"/>
        <v>0</v>
      </c>
      <c r="V71" s="28">
        <f t="shared" si="33"/>
        <v>0</v>
      </c>
      <c r="W71" s="28">
        <f t="shared" si="33"/>
        <v>0</v>
      </c>
      <c r="X71" s="28">
        <f t="shared" si="33"/>
        <v>0</v>
      </c>
      <c r="Y71" s="28">
        <f t="shared" si="33"/>
        <v>0</v>
      </c>
      <c r="Z71" s="28">
        <f t="shared" si="33"/>
        <v>0</v>
      </c>
      <c r="AA71" s="28">
        <f t="shared" si="33"/>
        <v>0</v>
      </c>
      <c r="AB71" s="28">
        <f t="shared" si="33"/>
        <v>0</v>
      </c>
      <c r="AC71" s="28">
        <f t="shared" si="33"/>
        <v>0</v>
      </c>
      <c r="AD71" s="28">
        <f t="shared" si="18"/>
        <v>1</v>
      </c>
      <c r="AE71" s="62">
        <f t="shared" si="34"/>
        <v>0</v>
      </c>
      <c r="AF71" s="62">
        <f t="shared" si="21"/>
        <v>0</v>
      </c>
      <c r="AG71" s="1"/>
    </row>
    <row r="72" spans="1:35" x14ac:dyDescent="0.25">
      <c r="A72" s="12" t="s">
        <v>528</v>
      </c>
      <c r="B72" s="13" t="s">
        <v>529</v>
      </c>
      <c r="C72" s="3">
        <f>IF(VLOOKUP($A72,Incurred!$A$25:$W$371,C$3,FALSE)="",0,VLOOKUP($A72,Incurred!$A$25:$W$371,C$3,FALSE))+AE72-AF72</f>
        <v>172194.47999999998</v>
      </c>
      <c r="D72" s="3">
        <f>IF(VLOOKUP($A72,Incurred!$A$25:$W$371,D$3,FALSE)="",0,VLOOKUP($A72,Incurred!$A$25:$W$371,D$3,FALSE))+AF72</f>
        <v>18384.062481221852</v>
      </c>
      <c r="F72" s="3">
        <f t="shared" si="12"/>
        <v>190578.54248122184</v>
      </c>
      <c r="G72" s="1">
        <f t="shared" si="8"/>
        <v>2017</v>
      </c>
      <c r="J72" s="28">
        <f t="shared" si="32"/>
        <v>1</v>
      </c>
      <c r="K72" s="28">
        <f t="shared" si="32"/>
        <v>0</v>
      </c>
      <c r="L72" s="28">
        <f t="shared" si="32"/>
        <v>0</v>
      </c>
      <c r="M72" s="28">
        <f t="shared" si="32"/>
        <v>0</v>
      </c>
      <c r="N72" s="28">
        <f t="shared" si="32"/>
        <v>0</v>
      </c>
      <c r="O72" s="28">
        <f t="shared" si="32"/>
        <v>0</v>
      </c>
      <c r="P72" s="28">
        <f t="shared" si="32"/>
        <v>0</v>
      </c>
      <c r="Q72" s="28">
        <f t="shared" si="32"/>
        <v>0</v>
      </c>
      <c r="R72" s="28">
        <f t="shared" si="32"/>
        <v>0</v>
      </c>
      <c r="S72" s="28">
        <f t="shared" si="32"/>
        <v>0</v>
      </c>
      <c r="T72" s="28">
        <f t="shared" si="33"/>
        <v>0</v>
      </c>
      <c r="U72" s="28">
        <f t="shared" si="33"/>
        <v>0</v>
      </c>
      <c r="V72" s="28">
        <f t="shared" si="33"/>
        <v>0</v>
      </c>
      <c r="W72" s="28">
        <f t="shared" si="33"/>
        <v>0</v>
      </c>
      <c r="X72" s="28">
        <f t="shared" si="33"/>
        <v>0</v>
      </c>
      <c r="Y72" s="28">
        <f t="shared" si="33"/>
        <v>0</v>
      </c>
      <c r="Z72" s="28">
        <f t="shared" si="33"/>
        <v>0</v>
      </c>
      <c r="AA72" s="28">
        <f t="shared" si="33"/>
        <v>0</v>
      </c>
      <c r="AB72" s="28">
        <f t="shared" si="33"/>
        <v>0</v>
      </c>
      <c r="AC72" s="28">
        <f t="shared" si="33"/>
        <v>0</v>
      </c>
      <c r="AD72" s="28">
        <f t="shared" si="18"/>
        <v>1</v>
      </c>
      <c r="AE72" s="62">
        <f t="shared" si="34"/>
        <v>0</v>
      </c>
      <c r="AF72" s="62">
        <f t="shared" si="21"/>
        <v>87.76</v>
      </c>
      <c r="AG72" s="1"/>
    </row>
    <row r="73" spans="1:35" x14ac:dyDescent="0.25">
      <c r="A73" s="12" t="s">
        <v>530</v>
      </c>
      <c r="B73" s="13" t="s">
        <v>531</v>
      </c>
      <c r="C73" s="3">
        <f>IF(VLOOKUP($A73,Incurred!$A$25:$W$371,C$3,FALSE)="",0,VLOOKUP($A73,Incurred!$A$25:$W$371,C$3,FALSE))+AE73-AF73</f>
        <v>125368.54000000001</v>
      </c>
      <c r="D73" s="3">
        <f>IF(VLOOKUP($A73,Incurred!$A$25:$W$371,D$3,FALSE)="",0,VLOOKUP($A73,Incurred!$A$25:$W$371,D$3,FALSE))+AF73</f>
        <v>8728.1256158825945</v>
      </c>
      <c r="F73" s="3">
        <f t="shared" si="12"/>
        <v>134096.66561588261</v>
      </c>
      <c r="G73" s="1">
        <f t="shared" si="8"/>
        <v>2017</v>
      </c>
      <c r="J73" s="28">
        <f t="shared" si="32"/>
        <v>0</v>
      </c>
      <c r="K73" s="28">
        <f t="shared" si="32"/>
        <v>0</v>
      </c>
      <c r="L73" s="28">
        <f t="shared" si="32"/>
        <v>0</v>
      </c>
      <c r="M73" s="28">
        <f t="shared" si="32"/>
        <v>0</v>
      </c>
      <c r="N73" s="28">
        <f t="shared" si="32"/>
        <v>0</v>
      </c>
      <c r="O73" s="28">
        <f t="shared" si="32"/>
        <v>0</v>
      </c>
      <c r="P73" s="28">
        <f t="shared" si="32"/>
        <v>0</v>
      </c>
      <c r="Q73" s="28">
        <f t="shared" si="32"/>
        <v>1</v>
      </c>
      <c r="R73" s="28">
        <f t="shared" si="32"/>
        <v>0</v>
      </c>
      <c r="S73" s="28">
        <f t="shared" si="32"/>
        <v>0</v>
      </c>
      <c r="T73" s="28">
        <f t="shared" si="33"/>
        <v>0</v>
      </c>
      <c r="U73" s="28">
        <f t="shared" si="33"/>
        <v>0</v>
      </c>
      <c r="V73" s="28">
        <f t="shared" si="33"/>
        <v>0</v>
      </c>
      <c r="W73" s="28">
        <f t="shared" si="33"/>
        <v>0</v>
      </c>
      <c r="X73" s="28">
        <f t="shared" si="33"/>
        <v>0</v>
      </c>
      <c r="Y73" s="28">
        <f t="shared" si="33"/>
        <v>0</v>
      </c>
      <c r="Z73" s="28">
        <f t="shared" si="33"/>
        <v>0</v>
      </c>
      <c r="AA73" s="28">
        <f t="shared" si="33"/>
        <v>0</v>
      </c>
      <c r="AB73" s="28">
        <f t="shared" si="33"/>
        <v>0</v>
      </c>
      <c r="AC73" s="28">
        <f t="shared" si="33"/>
        <v>0</v>
      </c>
      <c r="AD73" s="28">
        <f t="shared" si="18"/>
        <v>1</v>
      </c>
      <c r="AE73" s="62">
        <f t="shared" si="34"/>
        <v>0</v>
      </c>
      <c r="AF73" s="62">
        <f t="shared" si="21"/>
        <v>87.76</v>
      </c>
      <c r="AG73" s="1"/>
    </row>
    <row r="74" spans="1:35" x14ac:dyDescent="0.25">
      <c r="A74" s="12" t="s">
        <v>588</v>
      </c>
      <c r="B74" s="13" t="s">
        <v>2390</v>
      </c>
      <c r="C74" s="3">
        <f>IF(VLOOKUP($A74,Incurred!$A$25:$W$371,C$3,FALSE)="",0,VLOOKUP($A74,Incurred!$A$25:$W$371,C$3,FALSE))+AE74-AF74</f>
        <v>163.02000000000001</v>
      </c>
      <c r="D74" s="3">
        <f>IF(VLOOKUP($A74,Incurred!$A$25:$W$371,D$3,FALSE)="",0,VLOOKUP($A74,Incurred!$A$25:$W$371,D$3,FALSE))+AF74</f>
        <v>0</v>
      </c>
      <c r="F74" s="3">
        <f t="shared" si="12"/>
        <v>163.02000000000001</v>
      </c>
      <c r="G74" s="1">
        <f t="shared" si="8"/>
        <v>2017</v>
      </c>
      <c r="J74" s="28">
        <f t="shared" si="32"/>
        <v>0.31017773461918163</v>
      </c>
      <c r="K74" s="28">
        <f t="shared" si="32"/>
        <v>0</v>
      </c>
      <c r="L74" s="28">
        <f t="shared" si="32"/>
        <v>0</v>
      </c>
      <c r="M74" s="28">
        <f t="shared" si="32"/>
        <v>0.13864189454261708</v>
      </c>
      <c r="N74" s="28">
        <f t="shared" si="32"/>
        <v>0</v>
      </c>
      <c r="O74" s="28">
        <f t="shared" si="32"/>
        <v>0</v>
      </c>
      <c r="P74" s="28">
        <f t="shared" si="32"/>
        <v>0</v>
      </c>
      <c r="Q74" s="28">
        <f t="shared" si="32"/>
        <v>0.55118037083820126</v>
      </c>
      <c r="R74" s="28">
        <f t="shared" si="32"/>
        <v>0</v>
      </c>
      <c r="S74" s="28">
        <f t="shared" si="32"/>
        <v>0</v>
      </c>
      <c r="T74" s="28">
        <f t="shared" si="33"/>
        <v>0</v>
      </c>
      <c r="U74" s="28">
        <f t="shared" si="33"/>
        <v>0</v>
      </c>
      <c r="V74" s="28">
        <f t="shared" si="33"/>
        <v>0</v>
      </c>
      <c r="W74" s="28">
        <f t="shared" si="33"/>
        <v>0</v>
      </c>
      <c r="X74" s="28">
        <f t="shared" si="33"/>
        <v>0</v>
      </c>
      <c r="Y74" s="28">
        <f t="shared" si="33"/>
        <v>0</v>
      </c>
      <c r="Z74" s="28">
        <f t="shared" si="33"/>
        <v>0</v>
      </c>
      <c r="AA74" s="28">
        <f t="shared" si="33"/>
        <v>0</v>
      </c>
      <c r="AB74" s="28">
        <f t="shared" si="33"/>
        <v>0</v>
      </c>
      <c r="AC74" s="28">
        <f t="shared" si="33"/>
        <v>0</v>
      </c>
      <c r="AD74" s="28">
        <f t="shared" si="18"/>
        <v>1</v>
      </c>
      <c r="AE74" s="62">
        <f t="shared" si="34"/>
        <v>0</v>
      </c>
      <c r="AF74" s="62">
        <f t="shared" si="21"/>
        <v>0</v>
      </c>
      <c r="AG74" s="1"/>
    </row>
    <row r="75" spans="1:35" x14ac:dyDescent="0.25">
      <c r="A75" s="12" t="s">
        <v>346</v>
      </c>
      <c r="B75" s="13" t="s">
        <v>2302</v>
      </c>
      <c r="C75" s="3">
        <v>0</v>
      </c>
      <c r="D75" s="3">
        <f>IF(VLOOKUP($A75,Incurred!$A$25:$W$371,D$3,FALSE)="",0,VLOOKUP($A75,Incurred!$A$25:$W$371,D$3,FALSE))+AF75</f>
        <v>1572441.889945688</v>
      </c>
      <c r="E75" s="3">
        <f>IF(VLOOKUP($A75,Incurred!$A$25:$W$371,E$3,FALSE)="",0,VLOOKUP($A75,Incurred!$A$25:$W$371,E$3,FALSE))</f>
        <v>296275.19754431408</v>
      </c>
      <c r="F75" s="3">
        <f t="shared" si="12"/>
        <v>1868717.0874900022</v>
      </c>
      <c r="G75" s="1">
        <f t="shared" si="8"/>
        <v>2017</v>
      </c>
      <c r="J75" s="28">
        <f t="shared" si="32"/>
        <v>0</v>
      </c>
      <c r="K75" s="28">
        <f t="shared" si="32"/>
        <v>0</v>
      </c>
      <c r="L75" s="28">
        <f t="shared" si="32"/>
        <v>0</v>
      </c>
      <c r="M75" s="28">
        <f t="shared" si="32"/>
        <v>1</v>
      </c>
      <c r="N75" s="28">
        <f t="shared" si="32"/>
        <v>0</v>
      </c>
      <c r="O75" s="28">
        <f t="shared" si="32"/>
        <v>0</v>
      </c>
      <c r="P75" s="28">
        <f t="shared" si="32"/>
        <v>0</v>
      </c>
      <c r="Q75" s="28">
        <f t="shared" si="32"/>
        <v>0</v>
      </c>
      <c r="R75" s="28">
        <f t="shared" si="32"/>
        <v>0</v>
      </c>
      <c r="S75" s="28">
        <f t="shared" si="32"/>
        <v>0</v>
      </c>
      <c r="T75" s="28">
        <f t="shared" si="33"/>
        <v>0</v>
      </c>
      <c r="U75" s="28">
        <f t="shared" si="33"/>
        <v>0</v>
      </c>
      <c r="V75" s="28">
        <f t="shared" si="33"/>
        <v>0</v>
      </c>
      <c r="W75" s="28">
        <f t="shared" si="33"/>
        <v>0</v>
      </c>
      <c r="X75" s="28">
        <f t="shared" si="33"/>
        <v>0</v>
      </c>
      <c r="Y75" s="28">
        <f t="shared" si="33"/>
        <v>0</v>
      </c>
      <c r="Z75" s="28">
        <f t="shared" si="33"/>
        <v>0</v>
      </c>
      <c r="AA75" s="28">
        <f t="shared" si="33"/>
        <v>0</v>
      </c>
      <c r="AB75" s="28">
        <f t="shared" si="33"/>
        <v>0</v>
      </c>
      <c r="AC75" s="28">
        <f t="shared" si="33"/>
        <v>0</v>
      </c>
      <c r="AD75" s="28">
        <f t="shared" si="18"/>
        <v>1</v>
      </c>
      <c r="AE75" s="62">
        <f t="shared" si="34"/>
        <v>0</v>
      </c>
      <c r="AF75" s="62">
        <f>IF(ISNA(VLOOKUP(A75,CWIPF17,3,FALSE)),0,VLOOKUP(A75,CWIPF17,3,FALSE))*1.025</f>
        <v>1393943.0714999998</v>
      </c>
      <c r="AG75" s="1"/>
      <c r="AI75" s="3"/>
    </row>
    <row r="76" spans="1:35" x14ac:dyDescent="0.25">
      <c r="A76" s="12" t="s">
        <v>573</v>
      </c>
      <c r="B76" s="13" t="s">
        <v>2322</v>
      </c>
      <c r="C76" s="3">
        <f>IF(VLOOKUP($A76,Incurred!$A$25:$W$371,C$3,FALSE)="",0,VLOOKUP($A76,Incurred!$A$25:$W$371,C$3,FALSE))+AE76-AF76</f>
        <v>0</v>
      </c>
      <c r="D76" s="3">
        <f>IF(VLOOKUP($A76,Incurred!$A$25:$W$371,D$3,FALSE)="",0,VLOOKUP($A76,Incurred!$A$25:$W$371,D$3,FALSE))+AF76</f>
        <v>353386.06145674526</v>
      </c>
      <c r="E76" s="3">
        <f>IF(VLOOKUP($A76,Incurred!$A$25:$W$371,E$3,FALSE)="",0,VLOOKUP($A76,Incurred!$A$25:$W$371,E$3,FALSE))</f>
        <v>2445.3661246369884</v>
      </c>
      <c r="F76" s="3">
        <f t="shared" si="12"/>
        <v>355831.42758138222</v>
      </c>
      <c r="G76" s="1">
        <f t="shared" si="8"/>
        <v>2017</v>
      </c>
      <c r="J76" s="28">
        <f t="shared" si="32"/>
        <v>0</v>
      </c>
      <c r="K76" s="28">
        <f t="shared" si="32"/>
        <v>0</v>
      </c>
      <c r="L76" s="28">
        <f t="shared" si="32"/>
        <v>0</v>
      </c>
      <c r="M76" s="28">
        <f t="shared" si="32"/>
        <v>1</v>
      </c>
      <c r="N76" s="28">
        <f t="shared" si="32"/>
        <v>0</v>
      </c>
      <c r="O76" s="28">
        <f t="shared" si="32"/>
        <v>0</v>
      </c>
      <c r="P76" s="28">
        <f t="shared" si="32"/>
        <v>0</v>
      </c>
      <c r="Q76" s="28">
        <f t="shared" si="32"/>
        <v>0</v>
      </c>
      <c r="R76" s="28">
        <f t="shared" si="32"/>
        <v>0</v>
      </c>
      <c r="S76" s="28">
        <f t="shared" si="32"/>
        <v>0</v>
      </c>
      <c r="T76" s="28">
        <f t="shared" si="33"/>
        <v>0</v>
      </c>
      <c r="U76" s="28">
        <f t="shared" si="33"/>
        <v>0</v>
      </c>
      <c r="V76" s="28">
        <f t="shared" si="33"/>
        <v>0</v>
      </c>
      <c r="W76" s="28">
        <f t="shared" si="33"/>
        <v>0</v>
      </c>
      <c r="X76" s="28">
        <f t="shared" si="33"/>
        <v>0</v>
      </c>
      <c r="Y76" s="28">
        <f t="shared" si="33"/>
        <v>0</v>
      </c>
      <c r="Z76" s="28">
        <f t="shared" si="33"/>
        <v>0</v>
      </c>
      <c r="AA76" s="28">
        <f t="shared" si="33"/>
        <v>0</v>
      </c>
      <c r="AB76" s="28">
        <f t="shared" si="33"/>
        <v>0</v>
      </c>
      <c r="AC76" s="28">
        <f t="shared" si="33"/>
        <v>0</v>
      </c>
      <c r="AD76" s="28">
        <f t="shared" si="18"/>
        <v>1</v>
      </c>
      <c r="AE76" s="62">
        <f t="shared" si="34"/>
        <v>0</v>
      </c>
      <c r="AF76" s="62">
        <f>IF(ISNA(VLOOKUP(A76,CWIPF17,3,FALSE)),0,VLOOKUP(A76,CWIPF17,3,FALSE))*1.025</f>
        <v>0</v>
      </c>
      <c r="AG76" s="1"/>
    </row>
    <row r="77" spans="1:35" x14ac:dyDescent="0.25">
      <c r="A77" s="12" t="s">
        <v>586</v>
      </c>
      <c r="B77" s="13" t="s">
        <v>587</v>
      </c>
      <c r="C77" s="3">
        <v>0</v>
      </c>
      <c r="D77" s="3">
        <f>IF(VLOOKUP($A77,Incurred!$A$25:$W$371,D$3,FALSE)="",0,VLOOKUP($A77,Incurred!$A$25:$W$371,D$3,FALSE))+AF77</f>
        <v>1127891.0753402528</v>
      </c>
      <c r="E77" s="3">
        <f>IF(VLOOKUP($A77,Incurred!$A$25:$W$371,E$3,FALSE)="",0,VLOOKUP($A77,Incurred!$A$25:$W$371,E$3,FALSE))</f>
        <v>124096.22994468972</v>
      </c>
      <c r="F77" s="3">
        <f t="shared" si="12"/>
        <v>1251987.3052849425</v>
      </c>
      <c r="G77" s="1">
        <f t="shared" si="8"/>
        <v>2017</v>
      </c>
      <c r="J77" s="28">
        <f t="shared" si="32"/>
        <v>0</v>
      </c>
      <c r="K77" s="28">
        <f t="shared" si="32"/>
        <v>0</v>
      </c>
      <c r="L77" s="28">
        <f t="shared" si="32"/>
        <v>0</v>
      </c>
      <c r="M77" s="28">
        <f t="shared" si="32"/>
        <v>1</v>
      </c>
      <c r="N77" s="28">
        <f t="shared" si="32"/>
        <v>0</v>
      </c>
      <c r="O77" s="28">
        <f t="shared" si="32"/>
        <v>0</v>
      </c>
      <c r="P77" s="28">
        <f t="shared" si="32"/>
        <v>0</v>
      </c>
      <c r="Q77" s="28">
        <f t="shared" si="32"/>
        <v>0</v>
      </c>
      <c r="R77" s="28">
        <f t="shared" si="32"/>
        <v>0</v>
      </c>
      <c r="S77" s="28">
        <f t="shared" si="32"/>
        <v>0</v>
      </c>
      <c r="T77" s="28">
        <f t="shared" si="33"/>
        <v>0</v>
      </c>
      <c r="U77" s="28">
        <f t="shared" si="33"/>
        <v>0</v>
      </c>
      <c r="V77" s="28">
        <f t="shared" si="33"/>
        <v>0</v>
      </c>
      <c r="W77" s="28">
        <f t="shared" si="33"/>
        <v>0</v>
      </c>
      <c r="X77" s="28">
        <f t="shared" si="33"/>
        <v>0</v>
      </c>
      <c r="Y77" s="28">
        <f t="shared" si="33"/>
        <v>0</v>
      </c>
      <c r="Z77" s="28">
        <f t="shared" si="33"/>
        <v>0</v>
      </c>
      <c r="AA77" s="28">
        <f t="shared" si="33"/>
        <v>0</v>
      </c>
      <c r="AB77" s="28">
        <f t="shared" si="33"/>
        <v>0</v>
      </c>
      <c r="AC77" s="28">
        <f t="shared" si="33"/>
        <v>0</v>
      </c>
      <c r="AD77" s="28">
        <f t="shared" si="18"/>
        <v>1</v>
      </c>
      <c r="AE77" s="62">
        <f t="shared" si="34"/>
        <v>0</v>
      </c>
      <c r="AF77" s="62">
        <f>IF(ISNA(VLOOKUP(A77,CWIPF17,3,FALSE)),0,VLOOKUP(A77,CWIPF17,3,FALSE))*1.025</f>
        <v>444444.99174999993</v>
      </c>
      <c r="AG77" s="1"/>
      <c r="AI77" s="3"/>
    </row>
    <row r="78" spans="1:35" x14ac:dyDescent="0.25">
      <c r="A78" s="12" t="s">
        <v>2433</v>
      </c>
      <c r="B78" s="13" t="s">
        <v>2434</v>
      </c>
      <c r="C78" s="3">
        <f>IF(VLOOKUP($A78,Incurred!$A$25:$W$371,C$3,FALSE)="",0,VLOOKUP($A78,Incurred!$A$25:$W$371,C$3,FALSE))+AE78-AF78</f>
        <v>115672.59</v>
      </c>
      <c r="D78" s="3">
        <f>IF(VLOOKUP($A78,Incurred!$A$25:$W$371,D$3,FALSE)="",0,VLOOKUP($A78,Incurred!$A$25:$W$371,D$3,FALSE))+AF78</f>
        <v>13224.75805028069</v>
      </c>
      <c r="E78" s="3">
        <f>IF(VLOOKUP($A78,Incurred!$A$25:$W$371,E$3,FALSE)="",0,VLOOKUP($A78,Incurred!$A$25:$W$371,E$3,FALSE))</f>
        <v>0</v>
      </c>
      <c r="F78" s="3">
        <f t="shared" si="12"/>
        <v>128897.34805028069</v>
      </c>
      <c r="G78" s="1">
        <f t="shared" si="8"/>
        <v>2017</v>
      </c>
      <c r="J78" s="28">
        <f t="shared" si="32"/>
        <v>0</v>
      </c>
      <c r="K78" s="28">
        <f t="shared" si="32"/>
        <v>0</v>
      </c>
      <c r="L78" s="28">
        <f t="shared" si="32"/>
        <v>0</v>
      </c>
      <c r="M78" s="28">
        <f t="shared" si="32"/>
        <v>0</v>
      </c>
      <c r="N78" s="28">
        <f t="shared" si="32"/>
        <v>0</v>
      </c>
      <c r="O78" s="28">
        <f t="shared" si="32"/>
        <v>0</v>
      </c>
      <c r="P78" s="28">
        <f t="shared" si="32"/>
        <v>0</v>
      </c>
      <c r="Q78" s="28">
        <f t="shared" si="32"/>
        <v>1</v>
      </c>
      <c r="R78" s="28">
        <f t="shared" si="32"/>
        <v>0</v>
      </c>
      <c r="S78" s="28">
        <f t="shared" si="32"/>
        <v>0</v>
      </c>
      <c r="T78" s="28">
        <f t="shared" si="33"/>
        <v>0</v>
      </c>
      <c r="U78" s="28">
        <f t="shared" si="33"/>
        <v>0</v>
      </c>
      <c r="V78" s="28">
        <f t="shared" si="33"/>
        <v>0</v>
      </c>
      <c r="W78" s="28">
        <f t="shared" si="33"/>
        <v>0</v>
      </c>
      <c r="X78" s="28">
        <f t="shared" si="33"/>
        <v>0</v>
      </c>
      <c r="Y78" s="28">
        <f t="shared" si="33"/>
        <v>0</v>
      </c>
      <c r="Z78" s="28">
        <f t="shared" si="33"/>
        <v>0</v>
      </c>
      <c r="AA78" s="28">
        <f t="shared" si="33"/>
        <v>0</v>
      </c>
      <c r="AB78" s="28">
        <f t="shared" si="33"/>
        <v>0</v>
      </c>
      <c r="AC78" s="28">
        <f t="shared" si="33"/>
        <v>0</v>
      </c>
      <c r="AD78" s="28">
        <f t="shared" si="18"/>
        <v>1</v>
      </c>
      <c r="AE78" s="62">
        <f t="shared" si="34"/>
        <v>0</v>
      </c>
      <c r="AF78" s="62">
        <f>IF(ISNA(VLOOKUP(A78,CWIPF17,3,FALSE)),0,VLOOKUP(A78,CWIPF17,3,FALSE))*1.025</f>
        <v>0</v>
      </c>
      <c r="AG78" s="1"/>
    </row>
    <row r="80" spans="1:35" x14ac:dyDescent="0.25">
      <c r="C80" s="720">
        <f>SUM(C19:C79)</f>
        <v>104245799.09245031</v>
      </c>
      <c r="D80" s="720">
        <f t="shared" ref="D80:E80" si="35">SUM(D19:D79)</f>
        <v>16408798.660686556</v>
      </c>
      <c r="E80" s="720">
        <f t="shared" si="35"/>
        <v>5737024.1687254906</v>
      </c>
    </row>
  </sheetData>
  <autoFilter ref="A18:AG78"/>
  <pageMargins left="0.48" right="0.17" top="0.75" bottom="0.75" header="0.3" footer="0.3"/>
  <pageSetup paperSize="9" scale="82" orientation="portrait" r:id="rId1"/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40"/>
  <sheetViews>
    <sheetView zoomScale="80" zoomScaleNormal="80" workbookViewId="0"/>
  </sheetViews>
  <sheetFormatPr defaultRowHeight="15" x14ac:dyDescent="0.25"/>
  <cols>
    <col min="1" max="2" width="12.42578125" bestFit="1" customWidth="1"/>
    <col min="3" max="3" width="17.5703125" customWidth="1"/>
    <col min="4" max="4" width="14.28515625" customWidth="1"/>
    <col min="5" max="5" width="13" bestFit="1" customWidth="1"/>
    <col min="6" max="8" width="12.42578125" customWidth="1"/>
    <col min="9" max="9" width="30.5703125" customWidth="1"/>
    <col min="10" max="10" width="11.5703125" customWidth="1"/>
    <col min="11" max="11" width="42.28515625" bestFit="1" customWidth="1"/>
    <col min="12" max="12" width="16.28515625" customWidth="1"/>
    <col min="13" max="13" width="10.5703125" customWidth="1"/>
    <col min="14" max="14" width="15" bestFit="1" customWidth="1"/>
    <col min="15" max="15" width="42.85546875" bestFit="1" customWidth="1"/>
    <col min="16" max="16" width="13.140625" bestFit="1" customWidth="1"/>
    <col min="18" max="18" width="10.5703125" bestFit="1" customWidth="1"/>
    <col min="19" max="19" width="42.7109375" bestFit="1" customWidth="1"/>
    <col min="20" max="20" width="12.42578125" bestFit="1" customWidth="1"/>
    <col min="21" max="21" width="11.42578125" bestFit="1" customWidth="1"/>
  </cols>
  <sheetData>
    <row r="1" spans="1:21" x14ac:dyDescent="0.25">
      <c r="A1" t="s">
        <v>3073</v>
      </c>
      <c r="B1" t="s">
        <v>3074</v>
      </c>
    </row>
    <row r="2" spans="1:21" ht="23.25" x14ac:dyDescent="0.25">
      <c r="G2" s="721" t="s">
        <v>3108</v>
      </c>
      <c r="H2" s="724">
        <v>-1157783.1064472795</v>
      </c>
    </row>
    <row r="3" spans="1:21" x14ac:dyDescent="0.25">
      <c r="G3" s="722">
        <f>SUM(G5:G76)</f>
        <v>179338671.53404188</v>
      </c>
      <c r="H3" s="722"/>
      <c r="K3" t="s">
        <v>3128</v>
      </c>
      <c r="L3" s="706">
        <f>SUM(L5:L117)</f>
        <v>239325269.28</v>
      </c>
      <c r="O3" t="s">
        <v>3116</v>
      </c>
      <c r="P3" s="706">
        <f>SUM(P5:P139)</f>
        <v>215187395.17999992</v>
      </c>
      <c r="R3" t="s">
        <v>3109</v>
      </c>
    </row>
    <row r="4" spans="1:21" ht="31.5" x14ac:dyDescent="0.25">
      <c r="A4" s="715" t="s">
        <v>3073</v>
      </c>
      <c r="B4" s="715" t="s">
        <v>3074</v>
      </c>
      <c r="C4" s="716" t="s">
        <v>2744</v>
      </c>
      <c r="D4" s="716" t="s">
        <v>3011</v>
      </c>
      <c r="E4" t="s">
        <v>3104</v>
      </c>
      <c r="G4" s="723" t="s">
        <v>3106</v>
      </c>
      <c r="H4" s="723" t="s">
        <v>3107</v>
      </c>
      <c r="J4" s="711" t="s">
        <v>3075</v>
      </c>
      <c r="K4" s="711" t="s">
        <v>999</v>
      </c>
      <c r="L4" s="711" t="s">
        <v>3076</v>
      </c>
      <c r="N4" s="711" t="s">
        <v>3075</v>
      </c>
      <c r="O4" s="711" t="s">
        <v>999</v>
      </c>
      <c r="P4" s="711" t="s">
        <v>3076</v>
      </c>
      <c r="R4" s="9" t="s">
        <v>20</v>
      </c>
      <c r="S4" s="10" t="s">
        <v>21</v>
      </c>
      <c r="T4" s="29" t="s">
        <v>3105</v>
      </c>
    </row>
    <row r="5" spans="1:21" x14ac:dyDescent="0.25">
      <c r="A5" s="708" t="s">
        <v>34</v>
      </c>
      <c r="B5" s="706">
        <v>35777421.269999996</v>
      </c>
      <c r="C5" s="706">
        <f>IF(ISNA(VLOOKUP(A5,Commissioned!$A$18:$J$283,3,FALSE)),0,VLOOKUP(A5,Commissioned!$A$18:$J$283,3,FALSE))</f>
        <v>0</v>
      </c>
      <c r="D5" s="706">
        <f>IF(ISNA(VLOOKUP(A5,'Commissioned Extra'!_xlnm.Print_Area,3,FALSE)),0,VLOOKUP(A5,'Commissioned Extra'!_xlnm.Print_Area,3,FALSE))</f>
        <v>36716774.015721038</v>
      </c>
      <c r="E5">
        <f>IF(ISNA(VLOOKUP(A5,$N$4:$P$139,3,FALSE)),0,VLOOKUP(A5,$N$4:$P$139,3,FALSE))</f>
        <v>0</v>
      </c>
      <c r="F5" s="706">
        <f>B5-SUM(C5:E5)</f>
        <v>-939352.74572104216</v>
      </c>
      <c r="G5" s="706">
        <f>SUMIFS($T$5:$T$84,$R$5:$R$84,A5)</f>
        <v>36575720.640835486</v>
      </c>
      <c r="H5" s="706">
        <f>G5-B5</f>
        <v>798299.37083549052</v>
      </c>
      <c r="J5" s="727" t="s">
        <v>25</v>
      </c>
      <c r="K5" s="731" t="s">
        <v>26</v>
      </c>
      <c r="L5" s="734">
        <v>354909.36</v>
      </c>
      <c r="N5" s="712" t="s">
        <v>25</v>
      </c>
      <c r="O5" s="713" t="s">
        <v>26</v>
      </c>
      <c r="P5" s="714">
        <v>483116.56</v>
      </c>
      <c r="R5" s="12" t="s">
        <v>34</v>
      </c>
      <c r="S5" s="13" t="s">
        <v>35</v>
      </c>
      <c r="T5" s="15">
        <v>36575720.640835486</v>
      </c>
      <c r="U5" s="720"/>
    </row>
    <row r="6" spans="1:21" x14ac:dyDescent="0.25">
      <c r="A6" s="708" t="s">
        <v>46</v>
      </c>
      <c r="B6" s="706">
        <v>49626.889999999985</v>
      </c>
      <c r="C6" s="706">
        <f>IF(ISNA(VLOOKUP(A6,Commissioned!$A$18:$J$283,3,FALSE)),0,VLOOKUP(A6,Commissioned!$A$18:$J$283,3,FALSE))</f>
        <v>0</v>
      </c>
      <c r="D6" s="706">
        <f>IF(ISNA(VLOOKUP(A6,'Commissioned Extra'!_xlnm.Print_Area,3,FALSE)),0,VLOOKUP(A6,'Commissioned Extra'!_xlnm.Print_Area,3,FALSE))</f>
        <v>49626.89</v>
      </c>
      <c r="E6">
        <f t="shared" ref="E6:E69" si="0">IF(ISNA(VLOOKUP(A6,$N$4:$P$139,3,FALSE)),0,VLOOKUP(A6,$N$4:$P$139,3,FALSE))</f>
        <v>0</v>
      </c>
      <c r="F6" s="706">
        <f t="shared" ref="F6:F69" si="1">B6-SUM(C6:E6)</f>
        <v>0</v>
      </c>
      <c r="G6" s="706">
        <f t="shared" ref="G6:G69" si="2">SUMIFS($T$5:$T$84,$R$5:$R$84,A6)</f>
        <v>46740.89</v>
      </c>
      <c r="H6" s="706">
        <f t="shared" ref="H6:H69" si="3">G6-B6</f>
        <v>-2885.9999999999854</v>
      </c>
      <c r="J6" s="728" t="s">
        <v>34</v>
      </c>
      <c r="K6" s="713" t="s">
        <v>3120</v>
      </c>
      <c r="L6" s="714">
        <v>32409076.449999999</v>
      </c>
      <c r="N6" s="712" t="s">
        <v>37</v>
      </c>
      <c r="O6" s="713" t="s">
        <v>38</v>
      </c>
      <c r="P6" s="714">
        <v>673227.09</v>
      </c>
      <c r="R6" s="12" t="s">
        <v>46</v>
      </c>
      <c r="S6" s="13" t="s">
        <v>47</v>
      </c>
      <c r="T6" s="15">
        <v>46740.89</v>
      </c>
      <c r="U6" s="720"/>
    </row>
    <row r="7" spans="1:21" x14ac:dyDescent="0.25">
      <c r="A7" s="708" t="s">
        <v>50</v>
      </c>
      <c r="B7" s="706">
        <v>279428.69999999995</v>
      </c>
      <c r="C7" s="706">
        <f>IF(ISNA(VLOOKUP(A7,Commissioned!$A$18:$J$283,3,FALSE)),0,VLOOKUP(A7,Commissioned!$A$18:$J$283,3,FALSE))</f>
        <v>0</v>
      </c>
      <c r="D7" s="706">
        <f>IF(ISNA(VLOOKUP(A7,'Commissioned Extra'!_xlnm.Print_Area,3,FALSE)),0,VLOOKUP(A7,'Commissioned Extra'!_xlnm.Print_Area,3,FALSE))</f>
        <v>279428.7</v>
      </c>
      <c r="E7">
        <f t="shared" si="0"/>
        <v>0</v>
      </c>
      <c r="F7" s="706">
        <f t="shared" si="1"/>
        <v>0</v>
      </c>
      <c r="G7" s="706">
        <f t="shared" si="2"/>
        <v>275469.7</v>
      </c>
      <c r="H7" s="706">
        <f t="shared" si="3"/>
        <v>-3958.9999999999418</v>
      </c>
      <c r="J7" s="728" t="s">
        <v>37</v>
      </c>
      <c r="K7" s="713" t="s">
        <v>38</v>
      </c>
      <c r="L7" s="714">
        <v>181070.22</v>
      </c>
      <c r="N7" s="712" t="s">
        <v>42</v>
      </c>
      <c r="O7" s="713" t="s">
        <v>43</v>
      </c>
      <c r="P7" s="714">
        <v>616364.03</v>
      </c>
      <c r="R7" s="12" t="s">
        <v>50</v>
      </c>
      <c r="S7" s="13" t="s">
        <v>51</v>
      </c>
      <c r="T7" s="15">
        <v>275469.7</v>
      </c>
      <c r="U7" s="720"/>
    </row>
    <row r="8" spans="1:21" x14ac:dyDescent="0.25">
      <c r="A8" s="708" t="s">
        <v>52</v>
      </c>
      <c r="B8" s="706">
        <v>373136.06999999989</v>
      </c>
      <c r="C8" s="706">
        <f>IF(ISNA(VLOOKUP(A8,Commissioned!$A$18:$J$283,3,FALSE)),0,VLOOKUP(A8,Commissioned!$A$18:$J$283,3,FALSE))</f>
        <v>0</v>
      </c>
      <c r="D8" s="706">
        <f>IF(ISNA(VLOOKUP(A8,'Commissioned Extra'!_xlnm.Print_Area,3,FALSE)),0,VLOOKUP(A8,'Commissioned Extra'!_xlnm.Print_Area,3,FALSE))</f>
        <v>373136.07</v>
      </c>
      <c r="E8">
        <f t="shared" si="0"/>
        <v>0.5</v>
      </c>
      <c r="F8" s="706">
        <f t="shared" si="1"/>
        <v>-0.50000000011641532</v>
      </c>
      <c r="G8" s="706">
        <f t="shared" si="2"/>
        <v>362730.62</v>
      </c>
      <c r="H8" s="706">
        <f t="shared" si="3"/>
        <v>-10405.449999999895</v>
      </c>
      <c r="J8" s="728" t="s">
        <v>42</v>
      </c>
      <c r="K8" s="713" t="s">
        <v>43</v>
      </c>
      <c r="L8" s="714">
        <v>616364.03</v>
      </c>
      <c r="N8" s="712" t="s">
        <v>52</v>
      </c>
      <c r="O8" s="713" t="s">
        <v>3077</v>
      </c>
      <c r="P8" s="714">
        <v>0.5</v>
      </c>
      <c r="R8" s="12" t="s">
        <v>52</v>
      </c>
      <c r="S8" s="13" t="s">
        <v>53</v>
      </c>
      <c r="T8" s="15">
        <v>362730.62</v>
      </c>
      <c r="U8" s="720"/>
    </row>
    <row r="9" spans="1:21" x14ac:dyDescent="0.25">
      <c r="A9" s="708" t="s">
        <v>57</v>
      </c>
      <c r="B9" s="706">
        <v>27967.14999999998</v>
      </c>
      <c r="C9" s="706">
        <f>IF(ISNA(VLOOKUP(A9,Commissioned!$A$18:$J$283,3,FALSE)),0,VLOOKUP(A9,Commissioned!$A$18:$J$283,3,FALSE))</f>
        <v>0</v>
      </c>
      <c r="D9" s="706">
        <f>IF(ISNA(VLOOKUP(A9,'Commissioned Extra'!_xlnm.Print_Area,3,FALSE)),0,VLOOKUP(A9,'Commissioned Extra'!_xlnm.Print_Area,3,FALSE))</f>
        <v>27967.15</v>
      </c>
      <c r="E9">
        <f t="shared" si="0"/>
        <v>0</v>
      </c>
      <c r="F9" s="706">
        <f t="shared" si="1"/>
        <v>0</v>
      </c>
      <c r="G9" s="706">
        <f t="shared" si="2"/>
        <v>26097.15</v>
      </c>
      <c r="H9" s="706">
        <f t="shared" si="3"/>
        <v>-1869.9999999999782</v>
      </c>
      <c r="J9" s="728" t="s">
        <v>48</v>
      </c>
      <c r="K9" s="713" t="s">
        <v>3121</v>
      </c>
      <c r="L9" s="714">
        <v>5868.93</v>
      </c>
      <c r="N9" s="712" t="s">
        <v>3054</v>
      </c>
      <c r="O9" s="713" t="s">
        <v>3055</v>
      </c>
      <c r="P9" s="714">
        <v>113.12</v>
      </c>
      <c r="R9" s="12" t="s">
        <v>57</v>
      </c>
      <c r="S9" s="13" t="s">
        <v>58</v>
      </c>
      <c r="T9" s="15">
        <v>26097.15</v>
      </c>
      <c r="U9" s="720"/>
    </row>
    <row r="10" spans="1:21" x14ac:dyDescent="0.25">
      <c r="A10" s="708" t="s">
        <v>3054</v>
      </c>
      <c r="B10" s="706">
        <v>266994.53000000003</v>
      </c>
      <c r="C10" s="706">
        <f>IF(ISNA(VLOOKUP(A10,Commissioned!$A$18:$J$283,3,FALSE)),0,VLOOKUP(A10,Commissioned!$A$18:$J$283,3,FALSE))</f>
        <v>0</v>
      </c>
      <c r="D10" s="706">
        <f>IF(ISNA(VLOOKUP(A10,'Commissioned Extra'!_xlnm.Print_Area,3,FALSE)),0,VLOOKUP(A10,'Commissioned Extra'!_xlnm.Print_Area,3,FALSE))</f>
        <v>266994.53000000003</v>
      </c>
      <c r="E10">
        <f t="shared" si="0"/>
        <v>113.12</v>
      </c>
      <c r="F10" s="706">
        <f t="shared" si="1"/>
        <v>-113.11999999999534</v>
      </c>
      <c r="G10" s="706">
        <f t="shared" si="2"/>
        <v>264745.65000000002</v>
      </c>
      <c r="H10" s="706">
        <f t="shared" si="3"/>
        <v>-2248.8800000000047</v>
      </c>
      <c r="J10" s="728" t="s">
        <v>61</v>
      </c>
      <c r="K10" s="713" t="s">
        <v>62</v>
      </c>
      <c r="L10" s="714">
        <v>12592138.18</v>
      </c>
      <c r="N10" s="712" t="s">
        <v>67</v>
      </c>
      <c r="O10" s="713" t="s">
        <v>68</v>
      </c>
      <c r="P10" s="714">
        <v>274.64</v>
      </c>
      <c r="R10" s="12" t="s">
        <v>3054</v>
      </c>
      <c r="S10" s="13" t="s">
        <v>3055</v>
      </c>
      <c r="T10" s="15">
        <v>264745.65000000002</v>
      </c>
      <c r="U10" s="720"/>
    </row>
    <row r="11" spans="1:21" x14ac:dyDescent="0.25">
      <c r="A11" s="708" t="s">
        <v>61</v>
      </c>
      <c r="B11" s="706">
        <v>21282395.240000002</v>
      </c>
      <c r="C11" s="706">
        <f>IF(ISNA(VLOOKUP(A11,Commissioned!$A$18:$J$283,3,FALSE)),0,VLOOKUP(A11,Commissioned!$A$18:$J$283,3,FALSE))</f>
        <v>0</v>
      </c>
      <c r="D11" s="706">
        <f>IF(ISNA(VLOOKUP(A11,'Commissioned Extra'!_xlnm.Print_Area,3,FALSE)),0,VLOOKUP(A11,'Commissioned Extra'!_xlnm.Print_Area,3,FALSE))</f>
        <v>21554097.391160093</v>
      </c>
      <c r="E11">
        <f t="shared" si="0"/>
        <v>0</v>
      </c>
      <c r="F11" s="706">
        <f t="shared" si="1"/>
        <v>-271702.15116009116</v>
      </c>
      <c r="G11" s="706">
        <f t="shared" si="2"/>
        <v>21474525.320865452</v>
      </c>
      <c r="H11" s="706">
        <f t="shared" si="3"/>
        <v>192130.0808654502</v>
      </c>
      <c r="J11" s="728" t="s">
        <v>69</v>
      </c>
      <c r="K11" s="713" t="s">
        <v>70</v>
      </c>
      <c r="L11" s="714">
        <v>40538.910000000003</v>
      </c>
      <c r="N11" s="712" t="s">
        <v>69</v>
      </c>
      <c r="O11" s="713" t="s">
        <v>70</v>
      </c>
      <c r="P11" s="714">
        <v>114107.66</v>
      </c>
      <c r="R11" s="12" t="s">
        <v>61</v>
      </c>
      <c r="S11" s="13" t="s">
        <v>62</v>
      </c>
      <c r="T11" s="15">
        <v>21474525.320865452</v>
      </c>
      <c r="U11" s="720"/>
    </row>
    <row r="12" spans="1:21" x14ac:dyDescent="0.25">
      <c r="A12" s="708" t="s">
        <v>67</v>
      </c>
      <c r="B12" s="706">
        <v>989557.02999999991</v>
      </c>
      <c r="C12" s="706">
        <f>IF(ISNA(VLOOKUP(A12,Commissioned!$A$18:$J$283,3,FALSE)),0,VLOOKUP(A12,Commissioned!$A$18:$J$283,3,FALSE))</f>
        <v>0</v>
      </c>
      <c r="D12" s="706">
        <f>IF(ISNA(VLOOKUP(A12,'Commissioned Extra'!_xlnm.Print_Area,3,FALSE)),0,VLOOKUP(A12,'Commissioned Extra'!_xlnm.Print_Area,3,FALSE))</f>
        <v>989557.03</v>
      </c>
      <c r="E12">
        <f t="shared" si="0"/>
        <v>274.64</v>
      </c>
      <c r="F12" s="706">
        <f t="shared" si="1"/>
        <v>-274.64000000013039</v>
      </c>
      <c r="G12" s="706">
        <f t="shared" si="2"/>
        <v>979720.67</v>
      </c>
      <c r="H12" s="706">
        <f t="shared" si="3"/>
        <v>-9836.3599999998696</v>
      </c>
      <c r="J12" s="728" t="s">
        <v>74</v>
      </c>
      <c r="K12" s="713" t="s">
        <v>75</v>
      </c>
      <c r="L12" s="714">
        <v>116352.42</v>
      </c>
      <c r="N12" s="712" t="s">
        <v>74</v>
      </c>
      <c r="O12" s="713" t="s">
        <v>75</v>
      </c>
      <c r="P12" s="714">
        <v>-592.76</v>
      </c>
      <c r="R12" s="12" t="s">
        <v>67</v>
      </c>
      <c r="S12" s="13" t="s">
        <v>68</v>
      </c>
      <c r="T12" s="15">
        <v>979720.67</v>
      </c>
      <c r="U12" s="720"/>
    </row>
    <row r="13" spans="1:21" x14ac:dyDescent="0.25">
      <c r="A13" s="708" t="s">
        <v>87</v>
      </c>
      <c r="B13" s="706">
        <v>193768.15000000002</v>
      </c>
      <c r="C13" s="706">
        <f>IF(ISNA(VLOOKUP(A13,Commissioned!$A$18:$J$283,3,FALSE)),0,VLOOKUP(A13,Commissioned!$A$18:$J$283,3,FALSE))</f>
        <v>0</v>
      </c>
      <c r="D13" s="706">
        <f>IF(ISNA(VLOOKUP(A13,'Commissioned Extra'!_xlnm.Print_Area,3,FALSE)),0,VLOOKUP(A13,'Commissioned Extra'!_xlnm.Print_Area,3,FALSE))</f>
        <v>193768.15</v>
      </c>
      <c r="E13">
        <f t="shared" si="0"/>
        <v>0</v>
      </c>
      <c r="F13" s="706">
        <f t="shared" si="1"/>
        <v>0</v>
      </c>
      <c r="G13" s="706">
        <f t="shared" si="2"/>
        <v>183435.15</v>
      </c>
      <c r="H13" s="706">
        <f t="shared" si="3"/>
        <v>-10333.000000000029</v>
      </c>
      <c r="J13" s="728" t="s">
        <v>78</v>
      </c>
      <c r="K13" s="713" t="s">
        <v>79</v>
      </c>
      <c r="L13" s="714">
        <v>756040.54</v>
      </c>
      <c r="N13" s="712" t="s">
        <v>3086</v>
      </c>
      <c r="O13" s="713" t="s">
        <v>3087</v>
      </c>
      <c r="P13" s="714">
        <v>479189.2</v>
      </c>
      <c r="R13" s="12" t="s">
        <v>87</v>
      </c>
      <c r="S13" s="13" t="s">
        <v>88</v>
      </c>
      <c r="T13" s="15">
        <v>183435.15</v>
      </c>
      <c r="U13" s="720"/>
    </row>
    <row r="14" spans="1:21" x14ac:dyDescent="0.25">
      <c r="A14" s="708" t="s">
        <v>89</v>
      </c>
      <c r="B14" s="706">
        <v>857760.69</v>
      </c>
      <c r="C14" s="706">
        <f>IF(ISNA(VLOOKUP(A14,Commissioned!$A$18:$J$283,3,FALSE)),0,VLOOKUP(A14,Commissioned!$A$18:$J$283,3,FALSE))</f>
        <v>0</v>
      </c>
      <c r="D14" s="706">
        <f>IF(ISNA(VLOOKUP(A14,'Commissioned Extra'!_xlnm.Print_Area,3,FALSE)),0,VLOOKUP(A14,'Commissioned Extra'!_xlnm.Print_Area,3,FALSE))</f>
        <v>857760.69</v>
      </c>
      <c r="E14">
        <f t="shared" si="0"/>
        <v>0</v>
      </c>
      <c r="F14" s="706">
        <f t="shared" si="1"/>
        <v>0</v>
      </c>
      <c r="G14" s="706">
        <f t="shared" si="2"/>
        <v>857760.69</v>
      </c>
      <c r="H14" s="706">
        <f t="shared" si="3"/>
        <v>0</v>
      </c>
      <c r="J14" s="729" t="s">
        <v>80</v>
      </c>
      <c r="K14" s="732" t="s">
        <v>3122</v>
      </c>
      <c r="L14" s="735">
        <v>562400.9</v>
      </c>
      <c r="N14" s="712" t="s">
        <v>3084</v>
      </c>
      <c r="O14" s="713" t="s">
        <v>3085</v>
      </c>
      <c r="P14" s="714">
        <v>43837.88</v>
      </c>
      <c r="R14" s="12" t="s">
        <v>89</v>
      </c>
      <c r="S14" s="13" t="s">
        <v>90</v>
      </c>
      <c r="T14" s="15">
        <v>857760.69</v>
      </c>
      <c r="U14" s="720"/>
    </row>
    <row r="15" spans="1:21" x14ac:dyDescent="0.25">
      <c r="A15" s="708" t="s">
        <v>91</v>
      </c>
      <c r="B15" s="706">
        <v>384962.43</v>
      </c>
      <c r="C15" s="706">
        <f>IF(ISNA(VLOOKUP(A15,Commissioned!$A$18:$J$283,3,FALSE)),0,VLOOKUP(A15,Commissioned!$A$18:$J$283,3,FALSE))</f>
        <v>0</v>
      </c>
      <c r="D15" s="706">
        <f>IF(ISNA(VLOOKUP(A15,'Commissioned Extra'!_xlnm.Print_Area,3,FALSE)),0,VLOOKUP(A15,'Commissioned Extra'!_xlnm.Print_Area,3,FALSE))</f>
        <v>384962.43</v>
      </c>
      <c r="E15">
        <f t="shared" si="0"/>
        <v>0</v>
      </c>
      <c r="F15" s="706">
        <f t="shared" si="1"/>
        <v>0</v>
      </c>
      <c r="G15" s="706">
        <f t="shared" si="2"/>
        <v>383416.43</v>
      </c>
      <c r="H15" s="706">
        <f t="shared" si="3"/>
        <v>-1546</v>
      </c>
      <c r="J15" s="728" t="s">
        <v>82</v>
      </c>
      <c r="K15" s="713" t="s">
        <v>83</v>
      </c>
      <c r="L15" s="714">
        <v>2285134.23</v>
      </c>
      <c r="N15" s="712" t="s">
        <v>3088</v>
      </c>
      <c r="O15" s="713" t="s">
        <v>3089</v>
      </c>
      <c r="P15" s="714">
        <v>39373.82</v>
      </c>
      <c r="R15" s="12" t="s">
        <v>91</v>
      </c>
      <c r="S15" s="13" t="s">
        <v>92</v>
      </c>
      <c r="T15" s="15">
        <v>383416.43</v>
      </c>
      <c r="U15" s="720"/>
    </row>
    <row r="16" spans="1:21" x14ac:dyDescent="0.25">
      <c r="A16" s="708" t="s">
        <v>93</v>
      </c>
      <c r="B16" s="706">
        <v>3696698.2199999993</v>
      </c>
      <c r="C16" s="706">
        <f>IF(ISNA(VLOOKUP(A16,Commissioned!$A$18:$J$283,3,FALSE)),0,VLOOKUP(A16,Commissioned!$A$18:$J$283,3,FALSE))</f>
        <v>0</v>
      </c>
      <c r="D16" s="706">
        <f>IF(ISNA(VLOOKUP(A16,'Commissioned Extra'!_xlnm.Print_Area,3,FALSE)),0,VLOOKUP(A16,'Commissioned Extra'!_xlnm.Print_Area,3,FALSE))</f>
        <v>3868898.9630392529</v>
      </c>
      <c r="E16">
        <f t="shared" si="0"/>
        <v>0</v>
      </c>
      <c r="F16" s="706">
        <f t="shared" si="1"/>
        <v>-172200.74303925363</v>
      </c>
      <c r="G16" s="706">
        <f t="shared" si="2"/>
        <v>3843576.0084054852</v>
      </c>
      <c r="H16" s="706">
        <f t="shared" si="3"/>
        <v>146877.78840548592</v>
      </c>
      <c r="J16" s="728" t="s">
        <v>89</v>
      </c>
      <c r="K16" s="713" t="s">
        <v>90</v>
      </c>
      <c r="L16" s="714">
        <v>857760.69</v>
      </c>
      <c r="N16" s="712" t="s">
        <v>82</v>
      </c>
      <c r="O16" s="713" t="s">
        <v>83</v>
      </c>
      <c r="P16" s="714">
        <v>2285134.23</v>
      </c>
      <c r="R16" s="12" t="s">
        <v>93</v>
      </c>
      <c r="S16" s="13" t="s">
        <v>94</v>
      </c>
      <c r="T16" s="15">
        <v>3843576.0084054852</v>
      </c>
      <c r="U16" s="720"/>
    </row>
    <row r="17" spans="1:21" x14ac:dyDescent="0.25">
      <c r="A17" s="708" t="s">
        <v>95</v>
      </c>
      <c r="B17" s="706">
        <v>2088084.23</v>
      </c>
      <c r="C17" s="706">
        <f>IF(ISNA(VLOOKUP(A17,Commissioned!$A$18:$J$283,3,FALSE)),0,VLOOKUP(A17,Commissioned!$A$18:$J$283,3,FALSE))</f>
        <v>2243191.1073422018</v>
      </c>
      <c r="D17" s="706">
        <f>IF(ISNA(VLOOKUP(A17,'Commissioned Extra'!_xlnm.Print_Area,3,FALSE)),0,VLOOKUP(A17,'Commissioned Extra'!_xlnm.Print_Area,3,FALSE))</f>
        <v>0</v>
      </c>
      <c r="E17">
        <f t="shared" si="0"/>
        <v>0</v>
      </c>
      <c r="F17" s="706">
        <f t="shared" si="1"/>
        <v>-155106.87734220177</v>
      </c>
      <c r="G17" s="706">
        <f t="shared" si="2"/>
        <v>2227333.9435462547</v>
      </c>
      <c r="H17" s="706">
        <f t="shared" si="3"/>
        <v>139249.71354625467</v>
      </c>
      <c r="J17" s="728" t="s">
        <v>93</v>
      </c>
      <c r="K17" s="713" t="s">
        <v>94</v>
      </c>
      <c r="L17" s="714">
        <v>2980024.92</v>
      </c>
      <c r="N17" s="712" t="s">
        <v>102</v>
      </c>
      <c r="O17" s="713" t="s">
        <v>103</v>
      </c>
      <c r="P17" s="714">
        <v>114395.22</v>
      </c>
      <c r="R17" s="12" t="s">
        <v>95</v>
      </c>
      <c r="S17" s="13" t="s">
        <v>96</v>
      </c>
      <c r="T17" s="15">
        <v>2227333.9435462547</v>
      </c>
      <c r="U17" s="720"/>
    </row>
    <row r="18" spans="1:21" x14ac:dyDescent="0.25">
      <c r="A18" s="708" t="s">
        <v>110</v>
      </c>
      <c r="B18" s="706">
        <v>178986.46</v>
      </c>
      <c r="C18" s="706">
        <f>IF(ISNA(VLOOKUP(A18,Commissioned!$A$18:$J$283,3,FALSE)),0,VLOOKUP(A18,Commissioned!$A$18:$J$283,3,FALSE))</f>
        <v>0</v>
      </c>
      <c r="D18" s="706">
        <f>IF(ISNA(VLOOKUP(A18,'Commissioned Extra'!_xlnm.Print_Area,3,FALSE)),0,VLOOKUP(A18,'Commissioned Extra'!_xlnm.Print_Area,3,FALSE))</f>
        <v>178986.46</v>
      </c>
      <c r="E18">
        <f t="shared" si="0"/>
        <v>83.31</v>
      </c>
      <c r="F18" s="706">
        <f t="shared" si="1"/>
        <v>-83.309999999997672</v>
      </c>
      <c r="G18" s="706">
        <f t="shared" si="2"/>
        <v>169610.77</v>
      </c>
      <c r="H18" s="706">
        <f t="shared" si="3"/>
        <v>-9375.6900000000023</v>
      </c>
      <c r="J18" s="728" t="s">
        <v>95</v>
      </c>
      <c r="K18" s="713" t="s">
        <v>3123</v>
      </c>
      <c r="L18" s="714">
        <v>2088084.23</v>
      </c>
      <c r="N18" s="712" t="s">
        <v>104</v>
      </c>
      <c r="O18" s="713" t="s">
        <v>1219</v>
      </c>
      <c r="P18" s="714">
        <v>603867.72</v>
      </c>
      <c r="R18" s="12" t="s">
        <v>110</v>
      </c>
      <c r="S18" s="13" t="s">
        <v>111</v>
      </c>
      <c r="T18" s="15">
        <v>169610.77</v>
      </c>
      <c r="U18" s="720"/>
    </row>
    <row r="19" spans="1:21" x14ac:dyDescent="0.25">
      <c r="A19" s="708" t="s">
        <v>114</v>
      </c>
      <c r="B19" s="706">
        <v>53037413.590000018</v>
      </c>
      <c r="C19" s="706">
        <f>IF(ISNA(VLOOKUP(A19,Commissioned!$A$18:$J$283,3,FALSE)),0,VLOOKUP(A19,Commissioned!$A$18:$J$283,3,FALSE))</f>
        <v>54791206.216288134</v>
      </c>
      <c r="D19" s="706">
        <f>IF(ISNA(VLOOKUP(A19,'Commissioned Extra'!_xlnm.Print_Area,3,FALSE)),0,VLOOKUP(A19,'Commissioned Extra'!_xlnm.Print_Area,3,FALSE))</f>
        <v>0</v>
      </c>
      <c r="E19" s="706">
        <f t="shared" si="0"/>
        <v>31714256.969999999</v>
      </c>
      <c r="F19" s="706">
        <f t="shared" si="1"/>
        <v>-33468049.596288115</v>
      </c>
      <c r="G19" s="706">
        <f t="shared" si="2"/>
        <v>54615365.594610475</v>
      </c>
      <c r="H19" s="706">
        <f t="shared" si="3"/>
        <v>1577952.0046104565</v>
      </c>
      <c r="J19" s="728" t="s">
        <v>100</v>
      </c>
      <c r="K19" s="713" t="s">
        <v>101</v>
      </c>
      <c r="L19" s="714">
        <v>1238370.22</v>
      </c>
      <c r="N19" s="712" t="s">
        <v>110</v>
      </c>
      <c r="O19" s="713" t="s">
        <v>3093</v>
      </c>
      <c r="P19" s="714">
        <v>83.31</v>
      </c>
      <c r="R19" s="717" t="s">
        <v>114</v>
      </c>
      <c r="S19" s="718" t="s">
        <v>115</v>
      </c>
      <c r="T19" s="15">
        <v>54615365.594610475</v>
      </c>
      <c r="U19" s="720"/>
    </row>
    <row r="20" spans="1:21" x14ac:dyDescent="0.25">
      <c r="A20" s="708" t="s">
        <v>117</v>
      </c>
      <c r="B20" s="706">
        <v>1639110.35</v>
      </c>
      <c r="C20" s="706">
        <f>IF(ISNA(VLOOKUP(A20,Commissioned!$A$18:$J$283,3,FALSE)),0,VLOOKUP(A20,Commissioned!$A$18:$J$283,3,FALSE))</f>
        <v>1694608.0318211534</v>
      </c>
      <c r="D20" s="706">
        <f>IF(ISNA(VLOOKUP(A20,'Commissioned Extra'!_xlnm.Print_Area,3,FALSE)),0,VLOOKUP(A20,'Commissioned Extra'!_xlnm.Print_Area,3,FALSE))</f>
        <v>0</v>
      </c>
      <c r="E20">
        <f t="shared" si="0"/>
        <v>0</v>
      </c>
      <c r="F20" s="706">
        <f t="shared" si="1"/>
        <v>-55497.681821153266</v>
      </c>
      <c r="G20" s="706">
        <f t="shared" si="2"/>
        <v>1685136.8640299009</v>
      </c>
      <c r="H20" s="706">
        <f t="shared" si="3"/>
        <v>46026.514029900776</v>
      </c>
      <c r="J20" s="728" t="s">
        <v>102</v>
      </c>
      <c r="K20" s="713" t="s">
        <v>103</v>
      </c>
      <c r="L20" s="714">
        <v>484395.22</v>
      </c>
      <c r="N20" s="712" t="s">
        <v>114</v>
      </c>
      <c r="O20" s="713" t="s">
        <v>115</v>
      </c>
      <c r="P20" s="714">
        <v>31714256.969999999</v>
      </c>
      <c r="R20" s="12" t="s">
        <v>117</v>
      </c>
      <c r="S20" s="13" t="s">
        <v>118</v>
      </c>
      <c r="T20" s="15">
        <v>1685136.8640299009</v>
      </c>
      <c r="U20" s="720"/>
    </row>
    <row r="21" spans="1:21" x14ac:dyDescent="0.25">
      <c r="A21" s="708" t="s">
        <v>128</v>
      </c>
      <c r="B21" s="706">
        <v>5266607.21</v>
      </c>
      <c r="C21" s="706">
        <f>IF(ISNA(VLOOKUP(A21,Commissioned!$A$18:$J$283,3,FALSE)),0,VLOOKUP(A21,Commissioned!$A$18:$J$283,3,FALSE))</f>
        <v>0</v>
      </c>
      <c r="D21" s="706">
        <f>IF(ISNA(VLOOKUP(A21,'Commissioned Extra'!_xlnm.Print_Area,3,FALSE)),0,VLOOKUP(A21,'Commissioned Extra'!_xlnm.Print_Area,3,FALSE))</f>
        <v>5402797.4578855988</v>
      </c>
      <c r="E21">
        <f t="shared" si="0"/>
        <v>6.59</v>
      </c>
      <c r="F21" s="706">
        <f t="shared" si="1"/>
        <v>-136196.83788559865</v>
      </c>
      <c r="G21" s="706">
        <f t="shared" si="2"/>
        <v>5428415.5344346948</v>
      </c>
      <c r="H21" s="706">
        <f t="shared" si="3"/>
        <v>161808.32443469483</v>
      </c>
      <c r="J21" s="728" t="s">
        <v>104</v>
      </c>
      <c r="K21" s="713" t="s">
        <v>1219</v>
      </c>
      <c r="L21" s="714">
        <v>297912.39</v>
      </c>
      <c r="N21" s="712" t="s">
        <v>124</v>
      </c>
      <c r="O21" s="713" t="s">
        <v>125</v>
      </c>
      <c r="P21" s="714">
        <v>501575.75</v>
      </c>
      <c r="R21" s="12" t="s">
        <v>128</v>
      </c>
      <c r="S21" s="13" t="s">
        <v>129</v>
      </c>
      <c r="T21" s="15">
        <v>5428415.5344346948</v>
      </c>
      <c r="U21" s="720"/>
    </row>
    <row r="22" spans="1:21" x14ac:dyDescent="0.25">
      <c r="A22" s="708" t="s">
        <v>137</v>
      </c>
      <c r="B22" s="706">
        <v>4171.92</v>
      </c>
      <c r="C22" s="706">
        <f>IF(ISNA(VLOOKUP(A22,Commissioned!$A$18:$J$283,3,FALSE)),0,VLOOKUP(A22,Commissioned!$A$18:$J$283,3,FALSE))</f>
        <v>0</v>
      </c>
      <c r="D22" s="706">
        <f>IF(ISNA(VLOOKUP(A22,'Commissioned Extra'!_xlnm.Print_Area,3,FALSE)),0,VLOOKUP(A22,'Commissioned Extra'!_xlnm.Print_Area,3,FALSE))</f>
        <v>4171.92</v>
      </c>
      <c r="E22">
        <f t="shared" si="0"/>
        <v>0</v>
      </c>
      <c r="F22" s="706">
        <f t="shared" si="1"/>
        <v>0</v>
      </c>
      <c r="G22" s="706">
        <f t="shared" si="2"/>
        <v>4171.92</v>
      </c>
      <c r="H22" s="706">
        <f t="shared" si="3"/>
        <v>0</v>
      </c>
      <c r="J22" s="728" t="s">
        <v>114</v>
      </c>
      <c r="K22" s="713" t="s">
        <v>115</v>
      </c>
      <c r="L22" s="714">
        <v>56093376.170000002</v>
      </c>
      <c r="N22" s="712" t="s">
        <v>128</v>
      </c>
      <c r="O22" s="713" t="s">
        <v>3096</v>
      </c>
      <c r="P22" s="714">
        <v>6.59</v>
      </c>
      <c r="R22" s="12" t="s">
        <v>137</v>
      </c>
      <c r="S22" s="13" t="s">
        <v>138</v>
      </c>
      <c r="T22" s="15">
        <v>4171.92</v>
      </c>
      <c r="U22" s="720"/>
    </row>
    <row r="23" spans="1:21" x14ac:dyDescent="0.25">
      <c r="A23" s="708" t="s">
        <v>139</v>
      </c>
      <c r="B23" s="706">
        <v>3969.64</v>
      </c>
      <c r="C23" s="706">
        <f>IF(ISNA(VLOOKUP(A23,Commissioned!$A$18:$J$283,3,FALSE)),0,VLOOKUP(A23,Commissioned!$A$18:$J$283,3,FALSE))</f>
        <v>0</v>
      </c>
      <c r="D23" s="706">
        <f>IF(ISNA(VLOOKUP(A23,'Commissioned Extra'!_xlnm.Print_Area,3,FALSE)),0,VLOOKUP(A23,'Commissioned Extra'!_xlnm.Print_Area,3,FALSE))</f>
        <v>3969.64</v>
      </c>
      <c r="E23">
        <f t="shared" si="0"/>
        <v>0</v>
      </c>
      <c r="F23" s="706">
        <f t="shared" si="1"/>
        <v>0</v>
      </c>
      <c r="G23" s="706">
        <f t="shared" si="2"/>
        <v>3648.64</v>
      </c>
      <c r="H23" s="706">
        <f t="shared" si="3"/>
        <v>-321</v>
      </c>
      <c r="J23" s="728" t="s">
        <v>117</v>
      </c>
      <c r="K23" s="713" t="s">
        <v>118</v>
      </c>
      <c r="L23" s="714">
        <v>1619089.41</v>
      </c>
      <c r="N23" s="712" t="s">
        <v>130</v>
      </c>
      <c r="O23" s="713" t="s">
        <v>131</v>
      </c>
      <c r="P23" s="714">
        <v>502242.13</v>
      </c>
      <c r="R23" s="12" t="s">
        <v>139</v>
      </c>
      <c r="S23" s="13" t="s">
        <v>140</v>
      </c>
      <c r="T23" s="15">
        <v>3648.64</v>
      </c>
      <c r="U23" s="720"/>
    </row>
    <row r="24" spans="1:21" x14ac:dyDescent="0.25">
      <c r="A24" s="708" t="s">
        <v>156</v>
      </c>
      <c r="B24" s="706">
        <v>1939334.7000000002</v>
      </c>
      <c r="C24" s="706">
        <f>IF(ISNA(VLOOKUP(A24,Commissioned!$A$18:$J$283,3,FALSE)),0,VLOOKUP(A24,Commissioned!$A$18:$J$283,3,FALSE))</f>
        <v>0</v>
      </c>
      <c r="D24" s="706">
        <f>IF(ISNA(VLOOKUP(A24,'Commissioned Extra'!_xlnm.Print_Area,3,FALSE)),0,VLOOKUP(A24,'Commissioned Extra'!_xlnm.Print_Area,3,FALSE))</f>
        <v>1991673.1529627859</v>
      </c>
      <c r="E24">
        <f t="shared" si="0"/>
        <v>228.72</v>
      </c>
      <c r="F24" s="706">
        <f t="shared" si="1"/>
        <v>-52567.172962785698</v>
      </c>
      <c r="G24" s="706">
        <f t="shared" si="2"/>
        <v>1986927.4613942455</v>
      </c>
      <c r="H24" s="706">
        <f t="shared" si="3"/>
        <v>47592.761394245317</v>
      </c>
      <c r="J24" s="728" t="s">
        <v>124</v>
      </c>
      <c r="K24" s="713" t="s">
        <v>125</v>
      </c>
      <c r="L24" s="714">
        <v>65315.69</v>
      </c>
      <c r="N24" s="712" t="s">
        <v>3094</v>
      </c>
      <c r="O24" s="713" t="s">
        <v>3095</v>
      </c>
      <c r="P24" s="714">
        <v>264580.51</v>
      </c>
      <c r="R24" s="12" t="s">
        <v>156</v>
      </c>
      <c r="S24" s="13" t="s">
        <v>157</v>
      </c>
      <c r="T24" s="15">
        <v>1997156.4613942455</v>
      </c>
      <c r="U24" s="720"/>
    </row>
    <row r="25" spans="1:21" x14ac:dyDescent="0.25">
      <c r="A25" s="708" t="s">
        <v>158</v>
      </c>
      <c r="B25" s="706">
        <v>5207165.6800000006</v>
      </c>
      <c r="C25" s="706">
        <f>IF(ISNA(VLOOKUP(A25,Commissioned!$A$18:$J$283,3,FALSE)),0,VLOOKUP(A25,Commissioned!$A$18:$J$283,3,FALSE))</f>
        <v>0</v>
      </c>
      <c r="D25" s="706">
        <f>IF(ISNA(VLOOKUP(A25,'Commissioned Extra'!_xlnm.Print_Area,3,FALSE)),0,VLOOKUP(A25,'Commissioned Extra'!_xlnm.Print_Area,3,FALSE))</f>
        <v>5325000.7093801061</v>
      </c>
      <c r="E25">
        <f t="shared" si="0"/>
        <v>228.72</v>
      </c>
      <c r="F25" s="706">
        <f t="shared" si="1"/>
        <v>-118063.74938010518</v>
      </c>
      <c r="G25" s="706">
        <f t="shared" si="2"/>
        <v>5317036.9727777271</v>
      </c>
      <c r="H25" s="706">
        <f t="shared" si="3"/>
        <v>109871.29277772643</v>
      </c>
      <c r="J25" s="728" t="s">
        <v>128</v>
      </c>
      <c r="K25" s="713" t="s">
        <v>3096</v>
      </c>
      <c r="L25" s="714">
        <v>3961497.79</v>
      </c>
      <c r="N25" s="712" t="s">
        <v>143</v>
      </c>
      <c r="O25" s="713" t="s">
        <v>144</v>
      </c>
      <c r="P25" s="714">
        <v>103637.5</v>
      </c>
      <c r="R25" s="12" t="s">
        <v>156</v>
      </c>
      <c r="S25" s="13" t="s">
        <v>157</v>
      </c>
      <c r="T25" s="15">
        <v>-10229</v>
      </c>
    </row>
    <row r="26" spans="1:21" x14ac:dyDescent="0.25">
      <c r="A26" s="708" t="s">
        <v>162</v>
      </c>
      <c r="B26" s="706">
        <v>1645.95</v>
      </c>
      <c r="C26" s="706">
        <f>IF(ISNA(VLOOKUP(A26,Commissioned!$A$18:$J$283,3,FALSE)),0,VLOOKUP(A26,Commissioned!$A$18:$J$283,3,FALSE))</f>
        <v>0</v>
      </c>
      <c r="D26" s="706">
        <f>IF(ISNA(VLOOKUP(A26,'Commissioned Extra'!_xlnm.Print_Area,3,FALSE)),0,VLOOKUP(A26,'Commissioned Extra'!_xlnm.Print_Area,3,FALSE))</f>
        <v>1645.95</v>
      </c>
      <c r="E26">
        <f t="shared" si="0"/>
        <v>0</v>
      </c>
      <c r="F26" s="706">
        <f t="shared" si="1"/>
        <v>0</v>
      </c>
      <c r="G26" s="706">
        <f t="shared" si="2"/>
        <v>1536.95</v>
      </c>
      <c r="H26" s="706">
        <f t="shared" si="3"/>
        <v>-109</v>
      </c>
      <c r="J26" s="728" t="s">
        <v>130</v>
      </c>
      <c r="K26" s="713" t="s">
        <v>131</v>
      </c>
      <c r="L26" s="714">
        <v>495704.19</v>
      </c>
      <c r="N26" s="712" t="s">
        <v>145</v>
      </c>
      <c r="O26" s="713" t="s">
        <v>146</v>
      </c>
      <c r="P26" s="714">
        <v>1702598.03</v>
      </c>
      <c r="R26" s="12" t="s">
        <v>158</v>
      </c>
      <c r="S26" s="13" t="s">
        <v>159</v>
      </c>
      <c r="T26" s="15">
        <v>5327265.9727777271</v>
      </c>
    </row>
    <row r="27" spans="1:21" x14ac:dyDescent="0.25">
      <c r="A27" s="708" t="s">
        <v>168</v>
      </c>
      <c r="B27" s="706">
        <v>1762570.37</v>
      </c>
      <c r="C27" s="706">
        <f>IF(ISNA(VLOOKUP(A27,Commissioned!$A$18:$J$283,3,FALSE)),0,VLOOKUP(A27,Commissioned!$A$18:$J$283,3,FALSE))</f>
        <v>0</v>
      </c>
      <c r="D27" s="706">
        <f>IF(ISNA(VLOOKUP(A27,'Commissioned Extra'!_xlnm.Print_Area,3,FALSE)),0,VLOOKUP(A27,'Commissioned Extra'!_xlnm.Print_Area,3,FALSE))</f>
        <v>1771510.5150657333</v>
      </c>
      <c r="E27">
        <f t="shared" si="0"/>
        <v>1843.02</v>
      </c>
      <c r="F27" s="706">
        <f t="shared" si="1"/>
        <v>-10783.16506573325</v>
      </c>
      <c r="G27" s="706">
        <f t="shared" si="2"/>
        <v>1735814.1879636885</v>
      </c>
      <c r="H27" s="706">
        <f t="shared" si="3"/>
        <v>-26756.182036311598</v>
      </c>
      <c r="J27" s="728" t="s">
        <v>134</v>
      </c>
      <c r="K27" s="713" t="s">
        <v>135</v>
      </c>
      <c r="L27" s="714">
        <v>-1689.14</v>
      </c>
      <c r="N27" s="712" t="s">
        <v>147</v>
      </c>
      <c r="O27" s="713" t="s">
        <v>148</v>
      </c>
      <c r="P27" s="714">
        <v>594823.38</v>
      </c>
      <c r="R27" s="12" t="s">
        <v>158</v>
      </c>
      <c r="S27" s="13" t="s">
        <v>159</v>
      </c>
      <c r="T27" s="15">
        <v>-10229</v>
      </c>
    </row>
    <row r="28" spans="1:21" x14ac:dyDescent="0.25">
      <c r="A28" s="708" t="s">
        <v>175</v>
      </c>
      <c r="B28" s="706">
        <v>776200.12</v>
      </c>
      <c r="C28" s="706">
        <f>IF(ISNA(VLOOKUP(A28,Commissioned!$A$18:$J$283,3,FALSE)),0,VLOOKUP(A28,Commissioned!$A$18:$J$283,3,FALSE))</f>
        <v>807480.37410477584</v>
      </c>
      <c r="D28" s="706">
        <f>IF(ISNA(VLOOKUP(A28,'Commissioned Extra'!_xlnm.Print_Area,3,FALSE)),0,VLOOKUP(A28,'Commissioned Extra'!_xlnm.Print_Area,3,FALSE))</f>
        <v>0</v>
      </c>
      <c r="E28">
        <f t="shared" si="0"/>
        <v>0</v>
      </c>
      <c r="F28" s="706">
        <f t="shared" si="1"/>
        <v>-31280.254104775842</v>
      </c>
      <c r="G28" s="706">
        <f t="shared" si="2"/>
        <v>803202.4130371369</v>
      </c>
      <c r="H28" s="706">
        <f t="shared" si="3"/>
        <v>27002.2930371369</v>
      </c>
      <c r="J28" s="728" t="s">
        <v>3094</v>
      </c>
      <c r="K28" s="713" t="s">
        <v>3095</v>
      </c>
      <c r="L28" s="714">
        <v>264580.51</v>
      </c>
      <c r="N28" s="712" t="s">
        <v>153</v>
      </c>
      <c r="O28" s="713" t="s">
        <v>154</v>
      </c>
      <c r="P28" s="714">
        <v>40106031.969999999</v>
      </c>
      <c r="R28" s="12" t="s">
        <v>162</v>
      </c>
      <c r="S28" s="13" t="s">
        <v>163</v>
      </c>
      <c r="T28" s="15">
        <v>1536.95</v>
      </c>
    </row>
    <row r="29" spans="1:21" x14ac:dyDescent="0.25">
      <c r="A29" s="708" t="s">
        <v>186</v>
      </c>
      <c r="B29" s="706">
        <v>-556.55999999999995</v>
      </c>
      <c r="C29" s="706">
        <f>IF(ISNA(VLOOKUP(A29,Commissioned!$A$18:$J$283,3,FALSE)),0,VLOOKUP(A29,Commissioned!$A$18:$J$283,3,FALSE))</f>
        <v>0</v>
      </c>
      <c r="D29" s="706">
        <f>IF(ISNA(VLOOKUP(A29,'Commissioned Extra'!_xlnm.Print_Area,3,FALSE)),0,VLOOKUP(A29,'Commissioned Extra'!_xlnm.Print_Area,3,FALSE))</f>
        <v>-556.55999999999995</v>
      </c>
      <c r="E29">
        <f t="shared" si="0"/>
        <v>0</v>
      </c>
      <c r="F29" s="706">
        <f t="shared" si="1"/>
        <v>0</v>
      </c>
      <c r="G29" s="706">
        <f t="shared" si="2"/>
        <v>-556.55999999999995</v>
      </c>
      <c r="H29" s="706">
        <f t="shared" si="3"/>
        <v>0</v>
      </c>
      <c r="J29" s="728" t="s">
        <v>145</v>
      </c>
      <c r="K29" s="713" t="s">
        <v>146</v>
      </c>
      <c r="L29" s="714">
        <v>1361632.28</v>
      </c>
      <c r="N29" s="712" t="s">
        <v>156</v>
      </c>
      <c r="O29" s="713" t="s">
        <v>157</v>
      </c>
      <c r="P29" s="714">
        <v>228.72</v>
      </c>
      <c r="R29" s="12" t="s">
        <v>168</v>
      </c>
      <c r="S29" s="13" t="s">
        <v>169</v>
      </c>
      <c r="T29" s="15">
        <v>1737657.1879636885</v>
      </c>
    </row>
    <row r="30" spans="1:21" x14ac:dyDescent="0.25">
      <c r="A30" s="708" t="s">
        <v>187</v>
      </c>
      <c r="B30" s="706">
        <v>-429.37</v>
      </c>
      <c r="C30" s="706">
        <f>IF(ISNA(VLOOKUP(A30,Commissioned!$A$18:$J$283,3,FALSE)),0,VLOOKUP(A30,Commissioned!$A$18:$J$283,3,FALSE))</f>
        <v>0</v>
      </c>
      <c r="D30" s="706">
        <f>IF(ISNA(VLOOKUP(A30,'Commissioned Extra'!_xlnm.Print_Area,3,FALSE)),0,VLOOKUP(A30,'Commissioned Extra'!_xlnm.Print_Area,3,FALSE))</f>
        <v>-429.37</v>
      </c>
      <c r="E30">
        <f t="shared" si="0"/>
        <v>0</v>
      </c>
      <c r="F30" s="706">
        <f t="shared" si="1"/>
        <v>0</v>
      </c>
      <c r="G30" s="706">
        <f t="shared" si="2"/>
        <v>-429.37</v>
      </c>
      <c r="H30" s="706">
        <f t="shared" si="3"/>
        <v>0</v>
      </c>
      <c r="J30" s="728" t="s">
        <v>147</v>
      </c>
      <c r="K30" s="713" t="s">
        <v>148</v>
      </c>
      <c r="L30" s="714">
        <v>517993.02</v>
      </c>
      <c r="N30" s="712" t="s">
        <v>158</v>
      </c>
      <c r="O30" s="713" t="s">
        <v>159</v>
      </c>
      <c r="P30" s="714">
        <v>228.72</v>
      </c>
      <c r="R30" s="12" t="s">
        <v>168</v>
      </c>
      <c r="S30" s="13" t="s">
        <v>169</v>
      </c>
      <c r="T30" s="15">
        <v>-1843</v>
      </c>
    </row>
    <row r="31" spans="1:21" x14ac:dyDescent="0.25">
      <c r="A31" s="708" t="s">
        <v>190</v>
      </c>
      <c r="B31" s="706">
        <v>2.4400000000000004</v>
      </c>
      <c r="C31" s="706">
        <f>IF(ISNA(VLOOKUP(A31,Commissioned!$A$18:$J$283,3,FALSE)),0,VLOOKUP(A31,Commissioned!$A$18:$J$283,3,FALSE))</f>
        <v>0</v>
      </c>
      <c r="D31" s="706">
        <f>IF(ISNA(VLOOKUP(A31,'Commissioned Extra'!_xlnm.Print_Area,3,FALSE)),0,VLOOKUP(A31,'Commissioned Extra'!_xlnm.Print_Area,3,FALSE))</f>
        <v>2.44</v>
      </c>
      <c r="E31">
        <f t="shared" si="0"/>
        <v>0</v>
      </c>
      <c r="F31" s="706">
        <f t="shared" si="1"/>
        <v>0</v>
      </c>
      <c r="G31" s="706">
        <f t="shared" si="2"/>
        <v>0</v>
      </c>
      <c r="H31" s="706">
        <f t="shared" si="3"/>
        <v>-2.4400000000000004</v>
      </c>
      <c r="J31" s="728" t="s">
        <v>153</v>
      </c>
      <c r="K31" s="713" t="s">
        <v>154</v>
      </c>
      <c r="L31" s="714">
        <v>21510298.829999998</v>
      </c>
      <c r="N31" s="712" t="s">
        <v>160</v>
      </c>
      <c r="O31" s="713" t="s">
        <v>161</v>
      </c>
      <c r="P31" s="714">
        <v>6480020.1900000004</v>
      </c>
      <c r="R31" s="12" t="s">
        <v>175</v>
      </c>
      <c r="S31" s="13" t="s">
        <v>176</v>
      </c>
      <c r="T31" s="15">
        <v>803202.4130371369</v>
      </c>
    </row>
    <row r="32" spans="1:21" x14ac:dyDescent="0.25">
      <c r="A32" s="708" t="s">
        <v>193</v>
      </c>
      <c r="B32" s="706">
        <v>440042.23999999999</v>
      </c>
      <c r="C32" s="706">
        <f>IF(ISNA(VLOOKUP(A32,Commissioned!$A$18:$J$283,3,FALSE)),0,VLOOKUP(A32,Commissioned!$A$18:$J$283,3,FALSE))</f>
        <v>448111.95724902448</v>
      </c>
      <c r="D32" s="706">
        <f>IF(ISNA(VLOOKUP(A32,'Commissioned Extra'!_xlnm.Print_Area,3,FALSE)),0,VLOOKUP(A32,'Commissioned Extra'!_xlnm.Print_Area,3,FALSE))</f>
        <v>0</v>
      </c>
      <c r="E32">
        <f t="shared" si="0"/>
        <v>0</v>
      </c>
      <c r="F32" s="706">
        <f t="shared" si="1"/>
        <v>-8069.7172490244848</v>
      </c>
      <c r="G32" s="706">
        <f t="shared" si="2"/>
        <v>446315.79548304318</v>
      </c>
      <c r="H32" s="706">
        <f t="shared" si="3"/>
        <v>6273.5554830431938</v>
      </c>
      <c r="J32" s="728" t="s">
        <v>156</v>
      </c>
      <c r="K32" s="713" t="s">
        <v>157</v>
      </c>
      <c r="L32" s="714">
        <v>1806908.13</v>
      </c>
      <c r="N32" s="712" t="s">
        <v>168</v>
      </c>
      <c r="O32" s="713" t="s">
        <v>169</v>
      </c>
      <c r="P32" s="714">
        <v>1843.02</v>
      </c>
      <c r="R32" s="12" t="s">
        <v>186</v>
      </c>
      <c r="S32" s="13" t="s">
        <v>2267</v>
      </c>
      <c r="T32" s="15">
        <v>-556.55999999999995</v>
      </c>
    </row>
    <row r="33" spans="1:20" x14ac:dyDescent="0.25">
      <c r="A33" s="708" t="s">
        <v>198</v>
      </c>
      <c r="B33" s="706">
        <v>207.06</v>
      </c>
      <c r="C33" s="706">
        <f>IF(ISNA(VLOOKUP(A33,Commissioned!$A$18:$J$283,3,FALSE)),0,VLOOKUP(A33,Commissioned!$A$18:$J$283,3,FALSE))</f>
        <v>0</v>
      </c>
      <c r="D33" s="706">
        <f>IF(ISNA(VLOOKUP(A33,'Commissioned Extra'!_xlnm.Print_Area,3,FALSE)),0,VLOOKUP(A33,'Commissioned Extra'!_xlnm.Print_Area,3,FALSE))</f>
        <v>0</v>
      </c>
      <c r="E33">
        <f t="shared" si="0"/>
        <v>0</v>
      </c>
      <c r="F33" s="706">
        <f t="shared" si="1"/>
        <v>207.06</v>
      </c>
      <c r="G33" s="706">
        <f t="shared" si="2"/>
        <v>0</v>
      </c>
      <c r="H33" s="706">
        <f t="shared" si="3"/>
        <v>-207.06</v>
      </c>
      <c r="J33" s="728" t="s">
        <v>158</v>
      </c>
      <c r="K33" s="713" t="s">
        <v>159</v>
      </c>
      <c r="L33" s="714">
        <v>5110670.49</v>
      </c>
      <c r="N33" s="712" t="s">
        <v>171</v>
      </c>
      <c r="O33" s="713" t="s">
        <v>172</v>
      </c>
      <c r="P33" s="714">
        <v>89188.45</v>
      </c>
      <c r="R33" s="12" t="s">
        <v>187</v>
      </c>
      <c r="S33" s="13" t="s">
        <v>2360</v>
      </c>
      <c r="T33" s="15">
        <v>-429.37</v>
      </c>
    </row>
    <row r="34" spans="1:20" x14ac:dyDescent="0.25">
      <c r="A34" s="708" t="s">
        <v>203</v>
      </c>
      <c r="B34" s="706">
        <v>64.19</v>
      </c>
      <c r="C34" s="706">
        <f>IF(ISNA(VLOOKUP(A34,Commissioned!$A$18:$J$283,3,FALSE)),0,VLOOKUP(A34,Commissioned!$A$18:$J$283,3,FALSE))</f>
        <v>0</v>
      </c>
      <c r="D34" s="706">
        <f>IF(ISNA(VLOOKUP(A34,'Commissioned Extra'!_xlnm.Print_Area,3,FALSE)),0,VLOOKUP(A34,'Commissioned Extra'!_xlnm.Print_Area,3,FALSE))</f>
        <v>271.25</v>
      </c>
      <c r="E34">
        <f t="shared" si="0"/>
        <v>0</v>
      </c>
      <c r="F34" s="706">
        <f t="shared" si="1"/>
        <v>-207.06</v>
      </c>
      <c r="G34" s="706">
        <f t="shared" si="2"/>
        <v>253.25</v>
      </c>
      <c r="H34" s="706">
        <f t="shared" si="3"/>
        <v>189.06</v>
      </c>
      <c r="J34" s="728" t="s">
        <v>160</v>
      </c>
      <c r="K34" s="713" t="s">
        <v>161</v>
      </c>
      <c r="L34" s="714">
        <v>5674943.2000000002</v>
      </c>
      <c r="N34" s="712" t="s">
        <v>177</v>
      </c>
      <c r="O34" s="713" t="s">
        <v>178</v>
      </c>
      <c r="P34" s="714">
        <v>1695115.32</v>
      </c>
      <c r="R34" s="12" t="s">
        <v>193</v>
      </c>
      <c r="S34" s="13" t="s">
        <v>194</v>
      </c>
      <c r="T34" s="15">
        <v>446315.79548304318</v>
      </c>
    </row>
    <row r="35" spans="1:20" x14ac:dyDescent="0.25">
      <c r="A35" s="708" t="s">
        <v>209</v>
      </c>
      <c r="B35" s="706">
        <v>3499524.4400000013</v>
      </c>
      <c r="C35" s="706">
        <f>IF(ISNA(VLOOKUP(A35,Commissioned!$A$18:$J$283,3,FALSE)),0,VLOOKUP(A35,Commissioned!$A$18:$J$283,3,FALSE))</f>
        <v>0</v>
      </c>
      <c r="D35" s="706">
        <f>IF(ISNA(VLOOKUP(A35,'Commissioned Extra'!_xlnm.Print_Area,3,FALSE)),0,VLOOKUP(A35,'Commissioned Extra'!_xlnm.Print_Area,3,FALSE))</f>
        <v>3536025.5901379585</v>
      </c>
      <c r="E35">
        <f t="shared" si="0"/>
        <v>54.93</v>
      </c>
      <c r="F35" s="706">
        <f t="shared" si="1"/>
        <v>-36556.080137957353</v>
      </c>
      <c r="G35" s="706">
        <f t="shared" si="2"/>
        <v>3510683.584561469</v>
      </c>
      <c r="H35" s="706">
        <f t="shared" si="3"/>
        <v>11159.144561467692</v>
      </c>
      <c r="J35" s="728" t="s">
        <v>168</v>
      </c>
      <c r="K35" s="713" t="s">
        <v>169</v>
      </c>
      <c r="L35" s="714">
        <v>413388.13</v>
      </c>
      <c r="N35" s="712" t="s">
        <v>192</v>
      </c>
      <c r="O35" s="713" t="s">
        <v>2372</v>
      </c>
      <c r="P35" s="714">
        <v>621294.22</v>
      </c>
      <c r="R35" s="12" t="s">
        <v>203</v>
      </c>
      <c r="S35" s="13" t="s">
        <v>204</v>
      </c>
      <c r="T35" s="15">
        <v>253.25</v>
      </c>
    </row>
    <row r="36" spans="1:20" x14ac:dyDescent="0.25">
      <c r="A36" s="708" t="s">
        <v>220</v>
      </c>
      <c r="B36" s="706">
        <v>475740.83</v>
      </c>
      <c r="C36" s="706">
        <f>IF(ISNA(VLOOKUP(A36,Commissioned!$A$18:$J$283,3,FALSE)),0,VLOOKUP(A36,Commissioned!$A$18:$J$283,3,FALSE))</f>
        <v>0</v>
      </c>
      <c r="D36" s="706">
        <f>IF(ISNA(VLOOKUP(A36,'Commissioned Extra'!_xlnm.Print_Area,3,FALSE)),0,VLOOKUP(A36,'Commissioned Extra'!_xlnm.Print_Area,3,FALSE))</f>
        <v>484157.84891434119</v>
      </c>
      <c r="E36">
        <f t="shared" si="0"/>
        <v>0</v>
      </c>
      <c r="F36" s="706">
        <f t="shared" si="1"/>
        <v>-8417.0189143411699</v>
      </c>
      <c r="G36" s="706">
        <f t="shared" si="2"/>
        <v>474247.87466215243</v>
      </c>
      <c r="H36" s="706">
        <f t="shared" si="3"/>
        <v>-1492.955337847583</v>
      </c>
      <c r="J36" s="728" t="s">
        <v>171</v>
      </c>
      <c r="K36" s="713" t="s">
        <v>172</v>
      </c>
      <c r="L36" s="714">
        <v>89188.45</v>
      </c>
      <c r="N36" s="712" t="s">
        <v>196</v>
      </c>
      <c r="O36" s="713" t="s">
        <v>197</v>
      </c>
      <c r="P36" s="714">
        <v>1040053.58</v>
      </c>
      <c r="R36" s="12" t="s">
        <v>209</v>
      </c>
      <c r="S36" s="13" t="s">
        <v>210</v>
      </c>
      <c r="T36" s="15">
        <v>3510738.584561469</v>
      </c>
    </row>
    <row r="37" spans="1:20" x14ac:dyDescent="0.25">
      <c r="A37" s="708" t="s">
        <v>221</v>
      </c>
      <c r="B37" s="706">
        <v>145338.79999999999</v>
      </c>
      <c r="C37" s="706">
        <f>IF(ISNA(VLOOKUP(A37,Commissioned!$A$18:$J$283,3,FALSE)),0,VLOOKUP(A37,Commissioned!$A$18:$J$283,3,FALSE))</f>
        <v>0</v>
      </c>
      <c r="D37" s="706">
        <f>IF(ISNA(VLOOKUP(A37,'Commissioned Extra'!_xlnm.Print_Area,3,FALSE)),0,VLOOKUP(A37,'Commissioned Extra'!_xlnm.Print_Area,3,FALSE))</f>
        <v>145338.79999999999</v>
      </c>
      <c r="E37">
        <f t="shared" si="0"/>
        <v>0</v>
      </c>
      <c r="F37" s="706">
        <f t="shared" si="1"/>
        <v>0</v>
      </c>
      <c r="G37" s="706">
        <f t="shared" si="2"/>
        <v>141579.79999999999</v>
      </c>
      <c r="H37" s="706">
        <f t="shared" si="3"/>
        <v>-3759</v>
      </c>
      <c r="J37" s="728" t="s">
        <v>175</v>
      </c>
      <c r="K37" s="713" t="s">
        <v>176</v>
      </c>
      <c r="L37" s="714">
        <v>762234.37</v>
      </c>
      <c r="N37" s="712" t="s">
        <v>200</v>
      </c>
      <c r="O37" s="713" t="s">
        <v>201</v>
      </c>
      <c r="P37" s="714">
        <v>537433</v>
      </c>
      <c r="R37" s="12" t="s">
        <v>209</v>
      </c>
      <c r="S37" s="13" t="s">
        <v>210</v>
      </c>
      <c r="T37" s="15">
        <v>-55</v>
      </c>
    </row>
    <row r="38" spans="1:20" x14ac:dyDescent="0.25">
      <c r="A38" s="708" t="s">
        <v>237</v>
      </c>
      <c r="B38" s="706">
        <v>-2221.56</v>
      </c>
      <c r="C38" s="706">
        <f>IF(ISNA(VLOOKUP(A38,Commissioned!$A$18:$J$283,3,FALSE)),0,VLOOKUP(A38,Commissioned!$A$18:$J$283,3,FALSE))</f>
        <v>0</v>
      </c>
      <c r="D38" s="706">
        <f>IF(ISNA(VLOOKUP(A38,'Commissioned Extra'!_xlnm.Print_Area,3,FALSE)),0,VLOOKUP(A38,'Commissioned Extra'!_xlnm.Print_Area,3,FALSE))</f>
        <v>-2221.56</v>
      </c>
      <c r="E38">
        <f t="shared" si="0"/>
        <v>0</v>
      </c>
      <c r="F38" s="706">
        <f t="shared" si="1"/>
        <v>0</v>
      </c>
      <c r="G38" s="706">
        <f t="shared" si="2"/>
        <v>-2221.5500000000002</v>
      </c>
      <c r="H38" s="706">
        <f t="shared" si="3"/>
        <v>9.9999999997635314E-3</v>
      </c>
      <c r="J38" s="728" t="s">
        <v>177</v>
      </c>
      <c r="K38" s="713" t="s">
        <v>178</v>
      </c>
      <c r="L38" s="714">
        <v>827707.4</v>
      </c>
      <c r="N38" s="712" t="s">
        <v>205</v>
      </c>
      <c r="O38" s="713" t="s">
        <v>206</v>
      </c>
      <c r="P38" s="714">
        <v>150008.12</v>
      </c>
      <c r="R38" s="12" t="s">
        <v>220</v>
      </c>
      <c r="S38" s="13" t="s">
        <v>2373</v>
      </c>
      <c r="T38" s="15">
        <v>474247.87466215243</v>
      </c>
    </row>
    <row r="39" spans="1:20" x14ac:dyDescent="0.25">
      <c r="A39" s="708" t="s">
        <v>239</v>
      </c>
      <c r="B39" s="706">
        <v>24824.21</v>
      </c>
      <c r="C39" s="706">
        <f>IF(ISNA(VLOOKUP(A39,Commissioned!$A$18:$J$283,3,FALSE)),0,VLOOKUP(A39,Commissioned!$A$18:$J$283,3,FALSE))</f>
        <v>24938.217939001832</v>
      </c>
      <c r="D39" s="706">
        <f>IF(ISNA(VLOOKUP(A39,'Commissioned Extra'!_xlnm.Print_Area,3,FALSE)),0,VLOOKUP(A39,'Commissioned Extra'!_xlnm.Print_Area,3,FALSE))</f>
        <v>0</v>
      </c>
      <c r="E39">
        <f t="shared" si="0"/>
        <v>0</v>
      </c>
      <c r="F39" s="706">
        <f t="shared" si="1"/>
        <v>-114.00793900183271</v>
      </c>
      <c r="G39" s="706">
        <f t="shared" si="2"/>
        <v>24859.21793900185</v>
      </c>
      <c r="H39" s="706">
        <f t="shared" si="3"/>
        <v>35.0079390018509</v>
      </c>
      <c r="J39" s="728" t="s">
        <v>186</v>
      </c>
      <c r="K39" s="713" t="s">
        <v>2267</v>
      </c>
      <c r="L39" s="714">
        <v>-556.55999999999995</v>
      </c>
      <c r="N39" s="712" t="s">
        <v>209</v>
      </c>
      <c r="O39" s="713" t="s">
        <v>210</v>
      </c>
      <c r="P39" s="714">
        <v>54.93</v>
      </c>
      <c r="R39" s="12" t="s">
        <v>221</v>
      </c>
      <c r="S39" s="13" t="s">
        <v>222</v>
      </c>
      <c r="T39" s="15">
        <v>141579.79999999999</v>
      </c>
    </row>
    <row r="40" spans="1:20" x14ac:dyDescent="0.25">
      <c r="A40" s="708" t="s">
        <v>252</v>
      </c>
      <c r="B40" s="706">
        <v>10361.02</v>
      </c>
      <c r="C40" s="706">
        <f>IF(ISNA(VLOOKUP(A40,Commissioned!$A$18:$J$283,3,FALSE)),0,VLOOKUP(A40,Commissioned!$A$18:$J$283,3,FALSE))</f>
        <v>0</v>
      </c>
      <c r="D40" s="706">
        <f>IF(ISNA(VLOOKUP(A40,'Commissioned Extra'!_xlnm.Print_Area,3,FALSE)),0,VLOOKUP(A40,'Commissioned Extra'!_xlnm.Print_Area,3,FALSE))</f>
        <v>10361.02</v>
      </c>
      <c r="E40">
        <f t="shared" si="0"/>
        <v>0</v>
      </c>
      <c r="F40" s="706">
        <f t="shared" si="1"/>
        <v>0</v>
      </c>
      <c r="G40" s="706">
        <f t="shared" si="2"/>
        <v>10294.02</v>
      </c>
      <c r="H40" s="706">
        <f t="shared" si="3"/>
        <v>-67</v>
      </c>
      <c r="J40" s="728" t="s">
        <v>187</v>
      </c>
      <c r="K40" s="713" t="s">
        <v>2360</v>
      </c>
      <c r="L40" s="714">
        <v>-429.37</v>
      </c>
      <c r="N40" s="712" t="s">
        <v>214</v>
      </c>
      <c r="O40" s="713" t="s">
        <v>215</v>
      </c>
      <c r="P40" s="714">
        <v>7323.17</v>
      </c>
      <c r="R40" s="12" t="s">
        <v>229</v>
      </c>
      <c r="S40" s="13" t="s">
        <v>230</v>
      </c>
      <c r="T40" s="15">
        <v>9.9999999999980105E-3</v>
      </c>
    </row>
    <row r="41" spans="1:20" x14ac:dyDescent="0.25">
      <c r="A41" s="708" t="s">
        <v>254</v>
      </c>
      <c r="B41" s="706">
        <v>160.63999999999999</v>
      </c>
      <c r="C41" s="706">
        <f>IF(ISNA(VLOOKUP(A41,Commissioned!$A$18:$J$283,3,FALSE)),0,VLOOKUP(A41,Commissioned!$A$18:$J$283,3,FALSE))</f>
        <v>0</v>
      </c>
      <c r="D41" s="706">
        <f>IF(ISNA(VLOOKUP(A41,'Commissioned Extra'!_xlnm.Print_Area,3,FALSE)),0,VLOOKUP(A41,'Commissioned Extra'!_xlnm.Print_Area,3,FALSE))</f>
        <v>160.63999999999999</v>
      </c>
      <c r="E41">
        <f t="shared" si="0"/>
        <v>0</v>
      </c>
      <c r="F41" s="706">
        <f t="shared" si="1"/>
        <v>0</v>
      </c>
      <c r="G41" s="706">
        <f t="shared" si="2"/>
        <v>136.63999999999999</v>
      </c>
      <c r="H41" s="706">
        <f t="shared" si="3"/>
        <v>-24</v>
      </c>
      <c r="J41" s="728" t="s">
        <v>188</v>
      </c>
      <c r="K41" s="713" t="s">
        <v>189</v>
      </c>
      <c r="L41" s="714">
        <v>337590.69</v>
      </c>
      <c r="N41" s="712" t="s">
        <v>216</v>
      </c>
      <c r="O41" s="713" t="s">
        <v>217</v>
      </c>
      <c r="P41" s="714">
        <v>969791.47</v>
      </c>
      <c r="R41" s="12" t="s">
        <v>237</v>
      </c>
      <c r="S41" s="13" t="s">
        <v>238</v>
      </c>
      <c r="T41" s="15">
        <v>-2221.5500000000002</v>
      </c>
    </row>
    <row r="42" spans="1:20" x14ac:dyDescent="0.25">
      <c r="A42" s="708" t="s">
        <v>255</v>
      </c>
      <c r="B42" s="706">
        <v>171872.55</v>
      </c>
      <c r="C42" s="706">
        <f>IF(ISNA(VLOOKUP(A42,Commissioned!$A$18:$J$283,3,FALSE)),0,VLOOKUP(A42,Commissioned!$A$18:$J$283,3,FALSE))</f>
        <v>172996.06875231038</v>
      </c>
      <c r="D42" s="706">
        <f>IF(ISNA(VLOOKUP(A42,'Commissioned Extra'!_xlnm.Print_Area,3,FALSE)),0,VLOOKUP(A42,'Commissioned Extra'!_xlnm.Print_Area,3,FALSE))</f>
        <v>0</v>
      </c>
      <c r="E42">
        <f t="shared" si="0"/>
        <v>0</v>
      </c>
      <c r="F42" s="706">
        <f t="shared" si="1"/>
        <v>-1123.5187523103959</v>
      </c>
      <c r="G42" s="706">
        <f t="shared" si="2"/>
        <v>172846.1792350024</v>
      </c>
      <c r="H42" s="706">
        <f t="shared" si="3"/>
        <v>973.62923500241595</v>
      </c>
      <c r="J42" s="728" t="s">
        <v>193</v>
      </c>
      <c r="K42" s="713" t="s">
        <v>194</v>
      </c>
      <c r="L42" s="714">
        <v>370861.94</v>
      </c>
      <c r="N42" s="712" t="s">
        <v>223</v>
      </c>
      <c r="O42" s="713" t="s">
        <v>224</v>
      </c>
      <c r="P42" s="714">
        <v>723460.96</v>
      </c>
      <c r="R42" s="12" t="s">
        <v>239</v>
      </c>
      <c r="S42" s="13" t="s">
        <v>240</v>
      </c>
      <c r="T42" s="15">
        <v>24859.21793900185</v>
      </c>
    </row>
    <row r="43" spans="1:20" x14ac:dyDescent="0.25">
      <c r="A43" s="708" t="s">
        <v>257</v>
      </c>
      <c r="B43" s="706">
        <v>1448.55</v>
      </c>
      <c r="C43" s="706">
        <f>IF(ISNA(VLOOKUP(A43,Commissioned!$A$18:$J$283,3,FALSE)),0,VLOOKUP(A43,Commissioned!$A$18:$J$283,3,FALSE))</f>
        <v>0</v>
      </c>
      <c r="D43" s="706">
        <f>IF(ISNA(VLOOKUP(A43,'Commissioned Extra'!_xlnm.Print_Area,3,FALSE)),0,VLOOKUP(A43,'Commissioned Extra'!_xlnm.Print_Area,3,FALSE))</f>
        <v>1448.55</v>
      </c>
      <c r="E43">
        <f t="shared" si="0"/>
        <v>0</v>
      </c>
      <c r="F43" s="706">
        <f t="shared" si="1"/>
        <v>0</v>
      </c>
      <c r="G43" s="706">
        <f t="shared" si="2"/>
        <v>1400.55</v>
      </c>
      <c r="H43" s="706">
        <f t="shared" si="3"/>
        <v>-48</v>
      </c>
      <c r="J43" s="728" t="s">
        <v>196</v>
      </c>
      <c r="K43" s="713" t="s">
        <v>197</v>
      </c>
      <c r="L43" s="714">
        <v>356902.63</v>
      </c>
      <c r="N43" s="712" t="s">
        <v>231</v>
      </c>
      <c r="O43" s="713" t="s">
        <v>232</v>
      </c>
      <c r="P43" s="714">
        <v>8204693.5499999998</v>
      </c>
      <c r="R43" s="12" t="s">
        <v>252</v>
      </c>
      <c r="S43" s="13" t="s">
        <v>253</v>
      </c>
      <c r="T43" s="15">
        <v>10294.02</v>
      </c>
    </row>
    <row r="44" spans="1:20" x14ac:dyDescent="0.25">
      <c r="A44" s="708" t="s">
        <v>268</v>
      </c>
      <c r="B44" s="706">
        <v>730031.55999999982</v>
      </c>
      <c r="C44" s="706">
        <f>IF(ISNA(VLOOKUP(A44,Commissioned!$A$18:$J$283,3,FALSE)),0,VLOOKUP(A44,Commissioned!$A$18:$J$283,3,FALSE))</f>
        <v>0</v>
      </c>
      <c r="D44" s="706">
        <f>IF(ISNA(VLOOKUP(A44,'Commissioned Extra'!_xlnm.Print_Area,3,FALSE)),0,VLOOKUP(A44,'Commissioned Extra'!_xlnm.Print_Area,3,FALSE))</f>
        <v>730031.56</v>
      </c>
      <c r="E44">
        <f t="shared" si="0"/>
        <v>0</v>
      </c>
      <c r="F44" s="706">
        <f t="shared" si="1"/>
        <v>0</v>
      </c>
      <c r="G44" s="706">
        <f t="shared" si="2"/>
        <v>714341.58000000007</v>
      </c>
      <c r="H44" s="706">
        <f t="shared" si="3"/>
        <v>-15689.979999999749</v>
      </c>
      <c r="J44" s="728" t="s">
        <v>200</v>
      </c>
      <c r="K44" s="713" t="s">
        <v>201</v>
      </c>
      <c r="L44" s="714">
        <v>182545.85</v>
      </c>
      <c r="N44" s="712" t="s">
        <v>234</v>
      </c>
      <c r="O44" s="713" t="s">
        <v>2374</v>
      </c>
      <c r="P44" s="714">
        <v>970362.66</v>
      </c>
      <c r="R44" s="12" t="s">
        <v>254</v>
      </c>
      <c r="S44" s="13" t="s">
        <v>2375</v>
      </c>
      <c r="T44" s="15">
        <v>136.63999999999999</v>
      </c>
    </row>
    <row r="45" spans="1:20" x14ac:dyDescent="0.25">
      <c r="A45" s="708" t="s">
        <v>270</v>
      </c>
      <c r="B45" s="706">
        <v>406569.86999999994</v>
      </c>
      <c r="C45" s="706">
        <f>IF(ISNA(VLOOKUP(A45,Commissioned!$A$18:$J$283,3,FALSE)),0,VLOOKUP(A45,Commissioned!$A$18:$J$283,3,FALSE))</f>
        <v>0</v>
      </c>
      <c r="D45" s="706">
        <f>IF(ISNA(VLOOKUP(A45,'Commissioned Extra'!_xlnm.Print_Area,3,FALSE)),0,VLOOKUP(A45,'Commissioned Extra'!_xlnm.Print_Area,3,FALSE))</f>
        <v>406569.87</v>
      </c>
      <c r="E45">
        <f t="shared" si="0"/>
        <v>0</v>
      </c>
      <c r="F45" s="706">
        <f t="shared" si="1"/>
        <v>0</v>
      </c>
      <c r="G45" s="706">
        <f t="shared" si="2"/>
        <v>387512.87</v>
      </c>
      <c r="H45" s="706">
        <f t="shared" si="3"/>
        <v>-19056.999999999942</v>
      </c>
      <c r="J45" s="728" t="s">
        <v>205</v>
      </c>
      <c r="K45" s="713" t="s">
        <v>206</v>
      </c>
      <c r="L45" s="714">
        <v>150008.12</v>
      </c>
      <c r="N45" s="712" t="s">
        <v>235</v>
      </c>
      <c r="O45" s="713" t="s">
        <v>236</v>
      </c>
      <c r="P45" s="714">
        <v>2058820.58</v>
      </c>
      <c r="R45" s="12" t="s">
        <v>255</v>
      </c>
      <c r="S45" s="13" t="s">
        <v>256</v>
      </c>
      <c r="T45" s="15">
        <v>172846.1792350024</v>
      </c>
    </row>
    <row r="46" spans="1:20" x14ac:dyDescent="0.25">
      <c r="A46" s="708" t="s">
        <v>272</v>
      </c>
      <c r="B46" s="706">
        <v>2196648.9200000013</v>
      </c>
      <c r="C46" s="706">
        <f>IF(ISNA(VLOOKUP(A46,Commissioned!$A$18:$J$283,3,FALSE)),0,VLOOKUP(A46,Commissioned!$A$18:$J$283,3,FALSE))</f>
        <v>0</v>
      </c>
      <c r="D46" s="706">
        <f>IF(ISNA(VLOOKUP(A46,'Commissioned Extra'!_xlnm.Print_Area,3,FALSE)),0,VLOOKUP(A46,'Commissioned Extra'!_xlnm.Print_Area,3,FALSE))</f>
        <v>2237204.9325340381</v>
      </c>
      <c r="E46">
        <f t="shared" si="0"/>
        <v>0</v>
      </c>
      <c r="F46" s="706">
        <f t="shared" si="1"/>
        <v>-40556.012534036767</v>
      </c>
      <c r="G46" s="706">
        <f t="shared" si="2"/>
        <v>2215817.7676081201</v>
      </c>
      <c r="H46" s="706">
        <f t="shared" si="3"/>
        <v>19168.847608118784</v>
      </c>
      <c r="J46" s="728" t="s">
        <v>209</v>
      </c>
      <c r="K46" s="713" t="s">
        <v>210</v>
      </c>
      <c r="L46" s="714">
        <v>1606452.97</v>
      </c>
      <c r="N46" s="712" t="s">
        <v>241</v>
      </c>
      <c r="O46" s="713" t="s">
        <v>242</v>
      </c>
      <c r="P46" s="714">
        <v>516019.81</v>
      </c>
      <c r="R46" s="12" t="s">
        <v>257</v>
      </c>
      <c r="S46" s="13" t="s">
        <v>2376</v>
      </c>
      <c r="T46" s="15">
        <v>1400.55</v>
      </c>
    </row>
    <row r="47" spans="1:20" x14ac:dyDescent="0.25">
      <c r="A47" s="708" t="s">
        <v>274</v>
      </c>
      <c r="B47" s="706">
        <v>1743161.2299999997</v>
      </c>
      <c r="C47" s="706">
        <f>IF(ISNA(VLOOKUP(A47,Commissioned!$A$18:$J$283,3,FALSE)),0,VLOOKUP(A47,Commissioned!$A$18:$J$283,3,FALSE))</f>
        <v>0</v>
      </c>
      <c r="D47" s="706">
        <f>IF(ISNA(VLOOKUP(A47,'Commissioned Extra'!_xlnm.Print_Area,3,FALSE)),0,VLOOKUP(A47,'Commissioned Extra'!_xlnm.Print_Area,3,FALSE))</f>
        <v>1775154.5025063653</v>
      </c>
      <c r="E47">
        <f t="shared" si="0"/>
        <v>114.08</v>
      </c>
      <c r="F47" s="706">
        <f t="shared" si="1"/>
        <v>-32107.352506365627</v>
      </c>
      <c r="G47" s="706">
        <f t="shared" si="2"/>
        <v>1743107.5797009466</v>
      </c>
      <c r="H47" s="706">
        <f t="shared" si="3"/>
        <v>-53.650299053173512</v>
      </c>
      <c r="J47" s="728" t="s">
        <v>214</v>
      </c>
      <c r="K47" s="713" t="s">
        <v>215</v>
      </c>
      <c r="L47" s="714">
        <v>852.42</v>
      </c>
      <c r="N47" s="712" t="s">
        <v>243</v>
      </c>
      <c r="O47" s="713" t="s">
        <v>244</v>
      </c>
      <c r="P47" s="714">
        <v>7549200.0300000003</v>
      </c>
      <c r="R47" s="12" t="s">
        <v>268</v>
      </c>
      <c r="S47" s="13" t="s">
        <v>269</v>
      </c>
      <c r="T47" s="15">
        <v>714341.58000000007</v>
      </c>
    </row>
    <row r="48" spans="1:20" x14ac:dyDescent="0.25">
      <c r="A48" s="708" t="s">
        <v>276</v>
      </c>
      <c r="B48" s="706">
        <v>276166.63999999996</v>
      </c>
      <c r="C48" s="706">
        <f>IF(ISNA(VLOOKUP(A48,Commissioned!$A$18:$J$283,3,FALSE)),0,VLOOKUP(A48,Commissioned!$A$18:$J$283,3,FALSE))</f>
        <v>0</v>
      </c>
      <c r="D48" s="706">
        <f>IF(ISNA(VLOOKUP(A48,'Commissioned Extra'!_xlnm.Print_Area,3,FALSE)),0,VLOOKUP(A48,'Commissioned Extra'!_xlnm.Print_Area,3,FALSE))</f>
        <v>282037.09537892707</v>
      </c>
      <c r="E48">
        <f t="shared" si="0"/>
        <v>0</v>
      </c>
      <c r="F48" s="706">
        <f t="shared" si="1"/>
        <v>-5870.4553789271158</v>
      </c>
      <c r="G48" s="706">
        <f t="shared" si="2"/>
        <v>281214.93682216428</v>
      </c>
      <c r="H48" s="706">
        <f t="shared" si="3"/>
        <v>5048.2968221643241</v>
      </c>
      <c r="J48" s="728" t="s">
        <v>216</v>
      </c>
      <c r="K48" s="713" t="s">
        <v>217</v>
      </c>
      <c r="L48" s="714">
        <v>500355.87</v>
      </c>
      <c r="N48" s="712" t="s">
        <v>3090</v>
      </c>
      <c r="O48" s="713" t="s">
        <v>3091</v>
      </c>
      <c r="P48" s="714">
        <v>319512.74</v>
      </c>
      <c r="R48" s="12" t="s">
        <v>270</v>
      </c>
      <c r="S48" s="13" t="s">
        <v>271</v>
      </c>
      <c r="T48" s="15">
        <v>387512.87</v>
      </c>
    </row>
    <row r="49" spans="1:20" x14ac:dyDescent="0.25">
      <c r="A49" s="708" t="s">
        <v>277</v>
      </c>
      <c r="B49" s="706">
        <v>1728863.3899999962</v>
      </c>
      <c r="C49" s="706">
        <f>IF(ISNA(VLOOKUP(A49,Commissioned!$A$18:$J$283,3,FALSE)),0,VLOOKUP(A49,Commissioned!$A$18:$J$283,3,FALSE))</f>
        <v>1759326.2731238401</v>
      </c>
      <c r="D49" s="706">
        <f>IF(ISNA(VLOOKUP(A49,'Commissioned Extra'!_xlnm.Print_Area,3,FALSE)),0,VLOOKUP(A49,'Commissioned Extra'!_xlnm.Print_Area,3,FALSE))</f>
        <v>0</v>
      </c>
      <c r="E49">
        <f t="shared" si="0"/>
        <v>0</v>
      </c>
      <c r="F49" s="706">
        <f t="shared" si="1"/>
        <v>-30462.883123843931</v>
      </c>
      <c r="G49" s="706">
        <f t="shared" si="2"/>
        <v>1759002.811397871</v>
      </c>
      <c r="H49" s="706">
        <f t="shared" si="3"/>
        <v>30139.42139787483</v>
      </c>
      <c r="J49" s="728" t="s">
        <v>220</v>
      </c>
      <c r="K49" s="713" t="s">
        <v>3124</v>
      </c>
      <c r="L49" s="714">
        <v>380175.74</v>
      </c>
      <c r="N49" s="712" t="s">
        <v>245</v>
      </c>
      <c r="O49" s="713" t="s">
        <v>246</v>
      </c>
      <c r="P49" s="714">
        <v>10952753.32</v>
      </c>
      <c r="R49" s="12" t="s">
        <v>272</v>
      </c>
      <c r="S49" s="13" t="s">
        <v>273</v>
      </c>
      <c r="T49" s="15">
        <v>2215817.7676081201</v>
      </c>
    </row>
    <row r="50" spans="1:20" x14ac:dyDescent="0.25">
      <c r="A50" s="708" t="s">
        <v>284</v>
      </c>
      <c r="B50" s="706">
        <v>83668.19</v>
      </c>
      <c r="C50" s="706">
        <f>IF(ISNA(VLOOKUP(A50,Commissioned!$A$18:$J$283,3,FALSE)),0,VLOOKUP(A50,Commissioned!$A$18:$J$283,3,FALSE))</f>
        <v>0</v>
      </c>
      <c r="D50" s="706">
        <f>IF(ISNA(VLOOKUP(A50,'Commissioned Extra'!_xlnm.Print_Area,3,FALSE)),0,VLOOKUP(A50,'Commissioned Extra'!_xlnm.Print_Area,3,FALSE))</f>
        <v>85446.718992606038</v>
      </c>
      <c r="E50">
        <f t="shared" si="0"/>
        <v>0</v>
      </c>
      <c r="F50" s="706">
        <f t="shared" si="1"/>
        <v>-1778.5289926060359</v>
      </c>
      <c r="G50" s="706">
        <f t="shared" si="2"/>
        <v>85370.492371449393</v>
      </c>
      <c r="H50" s="706">
        <f t="shared" si="3"/>
        <v>1702.3023714493902</v>
      </c>
      <c r="J50" s="728" t="s">
        <v>223</v>
      </c>
      <c r="K50" s="713" t="s">
        <v>224</v>
      </c>
      <c r="L50" s="714">
        <v>28007.03</v>
      </c>
      <c r="N50" s="712" t="s">
        <v>248</v>
      </c>
      <c r="O50" s="713" t="s">
        <v>249</v>
      </c>
      <c r="P50" s="714">
        <v>319913.90000000002</v>
      </c>
      <c r="R50" s="12" t="s">
        <v>274</v>
      </c>
      <c r="S50" s="13" t="s">
        <v>275</v>
      </c>
      <c r="T50" s="15">
        <v>1743221.5797009466</v>
      </c>
    </row>
    <row r="51" spans="1:20" x14ac:dyDescent="0.25">
      <c r="A51" s="708" t="s">
        <v>285</v>
      </c>
      <c r="B51" s="706">
        <v>258512.14</v>
      </c>
      <c r="C51" s="706">
        <f>IF(ISNA(VLOOKUP(A51,Commissioned!$A$18:$J$283,3,FALSE)),0,VLOOKUP(A51,Commissioned!$A$18:$J$283,3,FALSE))</f>
        <v>0</v>
      </c>
      <c r="D51" s="706">
        <f>IF(ISNA(VLOOKUP(A51,'Commissioned Extra'!_xlnm.Print_Area,3,FALSE)),0,VLOOKUP(A51,'Commissioned Extra'!_xlnm.Print_Area,3,FALSE))</f>
        <v>258512.13999999998</v>
      </c>
      <c r="E51">
        <f t="shared" si="0"/>
        <v>88.73</v>
      </c>
      <c r="F51" s="706">
        <f t="shared" si="1"/>
        <v>-88.729999999981374</v>
      </c>
      <c r="G51" s="706">
        <f t="shared" si="2"/>
        <v>257168.87</v>
      </c>
      <c r="H51" s="706">
        <f t="shared" si="3"/>
        <v>-1343.2700000000186</v>
      </c>
      <c r="J51" s="728" t="s">
        <v>229</v>
      </c>
      <c r="K51" s="713" t="s">
        <v>230</v>
      </c>
      <c r="L51" s="714">
        <v>16.18</v>
      </c>
      <c r="N51" s="712" t="s">
        <v>250</v>
      </c>
      <c r="O51" s="713" t="s">
        <v>251</v>
      </c>
      <c r="P51" s="714">
        <v>131721.79999999999</v>
      </c>
      <c r="R51" s="12" t="s">
        <v>274</v>
      </c>
      <c r="S51" s="13" t="s">
        <v>275</v>
      </c>
      <c r="T51" s="15">
        <v>-114</v>
      </c>
    </row>
    <row r="52" spans="1:20" x14ac:dyDescent="0.25">
      <c r="A52" s="708" t="s">
        <v>297</v>
      </c>
      <c r="B52" s="706">
        <v>794166.54</v>
      </c>
      <c r="C52" s="706">
        <f>IF(ISNA(VLOOKUP(A52,Commissioned!$A$18:$J$283,3,FALSE)),0,VLOOKUP(A52,Commissioned!$A$18:$J$283,3,FALSE))</f>
        <v>0</v>
      </c>
      <c r="D52" s="706">
        <f>IF(ISNA(VLOOKUP(A52,'Commissioned Extra'!_xlnm.Print_Area,3,FALSE)),0,VLOOKUP(A52,'Commissioned Extra'!_xlnm.Print_Area,3,FALSE))</f>
        <v>794180.12</v>
      </c>
      <c r="E52">
        <f t="shared" si="0"/>
        <v>13.58</v>
      </c>
      <c r="F52" s="706">
        <f t="shared" si="1"/>
        <v>-27.159999999916181</v>
      </c>
      <c r="G52" s="706">
        <f t="shared" si="2"/>
        <v>793246.12</v>
      </c>
      <c r="H52" s="706">
        <f t="shared" si="3"/>
        <v>-920.42000000004191</v>
      </c>
      <c r="J52" s="728" t="s">
        <v>231</v>
      </c>
      <c r="K52" s="713" t="s">
        <v>232</v>
      </c>
      <c r="L52" s="714">
        <v>6682408.1500000004</v>
      </c>
      <c r="N52" s="712" t="s">
        <v>258</v>
      </c>
      <c r="O52" s="713" t="s">
        <v>259</v>
      </c>
      <c r="P52" s="714">
        <v>216308.45</v>
      </c>
      <c r="R52" s="12" t="s">
        <v>276</v>
      </c>
      <c r="S52" s="13" t="s">
        <v>2377</v>
      </c>
      <c r="T52" s="15">
        <v>281214.93682216428</v>
      </c>
    </row>
    <row r="53" spans="1:20" x14ac:dyDescent="0.25">
      <c r="A53" s="708" t="s">
        <v>304</v>
      </c>
      <c r="B53" s="706">
        <v>1116.27</v>
      </c>
      <c r="C53" s="706">
        <f>IF(ISNA(VLOOKUP(A53,Commissioned!$A$18:$J$283,3,FALSE)),0,VLOOKUP(A53,Commissioned!$A$18:$J$283,3,FALSE))</f>
        <v>0</v>
      </c>
      <c r="D53" s="706">
        <f>IF(ISNA(VLOOKUP(A53,'Commissioned Extra'!_xlnm.Print_Area,3,FALSE)),0,VLOOKUP(A53,'Commissioned Extra'!_xlnm.Print_Area,3,FALSE))</f>
        <v>1116.27</v>
      </c>
      <c r="E53">
        <f t="shared" si="0"/>
        <v>0</v>
      </c>
      <c r="F53" s="706">
        <f t="shared" si="1"/>
        <v>0</v>
      </c>
      <c r="G53" s="706">
        <f t="shared" si="2"/>
        <v>1031.27</v>
      </c>
      <c r="H53" s="706">
        <f t="shared" si="3"/>
        <v>-85</v>
      </c>
      <c r="J53" s="728" t="s">
        <v>234</v>
      </c>
      <c r="K53" s="713" t="s">
        <v>2374</v>
      </c>
      <c r="L53" s="714">
        <v>33217.21</v>
      </c>
      <c r="N53" s="712" t="s">
        <v>260</v>
      </c>
      <c r="O53" s="713" t="s">
        <v>261</v>
      </c>
      <c r="P53" s="714">
        <v>2213051.5499999998</v>
      </c>
      <c r="R53" s="12" t="s">
        <v>277</v>
      </c>
      <c r="S53" s="13" t="s">
        <v>278</v>
      </c>
      <c r="T53" s="15">
        <v>1759002.811397871</v>
      </c>
    </row>
    <row r="54" spans="1:20" x14ac:dyDescent="0.25">
      <c r="A54" s="708" t="s">
        <v>312</v>
      </c>
      <c r="B54" s="706">
        <v>372723.37</v>
      </c>
      <c r="C54" s="706">
        <f>IF(ISNA(VLOOKUP(A54,Commissioned!$A$18:$J$283,3,FALSE)),0,VLOOKUP(A54,Commissioned!$A$18:$J$283,3,FALSE))</f>
        <v>0</v>
      </c>
      <c r="D54" s="706">
        <f>IF(ISNA(VLOOKUP(A54,'Commissioned Extra'!_xlnm.Print_Area,3,FALSE)),0,VLOOKUP(A54,'Commissioned Extra'!_xlnm.Print_Area,3,FALSE))</f>
        <v>372723.37</v>
      </c>
      <c r="E54">
        <f t="shared" si="0"/>
        <v>2642.78</v>
      </c>
      <c r="F54" s="706">
        <f t="shared" si="1"/>
        <v>-2642.7800000000279</v>
      </c>
      <c r="G54" s="706">
        <f t="shared" si="2"/>
        <v>368737.16</v>
      </c>
      <c r="H54" s="706">
        <f t="shared" si="3"/>
        <v>-3986.210000000021</v>
      </c>
      <c r="J54" s="728" t="s">
        <v>235</v>
      </c>
      <c r="K54" s="713" t="s">
        <v>236</v>
      </c>
      <c r="L54" s="714">
        <v>414005.22</v>
      </c>
      <c r="N54" s="712" t="s">
        <v>262</v>
      </c>
      <c r="O54" s="713" t="s">
        <v>263</v>
      </c>
      <c r="P54" s="714">
        <v>626905.41</v>
      </c>
      <c r="R54" s="12" t="s">
        <v>284</v>
      </c>
      <c r="S54" s="13" t="s">
        <v>2378</v>
      </c>
      <c r="T54" s="15">
        <v>85370.492371449393</v>
      </c>
    </row>
    <row r="55" spans="1:20" x14ac:dyDescent="0.25">
      <c r="A55" s="708" t="s">
        <v>314</v>
      </c>
      <c r="B55" s="706">
        <v>1122835.1100000013</v>
      </c>
      <c r="C55" s="706">
        <f>IF(ISNA(VLOOKUP(A55,Commissioned!$A$18:$J$283,3,FALSE)),0,VLOOKUP(A55,Commissioned!$A$18:$J$283,3,FALSE))</f>
        <v>0</v>
      </c>
      <c r="D55" s="706">
        <f>IF(ISNA(VLOOKUP(A55,'Commissioned Extra'!_xlnm.Print_Area,3,FALSE)),0,VLOOKUP(A55,'Commissioned Extra'!_xlnm.Print_Area,3,FALSE))</f>
        <v>1122835.1100000001</v>
      </c>
      <c r="E55">
        <f t="shared" si="0"/>
        <v>0</v>
      </c>
      <c r="F55" s="706">
        <f t="shared" si="1"/>
        <v>0</v>
      </c>
      <c r="G55" s="706">
        <f t="shared" si="2"/>
        <v>1122489.1100000001</v>
      </c>
      <c r="H55" s="706">
        <f t="shared" si="3"/>
        <v>-346.00000000116415</v>
      </c>
      <c r="J55" s="728" t="s">
        <v>239</v>
      </c>
      <c r="K55" s="713" t="s">
        <v>240</v>
      </c>
      <c r="L55" s="714">
        <v>5363.33</v>
      </c>
      <c r="N55" s="712" t="s">
        <v>266</v>
      </c>
      <c r="O55" s="713" t="s">
        <v>267</v>
      </c>
      <c r="P55" s="714">
        <v>168052.83</v>
      </c>
      <c r="R55" s="12" t="s">
        <v>285</v>
      </c>
      <c r="S55" s="13" t="s">
        <v>286</v>
      </c>
      <c r="T55" s="15">
        <v>257257.87</v>
      </c>
    </row>
    <row r="56" spans="1:20" x14ac:dyDescent="0.25">
      <c r="A56" s="708" t="s">
        <v>324</v>
      </c>
      <c r="B56" s="706">
        <v>7920001.6200000001</v>
      </c>
      <c r="C56" s="706">
        <f>IF(ISNA(VLOOKUP(A56,Commissioned!$A$18:$J$283,3,FALSE)),0,VLOOKUP(A56,Commissioned!$A$18:$J$283,3,FALSE))</f>
        <v>8033553.8427038267</v>
      </c>
      <c r="D56" s="706">
        <f>IF(ISNA(VLOOKUP(A56,'Commissioned Extra'!_xlnm.Print_Area,3,FALSE)),0,VLOOKUP(A56,'Commissioned Extra'!_xlnm.Print_Area,3,FALSE))</f>
        <v>0</v>
      </c>
      <c r="E56">
        <f t="shared" si="0"/>
        <v>0</v>
      </c>
      <c r="F56" s="706">
        <f t="shared" si="1"/>
        <v>-113552.22270382661</v>
      </c>
      <c r="G56" s="706">
        <f t="shared" si="2"/>
        <v>7968697.0934492238</v>
      </c>
      <c r="H56" s="706">
        <f t="shared" si="3"/>
        <v>48695.473449223675</v>
      </c>
      <c r="J56" s="728" t="s">
        <v>241</v>
      </c>
      <c r="K56" s="713" t="s">
        <v>242</v>
      </c>
      <c r="L56" s="714">
        <v>243558.8</v>
      </c>
      <c r="N56" s="712" t="s">
        <v>274</v>
      </c>
      <c r="O56" s="713" t="s">
        <v>275</v>
      </c>
      <c r="P56" s="714">
        <v>114.08</v>
      </c>
      <c r="R56" s="12" t="s">
        <v>285</v>
      </c>
      <c r="S56" s="13" t="s">
        <v>286</v>
      </c>
      <c r="T56" s="15">
        <v>-89</v>
      </c>
    </row>
    <row r="57" spans="1:20" x14ac:dyDescent="0.25">
      <c r="A57" s="708" t="s">
        <v>326</v>
      </c>
      <c r="B57" s="706">
        <v>9399.7500000000018</v>
      </c>
      <c r="C57" s="706">
        <f>IF(ISNA(VLOOKUP(A57,Commissioned!$A$18:$J$283,3,FALSE)),0,VLOOKUP(A57,Commissioned!$A$18:$J$283,3,FALSE))</f>
        <v>0</v>
      </c>
      <c r="D57" s="706">
        <f>IF(ISNA(VLOOKUP(A57,'Commissioned Extra'!_xlnm.Print_Area,3,FALSE)),0,VLOOKUP(A57,'Commissioned Extra'!_xlnm.Print_Area,3,FALSE))</f>
        <v>9399.75</v>
      </c>
      <c r="E57">
        <f t="shared" si="0"/>
        <v>0</v>
      </c>
      <c r="F57" s="706">
        <f t="shared" si="1"/>
        <v>0</v>
      </c>
      <c r="G57" s="706">
        <f t="shared" si="2"/>
        <v>9399.75</v>
      </c>
      <c r="H57" s="706">
        <f t="shared" si="3"/>
        <v>0</v>
      </c>
      <c r="J57" s="728" t="s">
        <v>243</v>
      </c>
      <c r="K57" s="713" t="s">
        <v>244</v>
      </c>
      <c r="L57" s="714">
        <v>7196220.1900000004</v>
      </c>
      <c r="N57" s="712" t="s">
        <v>282</v>
      </c>
      <c r="O57" s="713" t="s">
        <v>283</v>
      </c>
      <c r="P57" s="714">
        <v>259590.99</v>
      </c>
      <c r="R57" s="12" t="s">
        <v>297</v>
      </c>
      <c r="S57" s="13" t="s">
        <v>298</v>
      </c>
      <c r="T57" s="15">
        <v>793246.12</v>
      </c>
    </row>
    <row r="58" spans="1:20" x14ac:dyDescent="0.25">
      <c r="A58" s="708" t="s">
        <v>327</v>
      </c>
      <c r="B58" s="706">
        <v>3264359.3599999892</v>
      </c>
      <c r="C58" s="706">
        <f>IF(ISNA(VLOOKUP(A58,Commissioned!$A$18:$J$283,3,FALSE)),0,VLOOKUP(A58,Commissioned!$A$18:$J$283,3,FALSE))</f>
        <v>0</v>
      </c>
      <c r="D58" s="706">
        <f>IF(ISNA(VLOOKUP(A58,'Commissioned Extra'!_xlnm.Print_Area,3,FALSE)),0,VLOOKUP(A58,'Commissioned Extra'!_xlnm.Print_Area,3,FALSE))</f>
        <v>3329184.4315940756</v>
      </c>
      <c r="E58">
        <f t="shared" si="0"/>
        <v>94.63</v>
      </c>
      <c r="F58" s="706">
        <f t="shared" si="1"/>
        <v>-64919.701594086364</v>
      </c>
      <c r="G58" s="706">
        <f t="shared" si="2"/>
        <v>3306703.9083049418</v>
      </c>
      <c r="H58" s="706">
        <f t="shared" si="3"/>
        <v>42344.548304952681</v>
      </c>
      <c r="J58" s="728" t="s">
        <v>3090</v>
      </c>
      <c r="K58" s="713" t="s">
        <v>3091</v>
      </c>
      <c r="L58" s="714">
        <v>319512.74</v>
      </c>
      <c r="N58" s="712" t="s">
        <v>285</v>
      </c>
      <c r="O58" s="713" t="s">
        <v>286</v>
      </c>
      <c r="P58" s="714">
        <v>88.73</v>
      </c>
      <c r="R58" s="12" t="s">
        <v>304</v>
      </c>
      <c r="S58" s="13" t="s">
        <v>305</v>
      </c>
      <c r="T58" s="15">
        <v>1031.27</v>
      </c>
    </row>
    <row r="59" spans="1:20" x14ac:dyDescent="0.25">
      <c r="A59" s="708" t="s">
        <v>329</v>
      </c>
      <c r="B59" s="706">
        <v>7844795.2900000019</v>
      </c>
      <c r="C59" s="706">
        <f>IF(ISNA(VLOOKUP(A59,Commissioned!$A$18:$J$283,3,FALSE)),0,VLOOKUP(A59,Commissioned!$A$18:$J$283,3,FALSE))</f>
        <v>0</v>
      </c>
      <c r="D59" s="706">
        <f>IF(ISNA(VLOOKUP(A59,'Commissioned Extra'!_xlnm.Print_Area,3,FALSE)),0,VLOOKUP(A59,'Commissioned Extra'!_xlnm.Print_Area,3,FALSE))</f>
        <v>8014159.8071774011</v>
      </c>
      <c r="E59">
        <f t="shared" si="0"/>
        <v>-64.95</v>
      </c>
      <c r="F59" s="706">
        <f t="shared" si="1"/>
        <v>-169299.56717739906</v>
      </c>
      <c r="G59" s="706">
        <f t="shared" si="2"/>
        <v>7937835.9414918525</v>
      </c>
      <c r="H59" s="706">
        <f t="shared" si="3"/>
        <v>93040.651491850615</v>
      </c>
      <c r="J59" s="728" t="s">
        <v>245</v>
      </c>
      <c r="K59" s="713" t="s">
        <v>246</v>
      </c>
      <c r="L59" s="714">
        <v>4992954.55</v>
      </c>
      <c r="N59" s="712" t="s">
        <v>289</v>
      </c>
      <c r="O59" s="713" t="s">
        <v>290</v>
      </c>
      <c r="P59" s="714">
        <v>3065527.49</v>
      </c>
      <c r="R59" s="12" t="s">
        <v>312</v>
      </c>
      <c r="S59" s="13" t="s">
        <v>313</v>
      </c>
      <c r="T59" s="15">
        <v>371380.16</v>
      </c>
    </row>
    <row r="60" spans="1:20" x14ac:dyDescent="0.25">
      <c r="A60" s="708" t="s">
        <v>450</v>
      </c>
      <c r="B60" s="706">
        <v>-3441.67</v>
      </c>
      <c r="C60" s="706">
        <f>IF(ISNA(VLOOKUP(A60,Commissioned!$A$18:$J$283,3,FALSE)),0,VLOOKUP(A60,Commissioned!$A$18:$J$283,3,FALSE))</f>
        <v>0</v>
      </c>
      <c r="D60" s="706">
        <f>IF(ISNA(VLOOKUP(A60,'Commissioned Extra'!_xlnm.Print_Area,3,FALSE)),0,VLOOKUP(A60,'Commissioned Extra'!_xlnm.Print_Area,3,FALSE))</f>
        <v>-3441.67</v>
      </c>
      <c r="E60">
        <f t="shared" si="0"/>
        <v>0</v>
      </c>
      <c r="F60" s="706">
        <f t="shared" si="1"/>
        <v>0</v>
      </c>
      <c r="G60" s="706">
        <f t="shared" si="2"/>
        <v>-3441.66</v>
      </c>
      <c r="H60" s="706">
        <f t="shared" si="3"/>
        <v>1.0000000000218279E-2</v>
      </c>
      <c r="J60" s="728" t="s">
        <v>248</v>
      </c>
      <c r="K60" s="713" t="s">
        <v>249</v>
      </c>
      <c r="L60" s="714">
        <v>65202.57</v>
      </c>
      <c r="N60" s="712" t="s">
        <v>291</v>
      </c>
      <c r="O60" s="713" t="s">
        <v>292</v>
      </c>
      <c r="P60" s="714">
        <v>1707501.36</v>
      </c>
      <c r="R60" s="12" t="s">
        <v>312</v>
      </c>
      <c r="S60" s="13" t="s">
        <v>313</v>
      </c>
      <c r="T60" s="15">
        <v>-2643</v>
      </c>
    </row>
    <row r="61" spans="1:20" x14ac:dyDescent="0.25">
      <c r="A61" s="708" t="s">
        <v>455</v>
      </c>
      <c r="B61" s="706">
        <v>378609.21</v>
      </c>
      <c r="C61" s="706">
        <f>IF(ISNA(VLOOKUP(A61,Commissioned!$A$18:$J$283,3,FALSE)),0,VLOOKUP(A61,Commissioned!$A$18:$J$283,3,FALSE))</f>
        <v>383956.36539817299</v>
      </c>
      <c r="D61" s="706">
        <f>IF(ISNA(VLOOKUP(A61,'Commissioned Extra'!_xlnm.Print_Area,3,FALSE)),0,VLOOKUP(A61,'Commissioned Extra'!_xlnm.Print_Area,3,FALSE))</f>
        <v>0</v>
      </c>
      <c r="E61">
        <f t="shared" si="0"/>
        <v>0</v>
      </c>
      <c r="F61" s="706">
        <f t="shared" si="1"/>
        <v>-5347.1553981729667</v>
      </c>
      <c r="G61" s="706">
        <f t="shared" si="2"/>
        <v>379722.28119574691</v>
      </c>
      <c r="H61" s="706">
        <f t="shared" si="3"/>
        <v>1113.0711957468884</v>
      </c>
      <c r="J61" s="728" t="s">
        <v>250</v>
      </c>
      <c r="K61" s="713" t="s">
        <v>251</v>
      </c>
      <c r="L61" s="714">
        <v>41663.269999999997</v>
      </c>
      <c r="N61" s="712" t="s">
        <v>293</v>
      </c>
      <c r="O61" s="713" t="s">
        <v>294</v>
      </c>
      <c r="P61" s="714">
        <v>270853.78000000003</v>
      </c>
      <c r="R61" s="12" t="s">
        <v>314</v>
      </c>
      <c r="S61" s="13" t="s">
        <v>315</v>
      </c>
      <c r="T61" s="15">
        <v>1122489.1100000001</v>
      </c>
    </row>
    <row r="62" spans="1:20" x14ac:dyDescent="0.25">
      <c r="A62" s="708" t="s">
        <v>475</v>
      </c>
      <c r="B62" s="706">
        <v>-0.01</v>
      </c>
      <c r="C62" s="706">
        <f>IF(ISNA(VLOOKUP(A62,Commissioned!$A$18:$J$283,3,FALSE)),0,VLOOKUP(A62,Commissioned!$A$18:$J$283,3,FALSE))</f>
        <v>0</v>
      </c>
      <c r="D62" s="706">
        <f>IF(ISNA(VLOOKUP(A62,'Commissioned Extra'!_xlnm.Print_Area,3,FALSE)),0,VLOOKUP(A62,'Commissioned Extra'!_xlnm.Print_Area,3,FALSE))</f>
        <v>-0.01</v>
      </c>
      <c r="E62">
        <f t="shared" si="0"/>
        <v>0</v>
      </c>
      <c r="F62" s="706">
        <f t="shared" si="1"/>
        <v>0</v>
      </c>
      <c r="G62" s="706">
        <f t="shared" si="2"/>
        <v>0</v>
      </c>
      <c r="H62" s="706">
        <f t="shared" si="3"/>
        <v>0.01</v>
      </c>
      <c r="J62" s="728" t="s">
        <v>255</v>
      </c>
      <c r="K62" s="713" t="s">
        <v>256</v>
      </c>
      <c r="L62" s="714">
        <v>52854.23</v>
      </c>
      <c r="N62" s="712" t="s">
        <v>295</v>
      </c>
      <c r="O62" s="713" t="s">
        <v>296</v>
      </c>
      <c r="P62" s="714">
        <v>891533.56</v>
      </c>
      <c r="R62" s="12" t="s">
        <v>324</v>
      </c>
      <c r="S62" s="13" t="s">
        <v>325</v>
      </c>
      <c r="T62" s="15">
        <v>7968697.0934492238</v>
      </c>
    </row>
    <row r="63" spans="1:20" x14ac:dyDescent="0.25">
      <c r="A63" s="708" t="s">
        <v>487</v>
      </c>
      <c r="B63" s="706">
        <v>87051.43</v>
      </c>
      <c r="C63" s="706">
        <f>IF(ISNA(VLOOKUP(A63,Commissioned!$A$18:$J$283,3,FALSE)),0,VLOOKUP(A63,Commissioned!$A$18:$J$283,3,FALSE))</f>
        <v>87117.550536044349</v>
      </c>
      <c r="D63" s="706">
        <f>IF(ISNA(VLOOKUP(A63,'Commissioned Extra'!_xlnm.Print_Area,3,FALSE)),0,VLOOKUP(A63,'Commissioned Extra'!_xlnm.Print_Area,3,FALSE))</f>
        <v>0</v>
      </c>
      <c r="E63">
        <f t="shared" si="0"/>
        <v>0</v>
      </c>
      <c r="F63" s="706">
        <f t="shared" si="1"/>
        <v>-66.120536044356413</v>
      </c>
      <c r="G63" s="706">
        <f t="shared" si="2"/>
        <v>86872.989638925283</v>
      </c>
      <c r="H63" s="706">
        <f t="shared" si="3"/>
        <v>-178.44036107471038</v>
      </c>
      <c r="J63" s="728" t="s">
        <v>258</v>
      </c>
      <c r="K63" s="713" t="s">
        <v>259</v>
      </c>
      <c r="L63" s="714">
        <v>15509.49</v>
      </c>
      <c r="N63" s="712" t="s">
        <v>297</v>
      </c>
      <c r="O63" s="713" t="s">
        <v>298</v>
      </c>
      <c r="P63" s="714">
        <v>13.58</v>
      </c>
      <c r="R63" s="12" t="s">
        <v>326</v>
      </c>
      <c r="S63" s="13" t="s">
        <v>2361</v>
      </c>
      <c r="T63" s="15">
        <v>9399.75</v>
      </c>
    </row>
    <row r="64" spans="1:20" x14ac:dyDescent="0.25">
      <c r="A64" s="708" t="s">
        <v>502</v>
      </c>
      <c r="B64" s="706">
        <v>2286548.5100000002</v>
      </c>
      <c r="C64" s="706">
        <f>IF(ISNA(VLOOKUP(A64,Commissioned!$A$18:$J$283,3,FALSE)),0,VLOOKUP(A64,Commissioned!$A$18:$J$283,3,FALSE))</f>
        <v>2311633.2123567429</v>
      </c>
      <c r="D64" s="706">
        <f>IF(ISNA(VLOOKUP(A64,'Commissioned Extra'!_xlnm.Print_Area,3,FALSE)),0,VLOOKUP(A64,'Commissioned Extra'!_xlnm.Print_Area,3,FALSE))</f>
        <v>0</v>
      </c>
      <c r="E64">
        <f t="shared" si="0"/>
        <v>0</v>
      </c>
      <c r="F64" s="706">
        <f t="shared" si="1"/>
        <v>-25084.702356742695</v>
      </c>
      <c r="G64" s="706">
        <f t="shared" si="2"/>
        <v>2306590.8739073738</v>
      </c>
      <c r="H64" s="706">
        <f t="shared" si="3"/>
        <v>20042.36390737351</v>
      </c>
      <c r="J64" s="728" t="s">
        <v>260</v>
      </c>
      <c r="K64" s="713" t="s">
        <v>261</v>
      </c>
      <c r="L64" s="714">
        <v>593499.56000000006</v>
      </c>
      <c r="N64" s="712" t="s">
        <v>299</v>
      </c>
      <c r="O64" s="713" t="s">
        <v>2300</v>
      </c>
      <c r="P64" s="714">
        <v>700766.42</v>
      </c>
      <c r="R64" s="12" t="s">
        <v>327</v>
      </c>
      <c r="S64" s="13" t="s">
        <v>328</v>
      </c>
      <c r="T64" s="15">
        <v>3306798.9083049418</v>
      </c>
    </row>
    <row r="65" spans="1:20" x14ac:dyDescent="0.25">
      <c r="A65" s="708" t="s">
        <v>504</v>
      </c>
      <c r="B65" s="706">
        <v>1745450.77</v>
      </c>
      <c r="C65" s="706">
        <f>IF(ISNA(VLOOKUP(A65,Commissioned!$A$18:$J$283,3,FALSE)),0,VLOOKUP(A65,Commissioned!$A$18:$J$283,3,FALSE))</f>
        <v>1775103.4694084986</v>
      </c>
      <c r="D65" s="706">
        <f>IF(ISNA(VLOOKUP(A65,'Commissioned Extra'!_xlnm.Print_Area,3,FALSE)),0,VLOOKUP(A65,'Commissioned Extra'!_xlnm.Print_Area,3,FALSE))</f>
        <v>0</v>
      </c>
      <c r="E65">
        <f t="shared" si="0"/>
        <v>0</v>
      </c>
      <c r="F65" s="706">
        <f t="shared" si="1"/>
        <v>-29652.699408498593</v>
      </c>
      <c r="G65" s="706">
        <f t="shared" si="2"/>
        <v>1769540.5360298143</v>
      </c>
      <c r="H65" s="706">
        <f t="shared" si="3"/>
        <v>24089.766029814258</v>
      </c>
      <c r="J65" s="728" t="s">
        <v>262</v>
      </c>
      <c r="K65" s="713" t="s">
        <v>263</v>
      </c>
      <c r="L65" s="714">
        <v>80596.509999999995</v>
      </c>
      <c r="N65" s="712" t="s">
        <v>300</v>
      </c>
      <c r="O65" s="713" t="s">
        <v>301</v>
      </c>
      <c r="P65" s="714">
        <v>3905350.29</v>
      </c>
      <c r="R65" s="12" t="s">
        <v>327</v>
      </c>
      <c r="S65" s="13" t="s">
        <v>328</v>
      </c>
      <c r="T65" s="15">
        <v>-95</v>
      </c>
    </row>
    <row r="66" spans="1:20" x14ac:dyDescent="0.25">
      <c r="A66" s="708" t="s">
        <v>523</v>
      </c>
      <c r="B66" s="706">
        <v>311379.8</v>
      </c>
      <c r="C66" s="706">
        <f>IF(ISNA(VLOOKUP(A66,Commissioned!$A$18:$J$283,3,FALSE)),0,VLOOKUP(A66,Commissioned!$A$18:$J$283,3,FALSE))</f>
        <v>316861.92801293818</v>
      </c>
      <c r="D66" s="706">
        <f>IF(ISNA(VLOOKUP(A66,'Commissioned Extra'!_xlnm.Print_Area,3,FALSE)),0,VLOOKUP(A66,'Commissioned Extra'!_xlnm.Print_Area,3,FALSE))</f>
        <v>0</v>
      </c>
      <c r="E66">
        <f t="shared" si="0"/>
        <v>0</v>
      </c>
      <c r="F66" s="706">
        <f t="shared" si="1"/>
        <v>-5482.1280129381921</v>
      </c>
      <c r="G66" s="706">
        <f t="shared" si="2"/>
        <v>311307.43839833076</v>
      </c>
      <c r="H66" s="706">
        <f t="shared" si="3"/>
        <v>-72.36160166922491</v>
      </c>
      <c r="J66" s="728" t="s">
        <v>266</v>
      </c>
      <c r="K66" s="713" t="s">
        <v>267</v>
      </c>
      <c r="L66" s="714">
        <v>168052.83</v>
      </c>
      <c r="N66" s="712" t="s">
        <v>302</v>
      </c>
      <c r="O66" s="713" t="s">
        <v>303</v>
      </c>
      <c r="P66" s="714">
        <v>6404382.8799999999</v>
      </c>
      <c r="R66" s="719" t="s">
        <v>329</v>
      </c>
      <c r="S66" s="13" t="s">
        <v>330</v>
      </c>
      <c r="T66" s="15">
        <v>7937770.9414918525</v>
      </c>
    </row>
    <row r="67" spans="1:20" x14ac:dyDescent="0.25">
      <c r="A67" s="708" t="s">
        <v>528</v>
      </c>
      <c r="B67" s="706">
        <v>172194.48</v>
      </c>
      <c r="C67" s="706">
        <f>IF(ISNA(VLOOKUP(A67,Commissioned!$A$18:$J$283,3,FALSE)),0,VLOOKUP(A67,Commissioned!$A$18:$J$283,3,FALSE))</f>
        <v>0</v>
      </c>
      <c r="D67" s="706">
        <f>IF(ISNA(VLOOKUP(A67,'Commissioned Extra'!_xlnm.Print_Area,3,FALSE)),0,VLOOKUP(A67,'Commissioned Extra'!_xlnm.Print_Area,3,FALSE))</f>
        <v>172194.47999999998</v>
      </c>
      <c r="E67">
        <f t="shared" si="0"/>
        <v>87.76</v>
      </c>
      <c r="F67" s="706">
        <f t="shared" si="1"/>
        <v>-87.759999999980209</v>
      </c>
      <c r="G67" s="706">
        <f t="shared" si="2"/>
        <v>171794.25</v>
      </c>
      <c r="H67" s="706">
        <f t="shared" si="3"/>
        <v>-400.23000000001048</v>
      </c>
      <c r="J67" s="728" t="s">
        <v>268</v>
      </c>
      <c r="K67" s="713" t="s">
        <v>269</v>
      </c>
      <c r="L67" s="714">
        <v>37206.400000000001</v>
      </c>
      <c r="N67" s="712" t="s">
        <v>306</v>
      </c>
      <c r="O67" s="713" t="s">
        <v>307</v>
      </c>
      <c r="P67" s="714">
        <v>360134.54</v>
      </c>
      <c r="R67" s="12" t="s">
        <v>329</v>
      </c>
      <c r="S67" s="13" t="s">
        <v>330</v>
      </c>
      <c r="T67" s="15">
        <v>65</v>
      </c>
    </row>
    <row r="68" spans="1:20" x14ac:dyDescent="0.25">
      <c r="A68" s="708" t="s">
        <v>530</v>
      </c>
      <c r="B68" s="706">
        <v>125368.54</v>
      </c>
      <c r="C68" s="706">
        <f>IF(ISNA(VLOOKUP(A68,Commissioned!$A$18:$J$283,3,FALSE)),0,VLOOKUP(A68,Commissioned!$A$18:$J$283,3,FALSE))</f>
        <v>0</v>
      </c>
      <c r="D68" s="706">
        <f>IF(ISNA(VLOOKUP(A68,'Commissioned Extra'!_xlnm.Print_Area,3,FALSE)),0,VLOOKUP(A68,'Commissioned Extra'!_xlnm.Print_Area,3,FALSE))</f>
        <v>125368.54000000001</v>
      </c>
      <c r="E68">
        <f t="shared" si="0"/>
        <v>87.76</v>
      </c>
      <c r="F68" s="706">
        <f t="shared" si="1"/>
        <v>-87.760000000009313</v>
      </c>
      <c r="G68" s="706">
        <f t="shared" si="2"/>
        <v>125204.3</v>
      </c>
      <c r="H68" s="706">
        <f t="shared" si="3"/>
        <v>-164.23999999999069</v>
      </c>
      <c r="J68" s="728" t="s">
        <v>272</v>
      </c>
      <c r="K68" s="713" t="s">
        <v>273</v>
      </c>
      <c r="L68" s="714">
        <v>1841683.11</v>
      </c>
      <c r="N68" s="712" t="s">
        <v>308</v>
      </c>
      <c r="O68" s="713" t="s">
        <v>2379</v>
      </c>
      <c r="P68" s="714">
        <v>1657619.87</v>
      </c>
      <c r="R68" s="12" t="s">
        <v>450</v>
      </c>
      <c r="S68" s="13" t="s">
        <v>451</v>
      </c>
      <c r="T68" s="15">
        <v>-3441.66</v>
      </c>
    </row>
    <row r="69" spans="1:20" x14ac:dyDescent="0.25">
      <c r="A69" s="708" t="s">
        <v>532</v>
      </c>
      <c r="B69" s="706">
        <v>140722.65999999997</v>
      </c>
      <c r="C69" s="706">
        <f>IF(ISNA(VLOOKUP(A69,Commissioned!$A$18:$J$283,3,FALSE)),0,VLOOKUP(A69,Commissioned!$A$18:$J$283,3,FALSE))</f>
        <v>143096.69512938967</v>
      </c>
      <c r="D69" s="706">
        <f>IF(ISNA(VLOOKUP(A69,'Commissioned Extra'!_xlnm.Print_Area,3,FALSE)),0,VLOOKUP(A69,'Commissioned Extra'!_xlnm.Print_Area,3,FALSE))</f>
        <v>0</v>
      </c>
      <c r="E69">
        <f t="shared" si="0"/>
        <v>0</v>
      </c>
      <c r="F69" s="706">
        <f t="shared" si="1"/>
        <v>-2374.0351293896965</v>
      </c>
      <c r="G69" s="706">
        <f t="shared" si="2"/>
        <v>142958.85661159796</v>
      </c>
      <c r="H69" s="706">
        <f t="shared" si="3"/>
        <v>2236.1966115979885</v>
      </c>
      <c r="J69" s="728" t="s">
        <v>274</v>
      </c>
      <c r="K69" s="713" t="s">
        <v>275</v>
      </c>
      <c r="L69" s="714">
        <v>1268086.48</v>
      </c>
      <c r="N69" s="712" t="s">
        <v>310</v>
      </c>
      <c r="O69" s="713" t="s">
        <v>311</v>
      </c>
      <c r="P69" s="714">
        <v>1934123.4</v>
      </c>
      <c r="R69" s="12" t="s">
        <v>455</v>
      </c>
      <c r="S69" s="13" t="s">
        <v>456</v>
      </c>
      <c r="T69" s="15">
        <v>379722.28119574691</v>
      </c>
    </row>
    <row r="70" spans="1:20" x14ac:dyDescent="0.25">
      <c r="A70" s="708" t="s">
        <v>588</v>
      </c>
      <c r="B70" s="706">
        <v>163.01999999999998</v>
      </c>
      <c r="C70" s="706">
        <f>IF(ISNA(VLOOKUP(A70,Commissioned!$A$18:$J$283,3,FALSE)),0,VLOOKUP(A70,Commissioned!$A$18:$J$283,3,FALSE))</f>
        <v>0</v>
      </c>
      <c r="D70" s="706">
        <f>IF(ISNA(VLOOKUP(A70,'Commissioned Extra'!_xlnm.Print_Area,3,FALSE)),0,VLOOKUP(A70,'Commissioned Extra'!_xlnm.Print_Area,3,FALSE))</f>
        <v>163.02000000000001</v>
      </c>
      <c r="E70">
        <f t="shared" ref="E70:E76" si="4">IF(ISNA(VLOOKUP(A70,$N$4:$P$139,3,FALSE)),0,VLOOKUP(A70,$N$4:$P$139,3,FALSE))</f>
        <v>0</v>
      </c>
      <c r="F70" s="706">
        <f t="shared" ref="F70:F75" si="5">B70-SUM(C70:E70)</f>
        <v>0</v>
      </c>
      <c r="G70" s="706">
        <f t="shared" ref="G70:G76" si="6">SUMIFS($T$5:$T$84,$R$5:$R$84,A70)</f>
        <v>151.02000000000001</v>
      </c>
      <c r="H70" s="706">
        <f t="shared" ref="H70:H75" si="7">G70-B70</f>
        <v>-11.999999999999972</v>
      </c>
      <c r="J70" s="728" t="s">
        <v>276</v>
      </c>
      <c r="K70" s="713" t="s">
        <v>3114</v>
      </c>
      <c r="L70" s="714">
        <v>276166.64</v>
      </c>
      <c r="N70" s="712" t="s">
        <v>312</v>
      </c>
      <c r="O70" s="713" t="s">
        <v>313</v>
      </c>
      <c r="P70" s="714">
        <v>2642.78</v>
      </c>
      <c r="R70" s="12" t="s">
        <v>487</v>
      </c>
      <c r="S70" s="13" t="s">
        <v>488</v>
      </c>
      <c r="T70" s="15">
        <v>86872.989638925283</v>
      </c>
    </row>
    <row r="71" spans="1:20" x14ac:dyDescent="0.25">
      <c r="A71" s="708" t="s">
        <v>621</v>
      </c>
      <c r="B71" s="706">
        <v>216734.33</v>
      </c>
      <c r="C71" s="706">
        <f>IF(ISNA(VLOOKUP(A71,Commissioned!$A$18:$J$283,3,FALSE)),0,VLOOKUP(A71,Commissioned!$A$18:$J$283,3,FALSE))</f>
        <v>220714.95296672769</v>
      </c>
      <c r="D71" s="706">
        <f>IF(ISNA(VLOOKUP(A71,'Commissioned Extra'!_xlnm.Print_Area,3,FALSE)),0,VLOOKUP(A71,'Commissioned Extra'!_xlnm.Print_Area,3,FALSE))</f>
        <v>0</v>
      </c>
      <c r="E71">
        <f t="shared" si="4"/>
        <v>0</v>
      </c>
      <c r="F71" s="706">
        <f t="shared" si="5"/>
        <v>-3980.6229667277075</v>
      </c>
      <c r="G71" s="706">
        <f t="shared" si="6"/>
        <v>218808.97295704979</v>
      </c>
      <c r="H71" s="706">
        <f t="shared" si="7"/>
        <v>2074.6429570498003</v>
      </c>
      <c r="J71" s="728" t="s">
        <v>277</v>
      </c>
      <c r="K71" s="713" t="s">
        <v>278</v>
      </c>
      <c r="L71" s="714">
        <v>1433079.98</v>
      </c>
      <c r="N71" s="712" t="s">
        <v>318</v>
      </c>
      <c r="O71" s="713" t="s">
        <v>2301</v>
      </c>
      <c r="P71" s="714">
        <v>422628.44</v>
      </c>
      <c r="R71" s="12" t="s">
        <v>502</v>
      </c>
      <c r="S71" s="13" t="s">
        <v>503</v>
      </c>
      <c r="T71" s="15">
        <v>2306590.8739073738</v>
      </c>
    </row>
    <row r="72" spans="1:20" x14ac:dyDescent="0.25">
      <c r="A72" s="708" t="s">
        <v>629</v>
      </c>
      <c r="B72" s="706">
        <v>482658.06000000006</v>
      </c>
      <c r="C72" s="706">
        <f>IF(ISNA(VLOOKUP(A72,Commissioned!$A$18:$J$283,3,FALSE)),0,VLOOKUP(A72,Commissioned!$A$18:$J$283,3,FALSE))</f>
        <v>491599.79699630174</v>
      </c>
      <c r="D72" s="706">
        <f>IF(ISNA(VLOOKUP(A72,'Commissioned Extra'!_xlnm.Print_Area,3,FALSE)),0,VLOOKUP(A72,'Commissioned Extra'!_xlnm.Print_Area,3,FALSE))</f>
        <v>0</v>
      </c>
      <c r="E72">
        <f t="shared" si="4"/>
        <v>0</v>
      </c>
      <c r="F72" s="706">
        <f t="shared" si="5"/>
        <v>-8941.7369963016827</v>
      </c>
      <c r="G72" s="706">
        <f t="shared" si="6"/>
        <v>491456.57037514623</v>
      </c>
      <c r="H72" s="706">
        <f t="shared" si="7"/>
        <v>8798.510375146172</v>
      </c>
      <c r="J72" s="728" t="s">
        <v>282</v>
      </c>
      <c r="K72" s="713" t="s">
        <v>283</v>
      </c>
      <c r="L72" s="714">
        <v>259590.99</v>
      </c>
      <c r="N72" s="712" t="s">
        <v>319</v>
      </c>
      <c r="O72" s="713" t="s">
        <v>3078</v>
      </c>
      <c r="P72" s="714">
        <v>439326.18</v>
      </c>
      <c r="R72" s="12" t="s">
        <v>504</v>
      </c>
      <c r="S72" s="13" t="s">
        <v>505</v>
      </c>
      <c r="T72" s="15">
        <v>1769540.5360298143</v>
      </c>
    </row>
    <row r="73" spans="1:20" x14ac:dyDescent="0.25">
      <c r="A73" s="708" t="s">
        <v>1097</v>
      </c>
      <c r="B73" s="706">
        <v>185471.46</v>
      </c>
      <c r="C73" s="706">
        <f>IF(ISNA(VLOOKUP(A73,Commissioned!$A$18:$J$283,3,FALSE)),0,VLOOKUP(A73,Commissioned!$A$18:$J$283,3,FALSE))</f>
        <v>185471.46</v>
      </c>
      <c r="D73" s="706">
        <f>IF(ISNA(VLOOKUP(A73,'Commissioned Extra'!_xlnm.Print_Area,3,FALSE)),0,VLOOKUP(A73,'Commissioned Extra'!_xlnm.Print_Area,3,FALSE))</f>
        <v>0</v>
      </c>
      <c r="E73">
        <f t="shared" si="4"/>
        <v>0</v>
      </c>
      <c r="F73" s="706">
        <f t="shared" si="5"/>
        <v>0</v>
      </c>
      <c r="G73" s="706">
        <f t="shared" si="6"/>
        <v>185410.46</v>
      </c>
      <c r="H73" s="706">
        <f t="shared" si="7"/>
        <v>-61</v>
      </c>
      <c r="J73" s="728" t="s">
        <v>284</v>
      </c>
      <c r="K73" s="713" t="s">
        <v>2378</v>
      </c>
      <c r="L73" s="714">
        <v>83668.19</v>
      </c>
      <c r="N73" s="712" t="s">
        <v>327</v>
      </c>
      <c r="O73" s="713" t="s">
        <v>328</v>
      </c>
      <c r="P73" s="714">
        <v>94.63</v>
      </c>
      <c r="R73" s="12" t="s">
        <v>523</v>
      </c>
      <c r="S73" s="13" t="s">
        <v>524</v>
      </c>
      <c r="T73" s="15">
        <v>311307.43839833076</v>
      </c>
    </row>
    <row r="74" spans="1:20" x14ac:dyDescent="0.25">
      <c r="A74" s="708" t="s">
        <v>2431</v>
      </c>
      <c r="B74" s="706">
        <v>53395.19</v>
      </c>
      <c r="C74" s="706">
        <f>IF(ISNA(VLOOKUP(A74,Commissioned!$A$18:$J$283,3,FALSE)),0,VLOOKUP(A74,Commissioned!$A$18:$J$283,3,FALSE))</f>
        <v>53395.19</v>
      </c>
      <c r="D74" s="706">
        <f>IF(ISNA(VLOOKUP(A74,'Commissioned Extra'!_xlnm.Print_Area,3,FALSE)),0,VLOOKUP(A74,'Commissioned Extra'!_xlnm.Print_Area,3,FALSE))</f>
        <v>0</v>
      </c>
      <c r="E74">
        <f t="shared" si="4"/>
        <v>0</v>
      </c>
      <c r="F74" s="706">
        <f t="shared" si="5"/>
        <v>0</v>
      </c>
      <c r="G74" s="706">
        <f t="shared" si="6"/>
        <v>53395.19</v>
      </c>
      <c r="H74" s="706">
        <f t="shared" si="7"/>
        <v>0</v>
      </c>
      <c r="J74" s="728" t="s">
        <v>289</v>
      </c>
      <c r="K74" s="713" t="s">
        <v>290</v>
      </c>
      <c r="L74" s="714">
        <v>9229.4500000000007</v>
      </c>
      <c r="N74" s="712" t="s">
        <v>329</v>
      </c>
      <c r="O74" s="713" t="s">
        <v>330</v>
      </c>
      <c r="P74" s="714">
        <v>-64.95</v>
      </c>
      <c r="R74" s="12" t="s">
        <v>528</v>
      </c>
      <c r="S74" s="13" t="s">
        <v>529</v>
      </c>
      <c r="T74" s="15">
        <v>171882.25</v>
      </c>
    </row>
    <row r="75" spans="1:20" x14ac:dyDescent="0.25">
      <c r="A75" s="708" t="s">
        <v>2433</v>
      </c>
      <c r="B75" s="706">
        <v>115672.59</v>
      </c>
      <c r="C75" s="706">
        <f>IF(ISNA(VLOOKUP(A75,Commissioned!$A$18:$J$283,3,FALSE)),0,VLOOKUP(A75,Commissioned!$A$18:$J$283,3,FALSE))</f>
        <v>0</v>
      </c>
      <c r="D75" s="706">
        <f>IF(ISNA(VLOOKUP(A75,'Commissioned Extra'!_xlnm.Print_Area,3,FALSE)),0,VLOOKUP(A75,'Commissioned Extra'!_xlnm.Print_Area,3,FALSE))</f>
        <v>115672.59</v>
      </c>
      <c r="E75">
        <f t="shared" si="4"/>
        <v>0</v>
      </c>
      <c r="F75" s="706">
        <f t="shared" si="5"/>
        <v>0</v>
      </c>
      <c r="G75" s="706">
        <f t="shared" si="6"/>
        <v>115672.59</v>
      </c>
      <c r="H75" s="706">
        <f t="shared" si="7"/>
        <v>0</v>
      </c>
      <c r="J75" s="728" t="s">
        <v>291</v>
      </c>
      <c r="K75" s="713" t="s">
        <v>292</v>
      </c>
      <c r="L75" s="714">
        <v>112661.43</v>
      </c>
      <c r="N75" s="712" t="s">
        <v>334</v>
      </c>
      <c r="O75" s="713" t="s">
        <v>335</v>
      </c>
      <c r="P75" s="714">
        <v>30966.25</v>
      </c>
      <c r="R75" s="12" t="s">
        <v>528</v>
      </c>
      <c r="S75" s="13" t="s">
        <v>529</v>
      </c>
      <c r="T75" s="15">
        <v>-88</v>
      </c>
    </row>
    <row r="76" spans="1:20" x14ac:dyDescent="0.25">
      <c r="A76" s="709" t="s">
        <v>2261</v>
      </c>
      <c r="B76" s="710">
        <v>175902353.69000006</v>
      </c>
      <c r="C76" s="706">
        <f>IF(ISNA(VLOOKUP(A76,Commissioned!$A$18:$J$283,3,FALSE)),0,VLOOKUP(A76,Commissioned!$A$18:$J$283,3,FALSE))</f>
        <v>75944362.710129082</v>
      </c>
      <c r="D76" s="706">
        <f>IF(ISNA(VLOOKUP(A76,'Commissioned Extra'!_xlnm.Print_Area,3,FALSE)),0,VLOOKUP(A76,'Commissioned Extra'!_xlnm.Print_Area,3,FALSE))</f>
        <v>0</v>
      </c>
      <c r="E76">
        <f t="shared" si="4"/>
        <v>0</v>
      </c>
      <c r="G76" s="706">
        <f t="shared" si="6"/>
        <v>0</v>
      </c>
      <c r="H76" s="706"/>
      <c r="J76" s="728" t="s">
        <v>293</v>
      </c>
      <c r="K76" s="713" t="s">
        <v>294</v>
      </c>
      <c r="L76" s="714">
        <v>270853.78000000003</v>
      </c>
      <c r="N76" s="712" t="s">
        <v>338</v>
      </c>
      <c r="O76" s="713" t="s">
        <v>339</v>
      </c>
      <c r="P76" s="714">
        <v>3669346.16</v>
      </c>
      <c r="R76" s="377" t="s">
        <v>530</v>
      </c>
      <c r="S76" s="13" t="s">
        <v>531</v>
      </c>
      <c r="T76" s="15">
        <v>125292.3</v>
      </c>
    </row>
    <row r="77" spans="1:20" x14ac:dyDescent="0.25">
      <c r="J77" s="728" t="s">
        <v>295</v>
      </c>
      <c r="K77" s="713" t="s">
        <v>296</v>
      </c>
      <c r="L77" s="714">
        <v>841235.26</v>
      </c>
      <c r="N77" s="712" t="s">
        <v>340</v>
      </c>
      <c r="O77" s="713" t="s">
        <v>142</v>
      </c>
      <c r="P77" s="714">
        <v>1583895.62</v>
      </c>
      <c r="R77" s="377" t="s">
        <v>530</v>
      </c>
      <c r="S77" s="13" t="s">
        <v>531</v>
      </c>
      <c r="T77" s="15">
        <v>-88</v>
      </c>
    </row>
    <row r="78" spans="1:20" x14ac:dyDescent="0.25">
      <c r="J78" s="728" t="s">
        <v>297</v>
      </c>
      <c r="K78" s="713" t="s">
        <v>298</v>
      </c>
      <c r="L78" s="714">
        <v>109227.79</v>
      </c>
      <c r="N78" s="712" t="s">
        <v>341</v>
      </c>
      <c r="O78" s="713" t="s">
        <v>342</v>
      </c>
      <c r="P78" s="714">
        <v>767785.54</v>
      </c>
      <c r="R78" s="377" t="s">
        <v>532</v>
      </c>
      <c r="S78" s="13" t="s">
        <v>2389</v>
      </c>
      <c r="T78" s="15">
        <v>142958.85661159796</v>
      </c>
    </row>
    <row r="79" spans="1:20" x14ac:dyDescent="0.25">
      <c r="J79" s="728" t="s">
        <v>300</v>
      </c>
      <c r="K79" s="713" t="s">
        <v>301</v>
      </c>
      <c r="L79" s="714">
        <v>702870.66</v>
      </c>
      <c r="N79" s="712" t="s">
        <v>345</v>
      </c>
      <c r="O79" s="713" t="s">
        <v>3081</v>
      </c>
      <c r="P79" s="714">
        <v>1296648.57</v>
      </c>
      <c r="R79" s="377" t="s">
        <v>588</v>
      </c>
      <c r="S79" s="13" t="s">
        <v>2390</v>
      </c>
      <c r="T79" s="15">
        <v>151.02000000000001</v>
      </c>
    </row>
    <row r="80" spans="1:20" x14ac:dyDescent="0.25">
      <c r="J80" s="728" t="s">
        <v>302</v>
      </c>
      <c r="K80" s="713" t="s">
        <v>303</v>
      </c>
      <c r="L80" s="714">
        <v>1589604.76</v>
      </c>
      <c r="N80" s="712" t="s">
        <v>346</v>
      </c>
      <c r="O80" s="713" t="s">
        <v>2302</v>
      </c>
      <c r="P80" s="714">
        <v>1359944.46</v>
      </c>
      <c r="R80" s="377" t="s">
        <v>621</v>
      </c>
      <c r="S80" s="13" t="s">
        <v>622</v>
      </c>
      <c r="T80" s="15">
        <v>218808.97295704979</v>
      </c>
    </row>
    <row r="81" spans="10:20" x14ac:dyDescent="0.25">
      <c r="J81" s="728" t="s">
        <v>306</v>
      </c>
      <c r="K81" s="713" t="s">
        <v>307</v>
      </c>
      <c r="L81" s="714">
        <v>87606.14</v>
      </c>
      <c r="N81" s="712" t="s">
        <v>347</v>
      </c>
      <c r="O81" s="713" t="s">
        <v>2303</v>
      </c>
      <c r="P81" s="714">
        <v>12916.74</v>
      </c>
      <c r="R81" s="377" t="s">
        <v>629</v>
      </c>
      <c r="S81" s="13" t="s">
        <v>630</v>
      </c>
      <c r="T81" s="15">
        <v>491456.57037514623</v>
      </c>
    </row>
    <row r="82" spans="10:20" x14ac:dyDescent="0.25">
      <c r="J82" s="728" t="s">
        <v>308</v>
      </c>
      <c r="K82" s="713" t="s">
        <v>2379</v>
      </c>
      <c r="L82" s="714">
        <v>474457.66</v>
      </c>
      <c r="N82" s="712" t="s">
        <v>348</v>
      </c>
      <c r="O82" s="713" t="s">
        <v>3082</v>
      </c>
      <c r="P82" s="714">
        <v>89704.41</v>
      </c>
      <c r="R82" s="377" t="s">
        <v>1097</v>
      </c>
      <c r="S82" s="13" t="s">
        <v>2401</v>
      </c>
      <c r="T82" s="15">
        <v>185410.46</v>
      </c>
    </row>
    <row r="83" spans="10:20" x14ac:dyDescent="0.25">
      <c r="J83" s="728" t="s">
        <v>310</v>
      </c>
      <c r="K83" s="713" t="s">
        <v>311</v>
      </c>
      <c r="L83" s="714">
        <v>240902.92</v>
      </c>
      <c r="N83" s="712" t="s">
        <v>358</v>
      </c>
      <c r="O83" s="713" t="s">
        <v>359</v>
      </c>
      <c r="P83" s="714">
        <v>32516605.460000001</v>
      </c>
      <c r="R83" s="377" t="s">
        <v>2431</v>
      </c>
      <c r="S83" s="13" t="s">
        <v>2432</v>
      </c>
      <c r="T83" s="15">
        <v>53395.19</v>
      </c>
    </row>
    <row r="84" spans="10:20" x14ac:dyDescent="0.25">
      <c r="J84" s="728" t="s">
        <v>319</v>
      </c>
      <c r="K84" s="713" t="s">
        <v>320</v>
      </c>
      <c r="L84" s="714">
        <v>173365.21</v>
      </c>
      <c r="N84" s="712" t="s">
        <v>362</v>
      </c>
      <c r="O84" s="713" t="s">
        <v>363</v>
      </c>
      <c r="P84" s="714">
        <v>3051767.68</v>
      </c>
      <c r="R84" s="377" t="s">
        <v>2433</v>
      </c>
      <c r="S84" s="13" t="s">
        <v>2434</v>
      </c>
      <c r="T84" s="15">
        <v>115672.59</v>
      </c>
    </row>
    <row r="85" spans="10:20" x14ac:dyDescent="0.25">
      <c r="J85" s="728" t="s">
        <v>324</v>
      </c>
      <c r="K85" s="713" t="s">
        <v>325</v>
      </c>
      <c r="L85" s="714">
        <v>4070258.61</v>
      </c>
      <c r="N85" s="712" t="s">
        <v>366</v>
      </c>
      <c r="O85" s="713" t="s">
        <v>3097</v>
      </c>
      <c r="P85" s="714">
        <v>278733.82</v>
      </c>
      <c r="T85" s="706">
        <f>SUM(T5:T84)</f>
        <v>179338671.54404187</v>
      </c>
    </row>
    <row r="86" spans="10:20" x14ac:dyDescent="0.25">
      <c r="J86" s="728" t="s">
        <v>327</v>
      </c>
      <c r="K86" s="713" t="s">
        <v>328</v>
      </c>
      <c r="L86" s="714">
        <v>2527561.21</v>
      </c>
      <c r="N86" s="712" t="s">
        <v>367</v>
      </c>
      <c r="O86" s="713" t="s">
        <v>3092</v>
      </c>
      <c r="P86" s="714">
        <v>121364.06</v>
      </c>
    </row>
    <row r="87" spans="10:20" x14ac:dyDescent="0.25">
      <c r="J87" s="728" t="s">
        <v>329</v>
      </c>
      <c r="K87" s="713" t="s">
        <v>330</v>
      </c>
      <c r="L87" s="714">
        <v>4737238.41</v>
      </c>
      <c r="N87" s="712" t="s">
        <v>390</v>
      </c>
      <c r="O87" s="713" t="s">
        <v>391</v>
      </c>
      <c r="P87" s="714">
        <v>43971.57</v>
      </c>
    </row>
    <row r="88" spans="10:20" x14ac:dyDescent="0.25">
      <c r="J88" s="728" t="s">
        <v>338</v>
      </c>
      <c r="K88" s="713" t="s">
        <v>339</v>
      </c>
      <c r="L88" s="714">
        <v>893091.07</v>
      </c>
      <c r="N88" s="712" t="s">
        <v>408</v>
      </c>
      <c r="O88" s="713" t="s">
        <v>409</v>
      </c>
      <c r="P88" s="714">
        <v>75627.88</v>
      </c>
    </row>
    <row r="89" spans="10:20" x14ac:dyDescent="0.25">
      <c r="J89" s="728" t="s">
        <v>340</v>
      </c>
      <c r="K89" s="713" t="s">
        <v>142</v>
      </c>
      <c r="L89" s="714">
        <v>1230158</v>
      </c>
      <c r="N89" s="712" t="s">
        <v>3079</v>
      </c>
      <c r="O89" s="713" t="s">
        <v>3080</v>
      </c>
      <c r="P89" s="714">
        <v>376381.33</v>
      </c>
    </row>
    <row r="90" spans="10:20" x14ac:dyDescent="0.25">
      <c r="J90" s="728" t="s">
        <v>341</v>
      </c>
      <c r="K90" s="713" t="s">
        <v>342</v>
      </c>
      <c r="L90" s="714">
        <v>21297.82</v>
      </c>
      <c r="N90" s="712" t="s">
        <v>3056</v>
      </c>
      <c r="O90" s="713" t="s">
        <v>3057</v>
      </c>
      <c r="P90" s="714">
        <v>72701.73</v>
      </c>
    </row>
    <row r="91" spans="10:20" x14ac:dyDescent="0.25">
      <c r="J91" s="728" t="s">
        <v>358</v>
      </c>
      <c r="K91" s="713" t="s">
        <v>359</v>
      </c>
      <c r="L91" s="714">
        <v>24856661.120000001</v>
      </c>
      <c r="N91" s="712" t="s">
        <v>461</v>
      </c>
      <c r="O91" s="713" t="s">
        <v>462</v>
      </c>
      <c r="P91" s="714">
        <v>419731.7</v>
      </c>
    </row>
    <row r="92" spans="10:20" x14ac:dyDescent="0.25">
      <c r="J92" s="728" t="s">
        <v>362</v>
      </c>
      <c r="K92" s="713" t="s">
        <v>363</v>
      </c>
      <c r="L92" s="714">
        <v>2269620.7599999998</v>
      </c>
      <c r="N92" s="712" t="s">
        <v>467</v>
      </c>
      <c r="O92" s="713" t="s">
        <v>2319</v>
      </c>
      <c r="P92" s="714">
        <v>1394.38</v>
      </c>
    </row>
    <row r="93" spans="10:20" x14ac:dyDescent="0.25">
      <c r="J93" s="728" t="s">
        <v>367</v>
      </c>
      <c r="K93" s="713" t="s">
        <v>3092</v>
      </c>
      <c r="L93" s="714">
        <v>121364.06</v>
      </c>
      <c r="N93" s="712" t="s">
        <v>468</v>
      </c>
      <c r="O93" s="713" t="s">
        <v>469</v>
      </c>
      <c r="P93" s="714">
        <v>1635763.74</v>
      </c>
    </row>
    <row r="94" spans="10:20" x14ac:dyDescent="0.25">
      <c r="J94" s="728" t="s">
        <v>368</v>
      </c>
      <c r="K94" s="713" t="s">
        <v>369</v>
      </c>
      <c r="L94" s="714">
        <v>3436.96</v>
      </c>
      <c r="N94" s="712" t="s">
        <v>472</v>
      </c>
      <c r="O94" s="713" t="s">
        <v>2320</v>
      </c>
      <c r="P94" s="714">
        <v>72576.850000000006</v>
      </c>
    </row>
    <row r="95" spans="10:20" x14ac:dyDescent="0.25">
      <c r="J95" s="728" t="s">
        <v>408</v>
      </c>
      <c r="K95" s="713" t="s">
        <v>409</v>
      </c>
      <c r="L95" s="714">
        <v>27690.75</v>
      </c>
      <c r="N95" s="712" t="s">
        <v>479</v>
      </c>
      <c r="O95" s="713" t="s">
        <v>480</v>
      </c>
      <c r="P95" s="714">
        <v>20214.560000000001</v>
      </c>
    </row>
    <row r="96" spans="10:20" x14ac:dyDescent="0.25">
      <c r="J96" s="728" t="s">
        <v>452</v>
      </c>
      <c r="K96" s="713" t="s">
        <v>453</v>
      </c>
      <c r="L96" s="714">
        <v>320524.05</v>
      </c>
      <c r="N96" s="712" t="s">
        <v>489</v>
      </c>
      <c r="O96" s="713" t="s">
        <v>490</v>
      </c>
      <c r="P96" s="714">
        <v>476721.99</v>
      </c>
    </row>
    <row r="97" spans="10:16" x14ac:dyDescent="0.25">
      <c r="J97" s="728" t="s">
        <v>455</v>
      </c>
      <c r="K97" s="713" t="s">
        <v>456</v>
      </c>
      <c r="L97" s="714">
        <v>234174.5</v>
      </c>
      <c r="N97" s="712" t="s">
        <v>500</v>
      </c>
      <c r="O97" s="713" t="s">
        <v>501</v>
      </c>
      <c r="P97" s="714">
        <v>2938968.83</v>
      </c>
    </row>
    <row r="98" spans="10:16" x14ac:dyDescent="0.25">
      <c r="J98" s="728" t="s">
        <v>461</v>
      </c>
      <c r="K98" s="713" t="s">
        <v>462</v>
      </c>
      <c r="L98" s="714">
        <v>323479.77</v>
      </c>
      <c r="N98" s="712" t="s">
        <v>520</v>
      </c>
      <c r="O98" s="713" t="s">
        <v>521</v>
      </c>
      <c r="P98" s="714">
        <v>70129.34</v>
      </c>
    </row>
    <row r="99" spans="10:16" x14ac:dyDescent="0.25">
      <c r="J99" s="728" t="s">
        <v>468</v>
      </c>
      <c r="K99" s="713" t="s">
        <v>469</v>
      </c>
      <c r="L99" s="714">
        <v>49993.08</v>
      </c>
      <c r="N99" s="712" t="s">
        <v>526</v>
      </c>
      <c r="O99" s="713" t="s">
        <v>3083</v>
      </c>
      <c r="P99" s="714">
        <v>40611.67</v>
      </c>
    </row>
    <row r="100" spans="10:16" x14ac:dyDescent="0.25">
      <c r="J100" s="728" t="s">
        <v>487</v>
      </c>
      <c r="K100" s="713" t="s">
        <v>488</v>
      </c>
      <c r="L100" s="714">
        <v>3110.54</v>
      </c>
      <c r="N100" s="712" t="s">
        <v>528</v>
      </c>
      <c r="O100" s="713" t="s">
        <v>529</v>
      </c>
      <c r="P100" s="714">
        <v>87.76</v>
      </c>
    </row>
    <row r="101" spans="10:16" x14ac:dyDescent="0.25">
      <c r="J101" s="728" t="s">
        <v>489</v>
      </c>
      <c r="K101" s="713" t="s">
        <v>490</v>
      </c>
      <c r="L101" s="714">
        <v>39283.25</v>
      </c>
      <c r="N101" s="712" t="s">
        <v>530</v>
      </c>
      <c r="O101" s="713" t="s">
        <v>531</v>
      </c>
      <c r="P101" s="714">
        <v>87.76</v>
      </c>
    </row>
    <row r="102" spans="10:16" x14ac:dyDescent="0.25">
      <c r="J102" s="728" t="s">
        <v>500</v>
      </c>
      <c r="K102" s="713" t="s">
        <v>501</v>
      </c>
      <c r="L102" s="714">
        <v>339333.03</v>
      </c>
      <c r="N102" s="712" t="s">
        <v>545</v>
      </c>
      <c r="O102" s="713" t="s">
        <v>546</v>
      </c>
      <c r="P102" s="714">
        <v>125770.66</v>
      </c>
    </row>
    <row r="103" spans="10:16" x14ac:dyDescent="0.25">
      <c r="J103" s="728" t="s">
        <v>502</v>
      </c>
      <c r="K103" s="713" t="s">
        <v>503</v>
      </c>
      <c r="L103" s="714">
        <v>1180071.6499999999</v>
      </c>
      <c r="N103" s="712" t="s">
        <v>575</v>
      </c>
      <c r="O103" s="713" t="s">
        <v>576</v>
      </c>
      <c r="P103" s="714">
        <v>467354.38</v>
      </c>
    </row>
    <row r="104" spans="10:16" x14ac:dyDescent="0.25">
      <c r="J104" s="728" t="s">
        <v>504</v>
      </c>
      <c r="K104" s="713" t="s">
        <v>505</v>
      </c>
      <c r="L104" s="714">
        <v>1394966.12</v>
      </c>
      <c r="N104" s="712" t="s">
        <v>577</v>
      </c>
      <c r="O104" s="713" t="s">
        <v>578</v>
      </c>
      <c r="P104" s="714">
        <v>114177.76</v>
      </c>
    </row>
    <row r="105" spans="10:16" x14ac:dyDescent="0.25">
      <c r="J105" s="728" t="s">
        <v>523</v>
      </c>
      <c r="K105" s="713" t="s">
        <v>524</v>
      </c>
      <c r="L105" s="714">
        <v>257898.37</v>
      </c>
      <c r="N105" s="712" t="s">
        <v>581</v>
      </c>
      <c r="O105" s="713" t="s">
        <v>582</v>
      </c>
      <c r="P105" s="714">
        <v>809856.5</v>
      </c>
    </row>
    <row r="106" spans="10:16" x14ac:dyDescent="0.25">
      <c r="J106" s="728" t="s">
        <v>532</v>
      </c>
      <c r="K106" s="713" t="s">
        <v>2389</v>
      </c>
      <c r="L106" s="714">
        <v>111682.87</v>
      </c>
      <c r="N106" s="712" t="s">
        <v>586</v>
      </c>
      <c r="O106" s="713" t="s">
        <v>587</v>
      </c>
      <c r="P106" s="714">
        <v>433604.87</v>
      </c>
    </row>
    <row r="107" spans="10:16" x14ac:dyDescent="0.25">
      <c r="J107" s="728" t="s">
        <v>575</v>
      </c>
      <c r="K107" s="713" t="s">
        <v>576</v>
      </c>
      <c r="L107" s="714">
        <v>162054.01999999999</v>
      </c>
      <c r="N107" s="712" t="s">
        <v>617</v>
      </c>
      <c r="O107" s="713" t="s">
        <v>618</v>
      </c>
      <c r="P107" s="714">
        <v>243492.41</v>
      </c>
    </row>
    <row r="108" spans="10:16" x14ac:dyDescent="0.25">
      <c r="J108" s="728" t="s">
        <v>577</v>
      </c>
      <c r="K108" s="713" t="s">
        <v>578</v>
      </c>
      <c r="L108" s="714">
        <v>51133.84</v>
      </c>
      <c r="N108" s="712" t="s">
        <v>623</v>
      </c>
      <c r="O108" s="713" t="s">
        <v>624</v>
      </c>
      <c r="P108" s="714">
        <v>198898.81</v>
      </c>
    </row>
    <row r="109" spans="10:16" x14ac:dyDescent="0.25">
      <c r="J109" s="728" t="s">
        <v>608</v>
      </c>
      <c r="K109" s="713" t="s">
        <v>609</v>
      </c>
      <c r="L109" s="714">
        <v>8906.7900000000009</v>
      </c>
      <c r="N109" s="712" t="s">
        <v>625</v>
      </c>
      <c r="O109" s="713" t="s">
        <v>626</v>
      </c>
      <c r="P109" s="714">
        <v>288956.69</v>
      </c>
    </row>
    <row r="110" spans="10:16" x14ac:dyDescent="0.25">
      <c r="J110" s="728" t="s">
        <v>617</v>
      </c>
      <c r="K110" s="713" t="s">
        <v>618</v>
      </c>
      <c r="L110" s="714">
        <v>48019.06</v>
      </c>
      <c r="N110" s="712" t="s">
        <v>631</v>
      </c>
      <c r="O110" s="713" t="s">
        <v>632</v>
      </c>
      <c r="P110" s="714">
        <v>64332.08</v>
      </c>
    </row>
    <row r="111" spans="10:16" x14ac:dyDescent="0.25">
      <c r="J111" s="728" t="s">
        <v>621</v>
      </c>
      <c r="K111" s="713" t="s">
        <v>622</v>
      </c>
      <c r="L111" s="714">
        <v>187262.35</v>
      </c>
      <c r="N111" s="712" t="s">
        <v>633</v>
      </c>
      <c r="O111" s="713" t="s">
        <v>634</v>
      </c>
      <c r="P111" s="714">
        <v>1158691.8600000001</v>
      </c>
    </row>
    <row r="112" spans="10:16" x14ac:dyDescent="0.25">
      <c r="J112" s="728" t="s">
        <v>629</v>
      </c>
      <c r="K112" s="713" t="s">
        <v>630</v>
      </c>
      <c r="L112" s="714">
        <v>420650.41</v>
      </c>
      <c r="N112" s="712" t="s">
        <v>635</v>
      </c>
      <c r="O112" s="713" t="s">
        <v>636</v>
      </c>
      <c r="P112" s="714">
        <v>1717.95</v>
      </c>
    </row>
    <row r="113" spans="10:16" x14ac:dyDescent="0.25">
      <c r="J113" s="728" t="s">
        <v>631</v>
      </c>
      <c r="K113" s="713" t="s">
        <v>632</v>
      </c>
      <c r="L113" s="714">
        <v>1350.18</v>
      </c>
      <c r="N113" s="712" t="s">
        <v>2294</v>
      </c>
      <c r="O113" s="713" t="s">
        <v>2295</v>
      </c>
      <c r="P113" s="714">
        <v>159351.10999999999</v>
      </c>
    </row>
    <row r="114" spans="10:16" x14ac:dyDescent="0.25">
      <c r="J114" s="728" t="s">
        <v>637</v>
      </c>
      <c r="K114" s="713" t="s">
        <v>638</v>
      </c>
      <c r="L114" s="714">
        <v>334653.59999999998</v>
      </c>
      <c r="N114" s="712" t="s">
        <v>637</v>
      </c>
      <c r="O114" s="713" t="s">
        <v>638</v>
      </c>
      <c r="P114" s="714">
        <v>2940892.2</v>
      </c>
    </row>
    <row r="115" spans="10:16" x14ac:dyDescent="0.25">
      <c r="J115" s="728" t="s">
        <v>3117</v>
      </c>
      <c r="K115" s="713" t="s">
        <v>3125</v>
      </c>
      <c r="L115" s="714">
        <v>22688.41</v>
      </c>
      <c r="N115" s="712" t="s">
        <v>2391</v>
      </c>
      <c r="O115" s="713" t="s">
        <v>2392</v>
      </c>
      <c r="P115" s="714">
        <v>6110.72</v>
      </c>
    </row>
    <row r="116" spans="10:16" x14ac:dyDescent="0.25">
      <c r="J116" s="728" t="s">
        <v>3118</v>
      </c>
      <c r="K116" s="713" t="s">
        <v>3126</v>
      </c>
      <c r="L116" s="714">
        <v>7280.62</v>
      </c>
      <c r="N116" s="712" t="s">
        <v>2393</v>
      </c>
      <c r="O116" s="713" t="s">
        <v>2394</v>
      </c>
      <c r="P116" s="714">
        <v>14198.62</v>
      </c>
    </row>
    <row r="117" spans="10:16" x14ac:dyDescent="0.25">
      <c r="J117" s="730" t="s">
        <v>3119</v>
      </c>
      <c r="K117" s="733" t="s">
        <v>3127</v>
      </c>
      <c r="L117" s="736">
        <v>194.23</v>
      </c>
      <c r="N117" s="712" t="s">
        <v>2412</v>
      </c>
      <c r="O117" s="713" t="s">
        <v>2413</v>
      </c>
      <c r="P117" s="714">
        <v>1402875.54</v>
      </c>
    </row>
    <row r="118" spans="10:16" x14ac:dyDescent="0.25">
      <c r="N118" s="712" t="s">
        <v>2414</v>
      </c>
      <c r="O118" s="713" t="s">
        <v>2415</v>
      </c>
      <c r="P118" s="714">
        <v>110928.9</v>
      </c>
    </row>
    <row r="119" spans="10:16" x14ac:dyDescent="0.25">
      <c r="N119" s="712" t="s">
        <v>2421</v>
      </c>
      <c r="O119" s="713" t="s">
        <v>2422</v>
      </c>
      <c r="P119" s="714">
        <v>57915.38</v>
      </c>
    </row>
    <row r="120" spans="10:16" x14ac:dyDescent="0.25">
      <c r="N120" s="712" t="s">
        <v>2423</v>
      </c>
      <c r="O120" s="713" t="s">
        <v>2424</v>
      </c>
      <c r="P120" s="714">
        <v>126987.51</v>
      </c>
    </row>
    <row r="121" spans="10:16" x14ac:dyDescent="0.25">
      <c r="N121" s="712" t="s">
        <v>2425</v>
      </c>
      <c r="O121" s="713" t="s">
        <v>2426</v>
      </c>
      <c r="P121" s="714">
        <v>93300.67</v>
      </c>
    </row>
    <row r="122" spans="10:16" x14ac:dyDescent="0.25">
      <c r="N122" s="712" t="s">
        <v>2435</v>
      </c>
      <c r="O122" s="713" t="s">
        <v>3098</v>
      </c>
      <c r="P122" s="714">
        <v>112917.27</v>
      </c>
    </row>
    <row r="123" spans="10:16" x14ac:dyDescent="0.25">
      <c r="N123" s="712" t="s">
        <v>2437</v>
      </c>
      <c r="O123" s="713" t="s">
        <v>3102</v>
      </c>
      <c r="P123" s="714">
        <v>33336.53</v>
      </c>
    </row>
    <row r="124" spans="10:16" x14ac:dyDescent="0.25">
      <c r="N124" s="712" t="s">
        <v>2439</v>
      </c>
      <c r="O124" s="713" t="s">
        <v>3099</v>
      </c>
      <c r="P124" s="714">
        <v>1148062.3400000001</v>
      </c>
    </row>
    <row r="125" spans="10:16" x14ac:dyDescent="0.25">
      <c r="N125" s="712" t="s">
        <v>2604</v>
      </c>
      <c r="O125" s="713" t="s">
        <v>2605</v>
      </c>
      <c r="P125" s="714">
        <v>136309.76000000001</v>
      </c>
    </row>
    <row r="126" spans="10:16" x14ac:dyDescent="0.25">
      <c r="N126" s="712" t="s">
        <v>3100</v>
      </c>
      <c r="O126" s="713" t="s">
        <v>3101</v>
      </c>
      <c r="P126" s="714">
        <v>41635.339999999997</v>
      </c>
    </row>
    <row r="127" spans="10:16" x14ac:dyDescent="0.25">
      <c r="N127" s="712" t="s">
        <v>2606</v>
      </c>
      <c r="O127" s="713" t="s">
        <v>2607</v>
      </c>
      <c r="P127" s="714">
        <v>56209.279999999999</v>
      </c>
    </row>
    <row r="128" spans="10:16" x14ac:dyDescent="0.25">
      <c r="N128" s="712" t="s">
        <v>2610</v>
      </c>
      <c r="O128" s="713" t="s">
        <v>2611</v>
      </c>
      <c r="P128" s="714">
        <v>32144.98</v>
      </c>
    </row>
    <row r="129" spans="14:16" x14ac:dyDescent="0.25">
      <c r="N129" s="712" t="s">
        <v>2612</v>
      </c>
      <c r="O129" s="713" t="s">
        <v>2613</v>
      </c>
      <c r="P129" s="714">
        <v>37331.14</v>
      </c>
    </row>
    <row r="130" spans="14:16" x14ac:dyDescent="0.25">
      <c r="N130" s="712" t="s">
        <v>2614</v>
      </c>
      <c r="O130" s="713" t="s">
        <v>2615</v>
      </c>
      <c r="P130" s="714">
        <v>19135.87</v>
      </c>
    </row>
    <row r="131" spans="14:16" x14ac:dyDescent="0.25">
      <c r="N131" s="712" t="s">
        <v>2616</v>
      </c>
      <c r="O131" s="713" t="s">
        <v>2617</v>
      </c>
      <c r="P131" s="714">
        <v>36152.019999999997</v>
      </c>
    </row>
    <row r="132" spans="14:16" x14ac:dyDescent="0.25">
      <c r="N132" s="712" t="s">
        <v>2633</v>
      </c>
      <c r="O132" s="713" t="s">
        <v>2634</v>
      </c>
      <c r="P132" s="714">
        <v>4901.7299999999996</v>
      </c>
    </row>
    <row r="133" spans="14:16" x14ac:dyDescent="0.25">
      <c r="N133" s="712" t="s">
        <v>2637</v>
      </c>
      <c r="O133" s="713" t="s">
        <v>2638</v>
      </c>
      <c r="P133" s="714">
        <v>3990.84</v>
      </c>
    </row>
    <row r="134" spans="14:16" x14ac:dyDescent="0.25">
      <c r="N134" s="712" t="s">
        <v>2641</v>
      </c>
      <c r="O134" s="713" t="s">
        <v>2642</v>
      </c>
      <c r="P134" s="714">
        <v>3215.52</v>
      </c>
    </row>
    <row r="135" spans="14:16" x14ac:dyDescent="0.25">
      <c r="N135" s="712" t="s">
        <v>2647</v>
      </c>
      <c r="O135" s="713" t="s">
        <v>3103</v>
      </c>
      <c r="P135" s="714">
        <v>16201.47</v>
      </c>
    </row>
    <row r="136" spans="14:16" x14ac:dyDescent="0.25">
      <c r="N136" s="712" t="s">
        <v>2774</v>
      </c>
      <c r="O136" s="713" t="s">
        <v>2775</v>
      </c>
      <c r="P136" s="714">
        <v>2281.92</v>
      </c>
    </row>
    <row r="137" spans="14:16" x14ac:dyDescent="0.25">
      <c r="N137" s="712" t="s">
        <v>3058</v>
      </c>
      <c r="O137" s="713" t="s">
        <v>3059</v>
      </c>
      <c r="P137" s="714">
        <v>34115.019999999997</v>
      </c>
    </row>
    <row r="138" spans="14:16" x14ac:dyDescent="0.25">
      <c r="N138" s="712" t="s">
        <v>3060</v>
      </c>
      <c r="O138" s="713" t="s">
        <v>3061</v>
      </c>
      <c r="P138" s="714">
        <v>190856.07</v>
      </c>
    </row>
    <row r="139" spans="14:16" x14ac:dyDescent="0.25">
      <c r="N139" s="712" t="s">
        <v>3062</v>
      </c>
      <c r="O139" s="713" t="s">
        <v>3063</v>
      </c>
      <c r="P139" s="714">
        <v>3906700</v>
      </c>
    </row>
    <row r="140" spans="14:16" x14ac:dyDescent="0.25">
      <c r="P140" s="706">
        <f>SUM(P5:P139)</f>
        <v>215187395.17999992</v>
      </c>
    </row>
  </sheetData>
  <sortState ref="N5:P139">
    <sortCondition ref="N5:N139"/>
  </sortState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30</vt:i4>
      </vt:variant>
    </vt:vector>
  </HeadingPairs>
  <TitlesOfParts>
    <vt:vector size="43" baseType="lpstr">
      <vt:lpstr>Table of Contents</vt:lpstr>
      <vt:lpstr>PTRM</vt:lpstr>
      <vt:lpstr>RFM</vt:lpstr>
      <vt:lpstr>For RFM &amp; PTRM</vt:lpstr>
      <vt:lpstr>Incurred</vt:lpstr>
      <vt:lpstr>Incurred 2.5% cpi</vt:lpstr>
      <vt:lpstr>Commissioned</vt:lpstr>
      <vt:lpstr>Commissioned Extra</vt:lpstr>
      <vt:lpstr>F17 Commiss &amp; CWIP</vt:lpstr>
      <vt:lpstr>Success Asset Classes</vt:lpstr>
      <vt:lpstr>Project splits</vt:lpstr>
      <vt:lpstr>Project labour content</vt:lpstr>
      <vt:lpstr>Capex 15yr View</vt:lpstr>
      <vt:lpstr>Commissioned!_FilterDatabase</vt:lpstr>
      <vt:lpstr>'Commissioned Extra'!_FilterDatabase</vt:lpstr>
      <vt:lpstr>'Project labour content'!_FilterDatabase</vt:lpstr>
      <vt:lpstr>'Project splits'!_FilterDatabase</vt:lpstr>
      <vt:lpstr>'Success Asset Classes'!_FilterDatabase</vt:lpstr>
      <vt:lpstr>CatLabEsc</vt:lpstr>
      <vt:lpstr>Commissioned_Extra</vt:lpstr>
      <vt:lpstr>CommissionedByClass</vt:lpstr>
      <vt:lpstr>ContractorRate</vt:lpstr>
      <vt:lpstr>CWIPF16</vt:lpstr>
      <vt:lpstr>CWIPF17</vt:lpstr>
      <vt:lpstr>Estimates</vt:lpstr>
      <vt:lpstr>IncurredByClass</vt:lpstr>
      <vt:lpstr>Labesc18</vt:lpstr>
      <vt:lpstr>LabEsc19</vt:lpstr>
      <vt:lpstr>LabEsc20</vt:lpstr>
      <vt:lpstr>LabEsc21</vt:lpstr>
      <vt:lpstr>LabEsc22</vt:lpstr>
      <vt:lpstr>LabEsc23</vt:lpstr>
      <vt:lpstr>LabEsc24</vt:lpstr>
      <vt:lpstr>LabIn</vt:lpstr>
      <vt:lpstr>Commissioned!Print_Area</vt:lpstr>
      <vt:lpstr>'Commissioned Extra'!Print_Area</vt:lpstr>
      <vt:lpstr>Incurred!Print_Area</vt:lpstr>
      <vt:lpstr>'Project labour content'!Print_Area</vt:lpstr>
      <vt:lpstr>'Project splits'!Print_Area</vt:lpstr>
      <vt:lpstr>PTRM!Print_Area</vt:lpstr>
      <vt:lpstr>ProjectSplits</vt:lpstr>
      <vt:lpstr>ProjLabEsc</vt:lpstr>
      <vt:lpstr>'Project splits'!SplitHeaders</vt:lpstr>
    </vt:vector>
  </TitlesOfParts>
  <Company>ElectraNet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Ian (ENet)</dc:creator>
  <cp:lastModifiedBy>Monk, David</cp:lastModifiedBy>
  <cp:lastPrinted>2017-12-12T23:42:43Z</cp:lastPrinted>
  <dcterms:created xsi:type="dcterms:W3CDTF">2016-06-22T05:38:17Z</dcterms:created>
  <dcterms:modified xsi:type="dcterms:W3CDTF">2018-04-20T04:50:58Z</dcterms:modified>
</cp:coreProperties>
</file>