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sharecl\HomeDrives\jtran\Desktop\Models for upload_20April\"/>
    </mc:Choice>
  </mc:AlternateContent>
  <bookViews>
    <workbookView xWindow="2130" yWindow="1560" windowWidth="17070" windowHeight="4740" tabRatio="807" activeTab="9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19" i="42" l="1"/>
  <c r="Q38" i="2" l="1"/>
  <c r="R38" i="2"/>
  <c r="S38" i="2"/>
  <c r="T38" i="2"/>
  <c r="P38" i="2"/>
  <c r="F56" i="55" l="1"/>
  <c r="G56" i="55" s="1"/>
  <c r="F54" i="55"/>
  <c r="G54" i="55" s="1"/>
  <c r="G52" i="55"/>
  <c r="G51" i="55"/>
  <c r="F53" i="55" l="1"/>
  <c r="G53" i="55" s="1"/>
  <c r="F55" i="55"/>
  <c r="G55" i="55" s="1"/>
  <c r="F58" i="55"/>
  <c r="F60" i="55"/>
  <c r="G60" i="55" l="1"/>
  <c r="F61" i="55"/>
  <c r="G58" i="55"/>
  <c r="F62" i="55"/>
  <c r="G62" i="55" s="1"/>
  <c r="F59" i="55"/>
  <c r="G59" i="55" s="1"/>
  <c r="F57" i="55"/>
  <c r="G57" i="55" s="1"/>
  <c r="G61" i="55" l="1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82" i="2" s="1"/>
  <c r="T4" i="2"/>
  <c r="S4" i="2"/>
  <c r="S82" i="2" s="1"/>
  <c r="R4" i="2"/>
  <c r="Q4" i="2"/>
  <c r="Q82" i="2" s="1"/>
  <c r="P4" i="2"/>
  <c r="O4" i="2"/>
  <c r="O82" i="2" s="1"/>
  <c r="N4" i="2"/>
  <c r="N82" i="2" s="1"/>
  <c r="M4" i="2"/>
  <c r="M82" i="2" s="1"/>
  <c r="L4" i="2"/>
  <c r="K4" i="2"/>
  <c r="K82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L61" i="42" s="1"/>
  <c r="O75" i="2"/>
  <c r="P75" i="2"/>
  <c r="Q75" i="2"/>
  <c r="R75" i="2"/>
  <c r="Q61" i="42" s="1"/>
  <c r="S75" i="2"/>
  <c r="T75" i="2"/>
  <c r="N75" i="2"/>
  <c r="M61" i="42" l="1"/>
  <c r="K61" i="42"/>
  <c r="S61" i="42"/>
  <c r="O61" i="42"/>
  <c r="J61" i="42"/>
  <c r="P61" i="42"/>
  <c r="R61" i="42"/>
  <c r="N61" i="4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Q33" i="42"/>
  <c r="S33" i="42"/>
  <c r="L12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95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95" i="2"/>
  <c r="P95" i="2"/>
  <c r="T95" i="2"/>
  <c r="R8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95" i="2"/>
  <c r="R95" i="2"/>
  <c r="T82" i="2"/>
  <c r="P82" i="2"/>
  <c r="L8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95" i="2"/>
  <c r="M95" i="2"/>
  <c r="O95" i="2"/>
  <c r="Q95" i="2"/>
  <c r="S95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E23" i="42" l="1"/>
  <c r="E21" i="42"/>
  <c r="F23" i="42"/>
  <c r="F21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J91" i="2"/>
  <c r="K99" i="2"/>
  <c r="T91" i="2"/>
  <c r="S99" i="2"/>
  <c r="R91" i="2"/>
  <c r="Q99" i="2"/>
  <c r="P91" i="2"/>
  <c r="O99" i="2"/>
  <c r="N91" i="2"/>
  <c r="M99" i="2"/>
  <c r="L91" i="2"/>
  <c r="C24" i="4"/>
  <c r="S9" i="54"/>
  <c r="K14" i="42" l="1"/>
  <c r="M14" i="42"/>
  <c r="O14" i="42"/>
  <c r="Q14" i="42"/>
  <c r="S14" i="42"/>
  <c r="N14" i="42"/>
  <c r="P14" i="42"/>
  <c r="R14" i="42"/>
  <c r="S91" i="2"/>
  <c r="Q91" i="2"/>
  <c r="O91" i="2"/>
  <c r="M91" i="2"/>
  <c r="K91" i="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8" i="42" s="1" a="1"/>
  <c r="J68" i="42" s="1"/>
  <c r="L88" i="42"/>
  <c r="L72" i="42"/>
  <c r="L58" i="42"/>
  <c r="L68" i="42" s="1" a="1"/>
  <c r="L68" i="42" s="1"/>
  <c r="N88" i="42"/>
  <c r="N72" i="42"/>
  <c r="N58" i="42"/>
  <c r="P88" i="42"/>
  <c r="P72" i="42"/>
  <c r="P58" i="42"/>
  <c r="R88" i="42"/>
  <c r="R72" i="42"/>
  <c r="R58" i="42"/>
  <c r="K58" i="42"/>
  <c r="K68" i="42" s="1" a="1"/>
  <c r="K68" i="42" s="1"/>
  <c r="M58" i="42"/>
  <c r="M68" i="42" s="1" a="1"/>
  <c r="M68" i="42" s="1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K45" i="2"/>
  <c r="M45" i="2"/>
  <c r="Q58" i="2"/>
  <c r="M58" i="2"/>
  <c r="O45" i="2"/>
  <c r="K58" i="2"/>
  <c r="O58" i="2"/>
  <c r="S58" i="2"/>
  <c r="L58" i="2"/>
  <c r="L45" i="2"/>
  <c r="L99" i="2"/>
  <c r="L71" i="2"/>
  <c r="N58" i="2"/>
  <c r="N45" i="2"/>
  <c r="N99" i="2"/>
  <c r="N71" i="2"/>
  <c r="P58" i="2"/>
  <c r="P99" i="2"/>
  <c r="P71" i="2"/>
  <c r="R58" i="2"/>
  <c r="R99" i="2"/>
  <c r="R71" i="2"/>
  <c r="T58" i="2"/>
  <c r="T99" i="2"/>
  <c r="T71" i="2"/>
  <c r="J58" i="2"/>
  <c r="J12" i="2"/>
  <c r="J99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100" i="42" l="1"/>
  <c r="K13" i="44" s="1"/>
  <c r="K101" i="42"/>
  <c r="K102" i="42" s="1"/>
  <c r="J100" i="42"/>
  <c r="J13" i="44" s="1"/>
  <c r="J101" i="42"/>
  <c r="J102" i="42" s="1"/>
  <c r="W71" i="2"/>
  <c r="W22" i="53"/>
  <c r="W40" i="53"/>
  <c r="W58" i="2"/>
  <c r="W99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W91" i="2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97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N68" i="42" l="1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L27" i="2"/>
  <c r="S27" i="2"/>
  <c r="R13" i="42" s="1"/>
  <c r="R26" i="42" s="1"/>
  <c r="R27" i="2"/>
  <c r="S13" i="42" l="1"/>
  <c r="S26" i="42" s="1"/>
  <c r="P13" i="42"/>
  <c r="P26" i="42" s="1"/>
  <c r="M21" i="2"/>
  <c r="O29" i="2"/>
  <c r="K18" i="2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N30" i="2"/>
  <c r="N19" i="2"/>
  <c r="N28" i="2" s="1"/>
  <c r="Q13" i="42"/>
  <c r="Q26" i="42" s="1"/>
  <c r="J25" i="2"/>
  <c r="N29" i="2"/>
  <c r="K27" i="2"/>
  <c r="M29" i="2"/>
  <c r="M16" i="2" l="1"/>
  <c r="M25" i="2" s="1"/>
  <c r="L21" i="2"/>
  <c r="L20" i="2"/>
  <c r="M17" i="2"/>
  <c r="K19" i="2"/>
  <c r="O19" i="2"/>
  <c r="N18" i="2"/>
  <c r="N27" i="2" s="1"/>
  <c r="M13" i="42" s="1"/>
  <c r="M26" i="42" s="1"/>
  <c r="J18" i="2"/>
  <c r="J27" i="2" s="1"/>
  <c r="O28" i="2"/>
  <c r="P28" i="2"/>
  <c r="P26" i="2"/>
  <c r="P27" i="2"/>
  <c r="O13" i="42" s="1"/>
  <c r="O26" i="42" s="1"/>
  <c r="M30" i="2"/>
  <c r="K28" i="2"/>
  <c r="M27" i="2"/>
  <c r="L29" i="2"/>
  <c r="N16" i="2" l="1"/>
  <c r="L13" i="42"/>
  <c r="O28" i="53"/>
  <c r="O32" i="53" s="1"/>
  <c r="R28" i="53"/>
  <c r="R32" i="53" s="1"/>
  <c r="S28" i="53"/>
  <c r="S32" i="53" s="1"/>
  <c r="Q28" i="53"/>
  <c r="Q32" i="53" s="1"/>
  <c r="P28" i="53"/>
  <c r="P32" i="53" s="1"/>
  <c r="K21" i="2"/>
  <c r="O18" i="2"/>
  <c r="J19" i="2"/>
  <c r="J28" i="2" s="1"/>
  <c r="N17" i="2"/>
  <c r="M26" i="2"/>
  <c r="K20" i="2"/>
  <c r="O16" i="2"/>
  <c r="N15" i="42" s="1"/>
  <c r="R17" i="42"/>
  <c r="K24" i="42"/>
  <c r="R24" i="42"/>
  <c r="N25" i="2"/>
  <c r="L17" i="42"/>
  <c r="J15" i="42"/>
  <c r="K31" i="42" s="1"/>
  <c r="K17" i="42"/>
  <c r="Q15" i="42"/>
  <c r="Q17" i="42"/>
  <c r="N17" i="42"/>
  <c r="O15" i="42"/>
  <c r="P15" i="42"/>
  <c r="J17" i="42"/>
  <c r="R15" i="42"/>
  <c r="S15" i="42"/>
  <c r="P17" i="42"/>
  <c r="S17" i="42"/>
  <c r="S24" i="42"/>
  <c r="J22" i="42"/>
  <c r="K35" i="42" s="1"/>
  <c r="N22" i="42"/>
  <c r="Q24" i="42"/>
  <c r="Q22" i="42"/>
  <c r="P22" i="42"/>
  <c r="J24" i="42"/>
  <c r="S22" i="42"/>
  <c r="M24" i="42"/>
  <c r="N24" i="42"/>
  <c r="L22" i="42"/>
  <c r="L30" i="2"/>
  <c r="K13" i="42" s="1"/>
  <c r="K26" i="42" s="1"/>
  <c r="K29" i="2"/>
  <c r="L26" i="42"/>
  <c r="W32" i="53" l="1"/>
  <c r="S1" i="53" s="1"/>
  <c r="G14" i="16" s="1"/>
  <c r="S1" i="16" s="1"/>
  <c r="S29" i="42"/>
  <c r="R29" i="42"/>
  <c r="J29" i="42"/>
  <c r="L29" i="42"/>
  <c r="K29" i="42"/>
  <c r="P29" i="42"/>
  <c r="O29" i="42"/>
  <c r="N29" i="42"/>
  <c r="M29" i="42"/>
  <c r="Q29" i="42"/>
  <c r="L20" i="42"/>
  <c r="Q20" i="42"/>
  <c r="S50" i="42"/>
  <c r="P44" i="42"/>
  <c r="R38" i="42"/>
  <c r="K74" i="42"/>
  <c r="L81" i="42"/>
  <c r="Q76" i="42"/>
  <c r="K90" i="42"/>
  <c r="J77" i="42"/>
  <c r="S76" i="42"/>
  <c r="P82" i="42"/>
  <c r="O91" i="42"/>
  <c r="O15" i="44" s="1"/>
  <c r="S47" i="42"/>
  <c r="P77" i="42"/>
  <c r="P76" i="42"/>
  <c r="K50" i="42"/>
  <c r="M47" i="42"/>
  <c r="K41" i="42"/>
  <c r="R74" i="42"/>
  <c r="J80" i="42"/>
  <c r="O75" i="42"/>
  <c r="S81" i="42"/>
  <c r="R75" i="42"/>
  <c r="N92" i="42"/>
  <c r="N16" i="44" s="1"/>
  <c r="L80" i="42"/>
  <c r="R50" i="42"/>
  <c r="L74" i="42"/>
  <c r="M91" i="42"/>
  <c r="M15" i="44" s="1"/>
  <c r="Q50" i="42"/>
  <c r="O47" i="42"/>
  <c r="Q41" i="42"/>
  <c r="J74" i="42"/>
  <c r="R78" i="42"/>
  <c r="L92" i="42"/>
  <c r="L16" i="44" s="1"/>
  <c r="Q80" i="42"/>
  <c r="S74" i="42"/>
  <c r="J90" i="42"/>
  <c r="S91" i="42"/>
  <c r="S15" i="44" s="1"/>
  <c r="Q79" i="42"/>
  <c r="K44" i="42"/>
  <c r="R80" i="42"/>
  <c r="R90" i="42"/>
  <c r="S92" i="42"/>
  <c r="S16" i="44" s="1"/>
  <c r="N20" i="42"/>
  <c r="S44" i="42"/>
  <c r="N74" i="42"/>
  <c r="O81" i="42"/>
  <c r="N79" i="42"/>
  <c r="O74" i="42"/>
  <c r="J47" i="42"/>
  <c r="N78" i="42"/>
  <c r="Q74" i="42"/>
  <c r="M38" i="42"/>
  <c r="K47" i="42"/>
  <c r="P90" i="42"/>
  <c r="R79" i="42"/>
  <c r="N47" i="42"/>
  <c r="J91" i="42"/>
  <c r="O20" i="42"/>
  <c r="S20" i="42"/>
  <c r="M20" i="42"/>
  <c r="R47" i="42"/>
  <c r="M44" i="42"/>
  <c r="O38" i="42"/>
  <c r="N76" i="42"/>
  <c r="R82" i="42"/>
  <c r="M78" i="42"/>
  <c r="Q91" i="42"/>
  <c r="Q15" i="44" s="1"/>
  <c r="P78" i="42"/>
  <c r="K80" i="42"/>
  <c r="R92" i="42"/>
  <c r="R16" i="44" s="1"/>
  <c r="Q75" i="42"/>
  <c r="Q44" i="42"/>
  <c r="N82" i="42"/>
  <c r="K76" i="42"/>
  <c r="M50" i="42"/>
  <c r="R44" i="42"/>
  <c r="M41" i="42"/>
  <c r="L75" i="42"/>
  <c r="P81" i="42"/>
  <c r="K77" i="42"/>
  <c r="O90" i="42"/>
  <c r="N77" i="42"/>
  <c r="Q77" i="42"/>
  <c r="N90" i="42"/>
  <c r="L47" i="42"/>
  <c r="L79" i="42"/>
  <c r="L78" i="42"/>
  <c r="O50" i="42"/>
  <c r="J44" i="42"/>
  <c r="N41" i="42"/>
  <c r="P74" i="42"/>
  <c r="N80" i="42"/>
  <c r="S75" i="42"/>
  <c r="M82" i="42"/>
  <c r="L76" i="42"/>
  <c r="M75" i="42"/>
  <c r="J81" i="42"/>
  <c r="S82" i="42"/>
  <c r="O41" i="42"/>
  <c r="M76" i="42"/>
  <c r="Q92" i="42"/>
  <c r="Q16" i="44" s="1"/>
  <c r="P80" i="42"/>
  <c r="P20" i="42"/>
  <c r="P50" i="42"/>
  <c r="P79" i="42"/>
  <c r="N75" i="42"/>
  <c r="M81" i="42"/>
  <c r="Q82" i="42"/>
  <c r="N44" i="42"/>
  <c r="R91" i="42"/>
  <c r="R15" i="44" s="1"/>
  <c r="K91" i="42"/>
  <c r="O79" i="42"/>
  <c r="S41" i="42"/>
  <c r="L77" i="42"/>
  <c r="O92" i="42"/>
  <c r="O16" i="44" s="1"/>
  <c r="O76" i="42"/>
  <c r="J75" i="42"/>
  <c r="R20" i="42"/>
  <c r="K20" i="42"/>
  <c r="J50" i="42"/>
  <c r="Q47" i="42"/>
  <c r="J41" i="42"/>
  <c r="L38" i="42"/>
  <c r="J78" i="42"/>
  <c r="N91" i="42"/>
  <c r="N15" i="44" s="1"/>
  <c r="S79" i="42"/>
  <c r="M74" i="42"/>
  <c r="N81" i="42"/>
  <c r="M90" i="42"/>
  <c r="K78" i="42"/>
  <c r="K82" i="42"/>
  <c r="S38" i="42"/>
  <c r="S52" i="42" s="1"/>
  <c r="S54" i="42" s="1"/>
  <c r="S77" i="42"/>
  <c r="R81" i="42"/>
  <c r="L50" i="42"/>
  <c r="O44" i="42"/>
  <c r="P38" i="42"/>
  <c r="R76" i="42"/>
  <c r="L90" i="42"/>
  <c r="Q78" i="42"/>
  <c r="K92" i="42"/>
  <c r="J79" i="42"/>
  <c r="S80" i="42"/>
  <c r="S78" i="42"/>
  <c r="R41" i="42"/>
  <c r="P92" i="42"/>
  <c r="P16" i="44" s="1"/>
  <c r="M79" i="42"/>
  <c r="P47" i="42"/>
  <c r="L44" i="42"/>
  <c r="Q38" i="42"/>
  <c r="P75" i="42"/>
  <c r="J82" i="42"/>
  <c r="O77" i="42"/>
  <c r="S90" i="42"/>
  <c r="R77" i="42"/>
  <c r="O78" i="42"/>
  <c r="L91" i="42"/>
  <c r="L15" i="44" s="1"/>
  <c r="N50" i="42"/>
  <c r="K38" i="42"/>
  <c r="K81" i="42"/>
  <c r="M77" i="42"/>
  <c r="O82" i="42"/>
  <c r="L41" i="42"/>
  <c r="K75" i="42"/>
  <c r="P91" i="42"/>
  <c r="P15" i="44" s="1"/>
  <c r="P41" i="42"/>
  <c r="Q90" i="42"/>
  <c r="N38" i="42"/>
  <c r="M80" i="42"/>
  <c r="L82" i="42"/>
  <c r="M92" i="42"/>
  <c r="M16" i="44" s="1"/>
  <c r="O80" i="42"/>
  <c r="J38" i="42"/>
  <c r="K79" i="42"/>
  <c r="Q81" i="42"/>
  <c r="J76" i="42"/>
  <c r="J92" i="42"/>
  <c r="R22" i="42"/>
  <c r="O17" i="42"/>
  <c r="L24" i="42"/>
  <c r="K15" i="42"/>
  <c r="M15" i="42"/>
  <c r="P24" i="42"/>
  <c r="O22" i="42"/>
  <c r="K22" i="42"/>
  <c r="M35" i="42" s="1"/>
  <c r="M22" i="42"/>
  <c r="O24" i="42"/>
  <c r="J21" i="2"/>
  <c r="J20" i="2"/>
  <c r="J29" i="2" s="1"/>
  <c r="O17" i="2"/>
  <c r="N26" i="2"/>
  <c r="O27" i="2"/>
  <c r="N13" i="42" s="1"/>
  <c r="N26" i="42" s="1"/>
  <c r="P25" i="2"/>
  <c r="O25" i="2"/>
  <c r="K30" i="2"/>
  <c r="J13" i="42" s="1"/>
  <c r="J26" i="42" s="1"/>
  <c r="J30" i="2" l="1"/>
  <c r="J20" i="42"/>
  <c r="O35" i="42" s="1"/>
  <c r="W1" i="55"/>
  <c r="W1" i="2"/>
  <c r="V1" i="44"/>
  <c r="V1" i="54"/>
  <c r="V1" i="42"/>
  <c r="V1" i="58"/>
  <c r="V1" i="4"/>
  <c r="V1" i="53"/>
  <c r="J94" i="42"/>
  <c r="O84" i="42"/>
  <c r="M84" i="42"/>
  <c r="L52" i="42"/>
  <c r="L54" i="42" s="1"/>
  <c r="P84" i="42"/>
  <c r="Q84" i="42"/>
  <c r="S84" i="42"/>
  <c r="J84" i="42"/>
  <c r="K94" i="42"/>
  <c r="R52" i="42"/>
  <c r="R54" i="42" s="1"/>
  <c r="K84" i="42"/>
  <c r="S94" i="42"/>
  <c r="S14" i="44"/>
  <c r="Q52" i="42"/>
  <c r="Q54" i="42" s="1"/>
  <c r="L84" i="42"/>
  <c r="R84" i="42"/>
  <c r="P52" i="42"/>
  <c r="P54" i="42" s="1"/>
  <c r="N84" i="42"/>
  <c r="Q94" i="42"/>
  <c r="Q14" i="44"/>
  <c r="R94" i="42"/>
  <c r="R14" i="44"/>
  <c r="N94" i="42"/>
  <c r="N14" i="44"/>
  <c r="L14" i="44"/>
  <c r="L94" i="42"/>
  <c r="J52" i="42"/>
  <c r="J54" i="42" s="1"/>
  <c r="P14" i="44"/>
  <c r="P94" i="42"/>
  <c r="M14" i="44"/>
  <c r="M94" i="42"/>
  <c r="O14" i="44"/>
  <c r="O94" i="42"/>
  <c r="K33" i="42"/>
  <c r="K52" i="42" s="1"/>
  <c r="O26" i="2"/>
  <c r="O33" i="42"/>
  <c r="N35" i="42" l="1"/>
  <c r="K54" i="42"/>
  <c r="O52" i="42"/>
  <c r="O54" i="42" s="1"/>
  <c r="M100" i="42" l="1"/>
  <c r="M13" i="44" s="1"/>
  <c r="M101" i="42"/>
  <c r="M102" i="42" s="1"/>
  <c r="L100" i="42"/>
  <c r="L13" i="44" s="1"/>
  <c r="L101" i="42"/>
  <c r="L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s="1"/>
  <c r="M54" i="42" l="1"/>
  <c r="Q100" i="42" s="1"/>
  <c r="Q13" i="44" s="1"/>
  <c r="N101" i="42"/>
  <c r="N102" i="42" s="1"/>
  <c r="N100" i="42"/>
  <c r="N13" i="44" s="1"/>
  <c r="R100" i="42" l="1"/>
  <c r="R13" i="44" s="1"/>
  <c r="S101" i="42"/>
  <c r="S102" i="42" s="1"/>
  <c r="Q101" i="42"/>
  <c r="Q102" i="42" s="1"/>
  <c r="P101" i="42"/>
  <c r="P102" i="42" s="1"/>
  <c r="R101" i="42"/>
  <c r="R102" i="42" s="1"/>
  <c r="O101" i="42"/>
  <c r="O102" i="42" s="1"/>
  <c r="O100" i="42"/>
  <c r="O13" i="44" s="1"/>
  <c r="P100" i="42"/>
  <c r="P13" i="44" s="1"/>
  <c r="S100" i="42"/>
  <c r="S13" i="44" s="1"/>
</calcChain>
</file>

<file path=xl/sharedStrings.xml><?xml version="1.0" encoding="utf-8"?>
<sst xmlns="http://schemas.openxmlformats.org/spreadsheetml/2006/main" count="668" uniqueCount="193">
  <si>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</si>
  <si>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</si>
  <si>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</si>
  <si>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</si>
  <si>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</si>
  <si>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</si>
  <si>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</si>
  <si>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</si>
  <si>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</si>
  <si>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</si>
  <si>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</si>
  <si>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</si>
  <si>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</si>
  <si>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</si>
  <si>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</si>
  <si>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</si>
  <si>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</si>
  <si>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</si>
  <si>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</si>
  <si>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</si>
  <si>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</si>
  <si>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</si>
  <si>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</si>
  <si>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</si>
  <si>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</si>
  <si>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</si>
  <si>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</si>
  <si>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</si>
  <si>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</si>
  <si>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</si>
  <si>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</si>
  <si>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</si>
  <si>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</si>
  <si>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</si>
  <si>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</si>
  <si>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</si>
  <si>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</si>
  <si>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</si>
  <si>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</si>
  <si>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</si>
  <si>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</si>
  <si>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</si>
  <si>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</si>
  <si>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</si>
  <si>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</si>
  <si>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</si>
  <si>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</si>
  <si>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</si>
  <si>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</si>
  <si>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</si>
  <si>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</si>
  <si>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</si>
  <si>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</si>
  <si>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</si>
  <si>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</si>
  <si>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</si>
  <si>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</si>
  <si>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</si>
  <si>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</si>
  <si>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</si>
  <si>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</si>
  <si>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</si>
  <si>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</si>
  <si>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</si>
  <si>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</si>
  <si>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</si>
  <si>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</si>
  <si>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</si>
  <si>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</si>
  <si>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</si>
  <si>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</si>
  <si>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</si>
  <si>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</si>
  <si>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</si>
  <si>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</si>
  <si>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</si>
  <si>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</si>
  <si>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</si>
  <si>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</si>
  <si>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</si>
  <si>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</si>
  <si>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</si>
  <si>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</si>
  <si>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</si>
  <si>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</si>
  <si>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</si>
  <si>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</si>
  <si>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</si>
  <si>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</si>
  <si>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</si>
  <si>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</si>
  <si>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</si>
  <si>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</si>
  <si>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</si>
  <si>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</si>
  <si>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</si>
  <si>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</si>
  <si>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</si>
  <si>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</si>
  <si>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</si>
  <si>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</si>
  <si>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</si>
  <si>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</si>
  <si>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</si>
  <si>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</si>
  <si>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</si>
  <si>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</si>
  <si>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</si>
  <si>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</si>
  <si>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</si>
  <si>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</si>
  <si>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</si>
  <si>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</si>
  <si>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</si>
  <si>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</si>
  <si>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Energy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</si>
  <si>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</si>
  <si>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</si>
  <si>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</si>
  <si>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</si>
  <si>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</si>
  <si>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</si>
  <si>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</si>
  <si>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</si>
  <si>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</si>
  <si>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</si>
  <si>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</si>
  <si>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</si>
  <si>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</si>
  <si>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</si>
  <si>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</si>
  <si>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</si>
  <si>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</si>
  <si>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</si>
  <si>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</si>
  <si>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</si>
  <si>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</si>
  <si>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</si>
  <si>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</si>
  <si>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</si>
  <si>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</si>
  <si>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</si>
  <si>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</si>
  <si>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</si>
  <si>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</si>
  <si>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</si>
  <si>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</si>
  <si>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</si>
  <si>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</si>
  <si>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</si>
  <si>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</si>
  <si>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</si>
  <si>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</si>
  <si>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</si>
  <si>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</si>
  <si>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</si>
  <si>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</si>
  <si>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</si>
  <si>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</si>
  <si>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</si>
  <si>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</si>
  <si>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</si>
  <si>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</si>
  <si>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</si>
  <si>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</si>
  <si>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</si>
  <si>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</si>
  <si>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</si>
  <si>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</si>
  <si>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</si>
  <si>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</si>
  <si>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</si>
  <si>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</si>
  <si>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</si>
  <si>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</si>
  <si>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</si>
  <si>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</si>
  <si>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</si>
  <si>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</si>
  <si>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</si>
  <si>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</si>
  <si>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</si>
  <si>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</si>
  <si>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</si>
  <si>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</si>
  <si>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</si>
  <si>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ElectraNet</t>
  </si>
  <si>
    <t>final</t>
  </si>
  <si>
    <t>Average of forecast inflation.</t>
  </si>
  <si>
    <t>RBA statement of monetary policy inflation forecast, February 2018, Table 6.1</t>
  </si>
  <si>
    <t>WPI - DAE Feb 2018</t>
  </si>
  <si>
    <t>WPI - BIS Jan 2017</t>
  </si>
  <si>
    <t>Customer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</si>
</sst>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#,##0.000_ ;[Red]\-#,##0.000\ 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6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50" borderId="0">
      <alignment vertical="center"/>
      <protection locked="0"/>
    </xf>
    <xf numFmtId="206" fontId="1" fillId="51" borderId="28">
      <protection locked="0"/>
    </xf>
  </cellStyleXfs>
  <cellXfs count="21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193" fontId="4" fillId="0" borderId="0" xfId="0" applyNumberFormat="1" applyFont="1" applyFill="1" applyProtection="1">
      <protection locked="0"/>
    </xf>
    <xf numFmtId="193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/>
    <xf numFmtId="0" fontId="72" fillId="38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Cell" xfId="265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3" xfId="26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C15" sqref="C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213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184</v>
      </c>
    </row>
    <row r="13" spans="1:47">
      <c r="C13" s="19" t="s">
        <v>55</v>
      </c>
      <c r="D13" s="7" t="s">
        <v>185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186</v>
      </c>
      <c r="H7" s="29"/>
      <c r="I7" s="29"/>
      <c r="S7" s="131" t="str">
        <f>IF(COUNTBLANK($G7),"Check","Ok")</f>
        <v>Ok</v>
      </c>
    </row>
    <row r="8" spans="1:47">
      <c r="C8" s="29" t="s">
        <v>149</v>
      </c>
      <c r="D8" s="30" t="s">
        <v>73</v>
      </c>
      <c r="E8" s="29"/>
      <c r="F8" s="29"/>
      <c r="G8" s="52" t="s">
        <v>187</v>
      </c>
      <c r="H8" s="29"/>
      <c r="I8" s="29"/>
      <c r="S8" s="131" t="str">
        <f>IF(COUNTBLANK($G8),"Check","Ok")</f>
        <v>Ok</v>
      </c>
    </row>
    <row r="9" spans="1:47">
      <c r="C9" s="29" t="s">
        <v>133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163</v>
      </c>
      <c r="D10" s="30" t="s">
        <v>72</v>
      </c>
      <c r="E10" s="29"/>
      <c r="F10" s="29"/>
      <c r="G10" s="155">
        <v>2014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2016</v>
      </c>
      <c r="H11" s="29"/>
      <c r="I11" s="29"/>
      <c r="S11" s="131" t="str">
        <f t="shared" si="0"/>
        <v>Ok</v>
      </c>
    </row>
    <row r="12" spans="1:47">
      <c r="C12" s="29" t="s">
        <v>164</v>
      </c>
      <c r="D12" s="30" t="s">
        <v>72</v>
      </c>
      <c r="E12" s="29"/>
      <c r="F12" s="29"/>
      <c r="G12" s="155">
        <v>2018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2019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2023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V1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S7:S14">
    <cfRule type="cellIs" dxfId="189" priority="5" operator="equal">
      <formula>"Check"</formula>
    </cfRule>
    <cfRule type="cellIs" dxfId="188" priority="6" operator="equal">
      <formula>"Ok"</formula>
    </cfRule>
  </conditionalFormatting>
  <conditionalFormatting sqref="S1">
    <cfRule type="cellIs" dxfId="187" priority="1" operator="equal">
      <formula>"Check"</formula>
    </cfRule>
    <cfRule type="cellIs" dxfId="186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19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147</v>
      </c>
      <c r="F6" s="62" t="s">
        <v>102</v>
      </c>
      <c r="G6" s="62" t="s">
        <v>147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f>AVERAGE(F52,F54)</f>
        <v>112.50700000000001</v>
      </c>
      <c r="G53" s="117">
        <f t="shared" si="1"/>
        <v>1.8162895927601896E-2</v>
      </c>
      <c r="H53" s="211" t="s">
        <v>188</v>
      </c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f>F50*1.02</f>
        <v>112.914</v>
      </c>
      <c r="G54" s="117">
        <f t="shared" si="1"/>
        <v>2.0000000000000018E-2</v>
      </c>
      <c r="H54" s="189" t="s">
        <v>189</v>
      </c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113.768125</v>
      </c>
      <c r="G55" s="117">
        <f t="shared" si="1"/>
        <v>2.1257854578096813E-2</v>
      </c>
      <c r="H55" s="211" t="s">
        <v>188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F52*1.0225</f>
        <v>114.62224999999999</v>
      </c>
      <c r="G56" s="117">
        <f t="shared" si="1"/>
        <v>2.2499999999999964E-2</v>
      </c>
      <c r="H56" s="189" t="s">
        <v>189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115.03840750000001</v>
      </c>
      <c r="G57" s="117">
        <f t="shared" si="1"/>
        <v>2.2499999999999964E-2</v>
      </c>
      <c r="H57" s="211" t="s">
        <v>188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F54*1.0225</f>
        <v>115.454565</v>
      </c>
      <c r="G58" s="117">
        <f t="shared" si="1"/>
        <v>2.2499999999999964E-2</v>
      </c>
      <c r="H58" s="189" t="s">
        <v>189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116.3279078125</v>
      </c>
      <c r="G59" s="117">
        <f t="shared" si="1"/>
        <v>2.2499999999999964E-2</v>
      </c>
      <c r="H59" s="211" t="s">
        <v>188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117.20125062499999</v>
      </c>
      <c r="G60" s="117">
        <f t="shared" si="1"/>
        <v>2.2499999999999964E-2</v>
      </c>
      <c r="H60" s="189" t="s">
        <v>189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117.62677166875</v>
      </c>
      <c r="G61" s="117">
        <f t="shared" si="1"/>
        <v>2.2499999999999964E-2</v>
      </c>
      <c r="H61" s="211" t="s">
        <v>188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118.05229271250001</v>
      </c>
      <c r="G62" s="117">
        <f t="shared" si="1"/>
        <v>2.2499999999999964E-2</v>
      </c>
      <c r="H62" s="189" t="s">
        <v>189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5" priority="11" operator="equal">
      <formula>"Check"</formula>
    </cfRule>
    <cfRule type="cellIs" dxfId="184" priority="12" operator="equal">
      <formula>"Ok"</formula>
    </cfRule>
  </conditionalFormatting>
  <conditionalFormatting sqref="W1">
    <cfRule type="cellIs" dxfId="183" priority="7" operator="equal">
      <formula>"Check"</formula>
    </cfRule>
    <cfRule type="cellIs" dxfId="182" priority="8" operator="equal">
      <formula>"Ok"</formula>
    </cfRule>
  </conditionalFormatting>
  <conditionalFormatting sqref="T1">
    <cfRule type="cellIs" dxfId="181" priority="5" operator="equal">
      <formula>"Check"</formula>
    </cfRule>
    <cfRule type="cellIs" dxfId="180" priority="6" operator="equal">
      <formula>"Ok"</formula>
    </cfRule>
  </conditionalFormatting>
  <conditionalFormatting sqref="X51:X57">
    <cfRule type="cellIs" dxfId="179" priority="3" operator="equal">
      <formula>"Check"</formula>
    </cfRule>
    <cfRule type="cellIs" dxfId="178" priority="4" operator="equal">
      <formula>"Ok"</formula>
    </cfRule>
  </conditionalFormatting>
  <conditionalFormatting sqref="X58:X62 T9:T64">
    <cfRule type="cellIs" dxfId="177" priority="1" operator="equal">
      <formula>"Check"</formula>
    </cfRule>
    <cfRule type="cellIs" dxfId="176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22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133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41426</v>
      </c>
      <c r="G13" s="32"/>
      <c r="H13" s="32"/>
      <c r="I13" s="30"/>
      <c r="J13" s="164">
        <v>79.796690619178122</v>
      </c>
      <c r="K13" s="164">
        <v>82.827702203209554</v>
      </c>
      <c r="L13" s="164">
        <v>84.332483989649205</v>
      </c>
      <c r="M13" s="164">
        <v>88.868315186591261</v>
      </c>
      <c r="N13" s="164">
        <v>89.215412080194113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41426</v>
      </c>
      <c r="G15" s="32"/>
      <c r="H15" s="32"/>
      <c r="I15" s="30"/>
      <c r="J15" s="129">
        <f>J13</f>
        <v>79.796690619178122</v>
      </c>
      <c r="K15" s="129">
        <f t="shared" ref="K15:S15" si="1">K13</f>
        <v>82.827702203209554</v>
      </c>
      <c r="L15" s="129">
        <f t="shared" si="1"/>
        <v>84.332483989649205</v>
      </c>
      <c r="M15" s="129">
        <f t="shared" si="1"/>
        <v>88.868315186591261</v>
      </c>
      <c r="N15" s="129">
        <f t="shared" si="1"/>
        <v>89.215412080194113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174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41426</v>
      </c>
      <c r="G19" s="32"/>
      <c r="H19" s="32"/>
      <c r="I19" s="30"/>
      <c r="J19" s="164">
        <v>-1.1145169829638768</v>
      </c>
      <c r="K19" s="164">
        <v>-1.1886711673742183</v>
      </c>
      <c r="L19" s="164">
        <v>-1.2266278741122152</v>
      </c>
      <c r="M19" s="164">
        <v>-1.2758258243380154</v>
      </c>
      <c r="N19" s="164">
        <v>-1.291897709488357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175</v>
      </c>
      <c r="D20" s="30" t="s">
        <v>73</v>
      </c>
      <c r="E20" s="30" t="str">
        <f t="shared" ref="E20:E27" si="3">$E$15</f>
        <v>$millions</v>
      </c>
      <c r="F20" s="161">
        <f t="shared" si="2"/>
        <v>41426</v>
      </c>
      <c r="G20" s="32"/>
      <c r="H20" s="32"/>
      <c r="I20" s="30"/>
      <c r="J20" s="164">
        <v>-8.2172745937058504</v>
      </c>
      <c r="K20" s="164">
        <v>-8.2843472016591999</v>
      </c>
      <c r="L20" s="164">
        <v>-8.3367622757600603</v>
      </c>
      <c r="M20" s="164">
        <v>-8.5969178597089755</v>
      </c>
      <c r="N20" s="164">
        <v>-8.6819088231110584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41426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41426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41426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41426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41426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41426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41426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171</v>
      </c>
      <c r="D29" s="140" t="s">
        <v>30</v>
      </c>
      <c r="E29" s="130" t="s">
        <v>15</v>
      </c>
      <c r="F29" s="162">
        <f>F27</f>
        <v>41426</v>
      </c>
      <c r="G29" s="32"/>
      <c r="H29" s="32"/>
      <c r="I29" s="30"/>
      <c r="J29" s="129">
        <f>SUM(J19:J27)</f>
        <v>-9.3317915766697279</v>
      </c>
      <c r="K29" s="129">
        <f t="shared" ref="K29:S29" si="4">SUM(K19:K27)</f>
        <v>-9.4730183690334187</v>
      </c>
      <c r="L29" s="129">
        <f t="shared" si="4"/>
        <v>-9.5633901498722764</v>
      </c>
      <c r="M29" s="129">
        <f t="shared" si="4"/>
        <v>-9.8727436840469913</v>
      </c>
      <c r="N29" s="129">
        <f t="shared" si="4"/>
        <v>-9.973806532599415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41791</v>
      </c>
      <c r="K34" s="159">
        <f t="shared" si="5"/>
        <v>42156</v>
      </c>
      <c r="L34" s="159">
        <f t="shared" si="5"/>
        <v>42522</v>
      </c>
      <c r="M34" s="159">
        <f t="shared" si="5"/>
        <v>42887</v>
      </c>
      <c r="N34" s="159">
        <f t="shared" si="5"/>
        <v>43252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75.5</v>
      </c>
      <c r="K37" s="164">
        <v>80.990000000000009</v>
      </c>
      <c r="L37" s="164">
        <v>84.710000000000008</v>
      </c>
      <c r="M37" s="164">
        <v>89.63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119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>
        <v>3.3708903374067409</v>
      </c>
      <c r="K42" s="164">
        <v>2.3872966931768591</v>
      </c>
      <c r="L42" s="164">
        <v>-3.9356411906600006</v>
      </c>
      <c r="M42" s="164">
        <v>2.2618277700000005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77</v>
      </c>
      <c r="D44" s="140" t="s">
        <v>30</v>
      </c>
      <c r="E44" s="191" t="str">
        <f>$E$53</f>
        <v>$millions</v>
      </c>
      <c r="F44" s="192" t="str">
        <f t="shared" ref="F44" si="8">$F$53</f>
        <v>nominal</v>
      </c>
      <c r="G44" s="32"/>
      <c r="H44" s="32"/>
      <c r="I44" s="30"/>
      <c r="J44" s="129">
        <f>SUM(J37:J42)</f>
        <v>78.870890337406735</v>
      </c>
      <c r="K44" s="129">
        <f t="shared" ref="K44:S44" si="9">SUM(K37:K42)</f>
        <v>83.377296693176874</v>
      </c>
      <c r="L44" s="129">
        <f t="shared" si="9"/>
        <v>80.774358809340001</v>
      </c>
      <c r="M44" s="129">
        <f t="shared" si="9"/>
        <v>91.891827769999992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120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>
        <v>0</v>
      </c>
      <c r="K48" s="164">
        <v>0</v>
      </c>
      <c r="L48" s="164">
        <v>0</v>
      </c>
      <c r="M48" s="164">
        <v>0</v>
      </c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175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>
        <v>-7.37</v>
      </c>
      <c r="K49" s="164">
        <v>-8.68</v>
      </c>
      <c r="L49" s="164">
        <v>-8.09</v>
      </c>
      <c r="M49" s="164">
        <v>-7.49</v>
      </c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171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7">
        <f>SUM(J48:J51)</f>
        <v>-7.37</v>
      </c>
      <c r="K53" s="187">
        <f t="shared" ref="K53:S53" si="11">SUM(K48:K51)</f>
        <v>-8.68</v>
      </c>
      <c r="L53" s="187">
        <f t="shared" si="11"/>
        <v>-8.09</v>
      </c>
      <c r="M53" s="187">
        <f t="shared" si="11"/>
        <v>-7.49</v>
      </c>
      <c r="N53" s="187">
        <f t="shared" si="11"/>
        <v>0</v>
      </c>
      <c r="O53" s="187">
        <f t="shared" si="11"/>
        <v>0</v>
      </c>
      <c r="P53" s="187">
        <f t="shared" si="11"/>
        <v>0</v>
      </c>
      <c r="Q53" s="187">
        <f t="shared" si="11"/>
        <v>0</v>
      </c>
      <c r="R53" s="187">
        <f t="shared" si="11"/>
        <v>0</v>
      </c>
      <c r="S53" s="187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121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122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43252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123</v>
      </c>
      <c r="D59" s="30" t="s">
        <v>34</v>
      </c>
      <c r="E59" s="30" t="str">
        <f>$E$53</f>
        <v>$millions</v>
      </c>
      <c r="F59" s="172">
        <v>43252</v>
      </c>
      <c r="G59" s="32"/>
      <c r="H59" s="32"/>
      <c r="I59" s="32"/>
      <c r="J59" s="164"/>
      <c r="K59" s="164"/>
      <c r="L59" s="164"/>
      <c r="M59" s="164"/>
      <c r="N59" s="164">
        <v>0</v>
      </c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 t="s">
        <v>124</v>
      </c>
      <c r="D60" s="30" t="s">
        <v>34</v>
      </c>
      <c r="E60" s="30" t="str">
        <f t="shared" ref="E60:E65" si="13">$E$53</f>
        <v>$millions</v>
      </c>
      <c r="F60" s="172">
        <v>43252</v>
      </c>
      <c r="G60" s="32"/>
      <c r="H60" s="32"/>
      <c r="I60" s="32"/>
      <c r="J60" s="164"/>
      <c r="K60" s="164"/>
      <c r="L60" s="164"/>
      <c r="M60" s="164"/>
      <c r="N60" s="164">
        <v>0</v>
      </c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 t="s">
        <v>125</v>
      </c>
      <c r="D61" s="30" t="s">
        <v>34</v>
      </c>
      <c r="E61" s="30" t="str">
        <f t="shared" si="13"/>
        <v>$millions</v>
      </c>
      <c r="F61" s="172">
        <v>43252</v>
      </c>
      <c r="G61" s="32"/>
      <c r="H61" s="32"/>
      <c r="I61" s="32"/>
      <c r="J61" s="164"/>
      <c r="K61" s="164"/>
      <c r="L61" s="164"/>
      <c r="M61" s="164"/>
      <c r="N61" s="164">
        <v>0</v>
      </c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>
      <c r="A62" s="29"/>
      <c r="B62" s="29"/>
      <c r="C62" s="61" t="s">
        <v>126</v>
      </c>
      <c r="D62" s="30" t="s">
        <v>34</v>
      </c>
      <c r="E62" s="30" t="str">
        <f t="shared" si="13"/>
        <v>$millions</v>
      </c>
      <c r="F62" s="172">
        <v>43252</v>
      </c>
      <c r="G62" s="32"/>
      <c r="H62" s="32"/>
      <c r="I62" s="32"/>
      <c r="J62" s="164"/>
      <c r="K62" s="164"/>
      <c r="L62" s="164"/>
      <c r="M62" s="164"/>
      <c r="N62" s="164">
        <v>0</v>
      </c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>
      <c r="A63" s="29"/>
      <c r="B63" s="29"/>
      <c r="C63" s="61" t="s">
        <v>127</v>
      </c>
      <c r="D63" s="30" t="s">
        <v>34</v>
      </c>
      <c r="E63" s="30" t="str">
        <f t="shared" si="13"/>
        <v>$millions</v>
      </c>
      <c r="F63" s="172">
        <v>43252</v>
      </c>
      <c r="G63" s="32"/>
      <c r="H63" s="32"/>
      <c r="I63" s="32"/>
      <c r="J63" s="164"/>
      <c r="K63" s="164"/>
      <c r="L63" s="164"/>
      <c r="M63" s="164"/>
      <c r="N63" s="164">
        <v>0</v>
      </c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8"/>
      <c r="B64" s="198"/>
      <c r="C64" s="199"/>
      <c r="D64" s="105"/>
      <c r="E64" s="105"/>
      <c r="F64" s="200"/>
      <c r="G64" s="201"/>
      <c r="H64" s="201"/>
      <c r="I64" s="201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104"/>
      <c r="U64" s="165"/>
      <c r="V64" s="165"/>
      <c r="W64" s="198"/>
    </row>
    <row r="65" spans="1:23">
      <c r="A65" s="29"/>
      <c r="B65" s="29"/>
      <c r="C65" s="61" t="s">
        <v>172</v>
      </c>
      <c r="D65" s="30" t="s">
        <v>34</v>
      </c>
      <c r="E65" s="30" t="str">
        <f t="shared" si="13"/>
        <v>$millions</v>
      </c>
      <c r="F65" s="172">
        <v>43252</v>
      </c>
      <c r="G65" s="32"/>
      <c r="H65" s="32"/>
      <c r="I65" s="32"/>
      <c r="J65" s="164"/>
      <c r="K65" s="164"/>
      <c r="L65" s="164"/>
      <c r="M65" s="164"/>
      <c r="N65" s="164">
        <v>0</v>
      </c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>
      <c r="A66" s="198"/>
      <c r="B66" s="198"/>
      <c r="C66" s="199"/>
      <c r="D66" s="105"/>
      <c r="E66" s="105"/>
      <c r="F66" s="200"/>
      <c r="G66" s="201"/>
      <c r="H66" s="201"/>
      <c r="I66" s="201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104"/>
      <c r="U66" s="165"/>
      <c r="V66" s="165"/>
      <c r="W66" s="198"/>
    </row>
    <row r="67" spans="1:23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3"/>
      <c r="K67" s="203"/>
      <c r="L67" s="203"/>
      <c r="M67" s="203"/>
      <c r="N67" s="203">
        <v>0</v>
      </c>
      <c r="O67" s="203"/>
      <c r="P67" s="203"/>
      <c r="Q67" s="203"/>
      <c r="R67" s="203"/>
      <c r="S67" s="203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2.75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75" priority="29" operator="equal">
      <formula>"Check"</formula>
    </cfRule>
    <cfRule type="cellIs" dxfId="174" priority="30" operator="equal">
      <formula>"Ok"</formula>
    </cfRule>
  </conditionalFormatting>
  <conditionalFormatting sqref="W53">
    <cfRule type="cellIs" dxfId="173" priority="27" operator="equal">
      <formula>"Check"</formula>
    </cfRule>
    <cfRule type="cellIs" dxfId="172" priority="28" operator="equal">
      <formula>"Ok"</formula>
    </cfRule>
  </conditionalFormatting>
  <conditionalFormatting sqref="W15">
    <cfRule type="cellIs" dxfId="171" priority="25" operator="equal">
      <formula>"Check"</formula>
    </cfRule>
    <cfRule type="cellIs" dxfId="170" priority="26" operator="equal">
      <formula>"Ok"</formula>
    </cfRule>
  </conditionalFormatting>
  <conditionalFormatting sqref="V1">
    <cfRule type="cellIs" dxfId="169" priority="23" operator="equal">
      <formula>"Check"</formula>
    </cfRule>
    <cfRule type="cellIs" dxfId="168" priority="24" operator="equal">
      <formula>"Ok"</formula>
    </cfRule>
  </conditionalFormatting>
  <conditionalFormatting sqref="S1">
    <cfRule type="cellIs" dxfId="167" priority="21" operator="equal">
      <formula>"Check"</formula>
    </cfRule>
    <cfRule type="cellIs" dxfId="166" priority="22" operator="equal">
      <formula>"Ok"</formula>
    </cfRule>
  </conditionalFormatting>
  <conditionalFormatting sqref="J15:S15">
    <cfRule type="cellIs" dxfId="165" priority="20" operator="equal">
      <formula>0</formula>
    </cfRule>
  </conditionalFormatting>
  <conditionalFormatting sqref="J53:S53">
    <cfRule type="cellIs" dxfId="164" priority="19" operator="equal">
      <formula>0</formula>
    </cfRule>
  </conditionalFormatting>
  <conditionalFormatting sqref="W45:W47">
    <cfRule type="cellIs" dxfId="163" priority="17" operator="equal">
      <formula>"Check"</formula>
    </cfRule>
    <cfRule type="cellIs" dxfId="162" priority="18" operator="equal">
      <formula>"Ok"</formula>
    </cfRule>
  </conditionalFormatting>
  <conditionalFormatting sqref="N37:S37 J33:S33 J48:S51 J38:S42">
    <cfRule type="expression" dxfId="161" priority="15">
      <formula>J$34=J$4</formula>
    </cfRule>
  </conditionalFormatting>
  <conditionalFormatting sqref="J13:S13 J19:S27">
    <cfRule type="expression" dxfId="160" priority="14">
      <formula>J$10=J$4</formula>
    </cfRule>
  </conditionalFormatting>
  <conditionalFormatting sqref="J37:M37">
    <cfRule type="expression" dxfId="159" priority="11">
      <formula>J$10=J$4</formula>
    </cfRule>
  </conditionalFormatting>
  <conditionalFormatting sqref="W44">
    <cfRule type="cellIs" dxfId="158" priority="9" operator="equal">
      <formula>"Check"</formula>
    </cfRule>
    <cfRule type="cellIs" dxfId="157" priority="10" operator="equal">
      <formula>"Ok"</formula>
    </cfRule>
  </conditionalFormatting>
  <conditionalFormatting sqref="J44:S44">
    <cfRule type="cellIs" dxfId="156" priority="7" operator="equal">
      <formula>0</formula>
    </cfRule>
  </conditionalFormatting>
  <conditionalFormatting sqref="J59:S63 J65:S65 J67:S67">
    <cfRule type="expression" dxfId="155" priority="6">
      <formula>J$57=J$4</formula>
    </cfRule>
  </conditionalFormatting>
  <conditionalFormatting sqref="W29">
    <cfRule type="cellIs" dxfId="154" priority="2" operator="equal">
      <formula>"Check"</formula>
    </cfRule>
    <cfRule type="cellIs" dxfId="153" priority="3" operator="equal">
      <formula>"Ok"</formula>
    </cfRule>
  </conditionalFormatting>
  <conditionalFormatting sqref="J29:S29">
    <cfRule type="cellIs" dxfId="152" priority="1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63"/>
  <sheetViews>
    <sheetView showGridLines="0" topLeftCell="A67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IF(COUNTIF(W5:W100,"Check")=0,"Ok","Check")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133</v>
      </c>
      <c r="K3" s="214"/>
      <c r="L3" s="214"/>
      <c r="M3" s="214"/>
      <c r="N3" s="183"/>
      <c r="O3" s="214"/>
      <c r="P3" s="214"/>
      <c r="Q3" s="214"/>
      <c r="R3" s="214"/>
      <c r="S3" s="214"/>
      <c r="T3" s="21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41426</v>
      </c>
      <c r="K4" s="156">
        <f>DATE(PPFirstYear,MONTH('Input|General'!$G$9),1)</f>
        <v>41791</v>
      </c>
      <c r="L4" s="156">
        <f>DATE(PPFirstYear+1,MONTH('Input|General'!$G$9),1)</f>
        <v>42156</v>
      </c>
      <c r="M4" s="156">
        <f>DATE(PPFirstYear+2,MONTH('Input|General'!$G$9),1)</f>
        <v>42522</v>
      </c>
      <c r="N4" s="156">
        <f>DATE(PPFirstYear+3,MONTH('Input|General'!$G$9),1)</f>
        <v>42887</v>
      </c>
      <c r="O4" s="156">
        <f>DATE(PPFirstYear+4,MONTH('Input|General'!$G$9),1)</f>
        <v>43252</v>
      </c>
      <c r="P4" s="156">
        <f>DATE(PPFirstYear+5,MONTH('Input|General'!$G$9),1)</f>
        <v>43617</v>
      </c>
      <c r="Q4" s="156">
        <f>DATE(PPFirstYear+6,MONTH('Input|General'!$G$9),1)</f>
        <v>43983</v>
      </c>
      <c r="R4" s="156">
        <f>DATE(PPFirstYear+7,MONTH('Input|General'!$G$9),1)</f>
        <v>44348</v>
      </c>
      <c r="S4" s="156">
        <f>DATE(PPFirstYear+8,MONTH('Input|General'!$G$9),1)</f>
        <v>44713</v>
      </c>
      <c r="T4" s="156">
        <f>DATE(PPFirstYear+9,MONTH('Input|General'!$G$9),1)</f>
        <v>45078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41426</v>
      </c>
      <c r="K10" s="159">
        <f t="shared" si="0"/>
        <v>41791</v>
      </c>
      <c r="L10" s="159">
        <f t="shared" si="0"/>
        <v>42156</v>
      </c>
      <c r="M10" s="159">
        <f t="shared" si="0"/>
        <v>42522</v>
      </c>
      <c r="N10" s="159">
        <f t="shared" si="0"/>
        <v>42887</v>
      </c>
      <c r="O10" s="159">
        <f t="shared" si="0"/>
        <v>43252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2.3904382470119501E-2</v>
      </c>
      <c r="K12" s="143">
        <f>IF(K10=K4,LOOKUP(EOMONTH(K4,0),'Input|Inflation'!$C$9:$C$64,'Input|Inflation'!$G$9:$G$64),"")</f>
        <v>3.0155642023346418E-2</v>
      </c>
      <c r="L12" s="143">
        <f>IF(L10=L4,LOOKUP(EOMONTH(L4,0),'Input|Inflation'!$C$9:$C$64,'Input|Inflation'!$G$9:$G$64),"")</f>
        <v>1.5108593012275628E-2</v>
      </c>
      <c r="M12" s="143">
        <f>IF(M10=M4,LOOKUP(EOMONTH(M4,0),'Input|Inflation'!$C$9:$C$64,'Input|Inflation'!$G$9:$G$64),"")</f>
        <v>1.0232558139534831E-2</v>
      </c>
      <c r="N12" s="143">
        <f>IF(N10=N4,LOOKUP(EOMONTH(N4,0),'Input|Inflation'!$C$9:$C$64,'Input|Inflation'!$G$9:$G$64),"")</f>
        <v>1.9337016574585641E-2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41426</v>
      </c>
      <c r="K14" s="159">
        <f t="shared" si="1"/>
        <v>41791</v>
      </c>
      <c r="L14" s="159">
        <f t="shared" si="1"/>
        <v>42156</v>
      </c>
      <c r="M14" s="159">
        <f t="shared" si="1"/>
        <v>42522</v>
      </c>
      <c r="N14" s="159">
        <f t="shared" si="1"/>
        <v>42887</v>
      </c>
      <c r="O14" s="159">
        <f t="shared" si="1"/>
        <v>43252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41426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1.0301556420233464</v>
      </c>
      <c r="L16" s="22">
        <f t="shared" si="3"/>
        <v>1.0457198443579767</v>
      </c>
      <c r="M16" s="22">
        <f t="shared" si="3"/>
        <v>1.056420233463035</v>
      </c>
      <c r="N16" s="22">
        <f t="shared" si="3"/>
        <v>1.0768482490272373</v>
      </c>
      <c r="O16" s="22">
        <f t="shared" ref="O16" si="4">IF(AND($C16&gt;O$14,ISNONTEXT($C16)),P16/(1+O$12),IF(AND($C16=O$14,O$14=O$4),1,IF(AND($C16&lt;O$14,O$14=O$4),N16*(1+O$12),0)))</f>
        <v>1.0983852140077821</v>
      </c>
      <c r="P16" s="209"/>
      <c r="Q16" s="209"/>
      <c r="R16" s="209"/>
      <c r="S16" s="209"/>
      <c r="T16" s="209"/>
    </row>
    <row r="17" spans="1:50" ht="11.25" customHeight="1" outlineLevel="1">
      <c r="C17" s="166">
        <v>41791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0.97072710103871562</v>
      </c>
      <c r="K17" s="22">
        <f t="shared" si="6"/>
        <v>1</v>
      </c>
      <c r="L17" s="22">
        <f t="shared" si="6"/>
        <v>1.0151085930122756</v>
      </c>
      <c r="M17" s="22">
        <f t="shared" si="6"/>
        <v>1.0254957507082152</v>
      </c>
      <c r="N17" s="22">
        <f t="shared" si="6"/>
        <v>1.0453257790368271</v>
      </c>
      <c r="O17" s="22">
        <f t="shared" ref="O17" si="7">IF(AND($C17&gt;O$14,ISNONTEXT($C17)),P17/(1+O$12),IF(AND($C17=O$14,O$14=O$4),1,IF(AND($C17&lt;O$14,O$14=O$4),N17*(1+O$12),0)))</f>
        <v>1.0662322946175637</v>
      </c>
      <c r="P17" s="209"/>
      <c r="Q17" s="209"/>
      <c r="R17" s="209"/>
      <c r="S17" s="209"/>
      <c r="T17" s="209"/>
    </row>
    <row r="18" spans="1:50" ht="11.25" customHeight="1" outlineLevel="1">
      <c r="C18" s="166">
        <v>42156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0.95627906976744181</v>
      </c>
      <c r="K18" s="22">
        <f t="shared" si="8"/>
        <v>0.98511627906976751</v>
      </c>
      <c r="L18" s="22">
        <f t="shared" si="8"/>
        <v>1</v>
      </c>
      <c r="M18" s="22">
        <f t="shared" si="8"/>
        <v>1.0102325581395348</v>
      </c>
      <c r="N18" s="22">
        <f t="shared" si="8"/>
        <v>1.029767441860465</v>
      </c>
      <c r="O18" s="22">
        <f t="shared" ref="O18" si="9">IF(AND($C18&gt;O$14,ISNONTEXT($C18)),P18/(1+O$12),IF(AND($C18=O$14,O$14=O$4),1,IF(AND($C18&lt;O$14,O$14=O$4),N18*(1+O$12),0)))</f>
        <v>1.0503627906976742</v>
      </c>
      <c r="P18" s="209"/>
      <c r="Q18" s="209"/>
      <c r="R18" s="209"/>
      <c r="S18" s="209"/>
      <c r="T18" s="209"/>
    </row>
    <row r="19" spans="1:50" ht="11.25" customHeight="1" outlineLevel="1">
      <c r="C19" s="166">
        <v>42522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0.94659300184162076</v>
      </c>
      <c r="K19" s="22">
        <f t="shared" si="10"/>
        <v>0.97513812154696156</v>
      </c>
      <c r="L19" s="22">
        <f t="shared" si="10"/>
        <v>0.98987108655616951</v>
      </c>
      <c r="M19" s="22">
        <f t="shared" si="10"/>
        <v>1</v>
      </c>
      <c r="N19" s="22">
        <f t="shared" si="10"/>
        <v>1.0193370165745856</v>
      </c>
      <c r="O19" s="22">
        <f t="shared" ref="O19" si="11">IF(AND($C19&gt;O$14,ISNONTEXT($C19)),P19/(1+O$12),IF(AND($C19=O$14,O$14=O$4),1,IF(AND($C19&lt;O$14,O$14=O$4),N19*(1+O$12),0)))</f>
        <v>1.0397237569060773</v>
      </c>
      <c r="P19" s="209"/>
      <c r="Q19" s="209"/>
      <c r="R19" s="209"/>
      <c r="S19" s="209"/>
      <c r="T19" s="209"/>
    </row>
    <row r="20" spans="1:50" ht="11.25" customHeight="1" outlineLevel="1">
      <c r="C20" s="166">
        <v>42887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0.92863595302619706</v>
      </c>
      <c r="K20" s="22">
        <f t="shared" ref="K20:N20" si="12">IF(AND($C20&gt;K$14,ISNONTEXT($C20)),L20/(1+L$12),IF(AND($C20=K$14,K$14=K$4),1,IF(AND($C20&lt;K$14,K$14=K$4),J20*(1+K$12),0)))</f>
        <v>0.95663956639566416</v>
      </c>
      <c r="L20" s="22">
        <f t="shared" si="12"/>
        <v>0.97109304426377607</v>
      </c>
      <c r="M20" s="22">
        <f t="shared" si="12"/>
        <v>0.98102981029810299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</v>
      </c>
      <c r="P20" s="209"/>
      <c r="Q20" s="209"/>
      <c r="R20" s="209"/>
      <c r="S20" s="209"/>
      <c r="T20" s="209"/>
    </row>
    <row r="21" spans="1:50" ht="11.25" customHeight="1" outlineLevel="1">
      <c r="C21" s="166">
        <v>43252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0.91042740492764396</v>
      </c>
      <c r="K21" s="22">
        <f t="shared" ref="K21" si="14">IF(AND($C21&gt;K$14,ISNONTEXT($C21)),L21/(1+L$12),IF(AND($C21=K$14,K$14=K$4),1,IF(AND($C21&lt;K$14,K$14=K$4),J21*(1+K$12),0)))</f>
        <v>0.93788192783888624</v>
      </c>
      <c r="L21" s="22">
        <f t="shared" ref="L21" si="15">IF(AND($C21&gt;L$14,ISNONTEXT($C21)),M21/(1+M$12),IF(AND($C21=L$14,L$14=L$4),1,IF(AND($C21&lt;L$14,L$14=L$4),K21*(1+L$12),0)))</f>
        <v>0.95205200418017244</v>
      </c>
      <c r="M21" s="22">
        <f t="shared" ref="M21" si="16">IF(AND($C21&gt;M$14,ISNONTEXT($C21)),N21/(1+N$12),IF(AND($C21=M$14,M$14=M$4),1,IF(AND($C21&lt;M$14,M$14=M$4),L21*(1+M$12),0)))</f>
        <v>0.96179393166480676</v>
      </c>
      <c r="N21" s="22">
        <f t="shared" ref="N21" si="17">IF(AND($C21&gt;N$14,ISNONTEXT($C21)),O21/(1+O$12),IF(AND($C21=N$14,N$14=N$4),1,IF(AND($C21&lt;N$14,N$14=N$4),M21*(1+N$12),0)))</f>
        <v>0.98039215686274506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41426</v>
      </c>
      <c r="K23" s="159">
        <f t="shared" si="19"/>
        <v>41791</v>
      </c>
      <c r="L23" s="159">
        <f t="shared" si="19"/>
        <v>42156</v>
      </c>
      <c r="M23" s="159">
        <f t="shared" si="19"/>
        <v>42522</v>
      </c>
      <c r="N23" s="159">
        <f t="shared" si="19"/>
        <v>42887</v>
      </c>
      <c r="O23" s="159">
        <f t="shared" si="19"/>
        <v>43252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41426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1.0118816049667667</v>
      </c>
      <c r="K25" s="22">
        <f t="shared" ref="K25:T25" si="21">IF(AND(K$23=K$4,ISNONTEXT($C25)),1/K16*(1+K$12)^0.5,0)</f>
        <v>0.98525484065733759</v>
      </c>
      <c r="L25" s="22">
        <f t="shared" si="21"/>
        <v>0.96347600342683604</v>
      </c>
      <c r="M25" s="22">
        <f t="shared" si="21"/>
        <v>0.95142370963176837</v>
      </c>
      <c r="N25" s="22">
        <f t="shared" si="21"/>
        <v>0.93757148761740927</v>
      </c>
      <c r="O25" s="22">
        <f t="shared" si="21"/>
        <v>0.91948660720869124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41791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1.0423955444161537</v>
      </c>
      <c r="K26" s="22">
        <f t="shared" si="23"/>
        <v>1.0149658329339695</v>
      </c>
      <c r="L26" s="22">
        <f t="shared" si="23"/>
        <v>0.99253024088426012</v>
      </c>
      <c r="M26" s="22">
        <f t="shared" si="23"/>
        <v>0.98011450243194831</v>
      </c>
      <c r="N26" s="22">
        <f t="shared" si="23"/>
        <v>0.96584455776929623</v>
      </c>
      <c r="O26" s="22">
        <f t="shared" si="23"/>
        <v>0.94721431618093777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42156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1.0581446744545469</v>
      </c>
      <c r="K27" s="22">
        <f t="shared" si="24"/>
        <v>1.030300538625134</v>
      </c>
      <c r="L27" s="22">
        <f t="shared" si="24"/>
        <v>1.0075259763461564</v>
      </c>
      <c r="M27" s="22">
        <f t="shared" si="24"/>
        <v>0.99492265355462162</v>
      </c>
      <c r="N27" s="22">
        <f t="shared" si="24"/>
        <v>0.98043711010575396</v>
      </c>
      <c r="O27" s="22">
        <f t="shared" si="24"/>
        <v>0.96152539177951679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42522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1.068972201355942</v>
      </c>
      <c r="K28" s="22">
        <f t="shared" si="25"/>
        <v>1.0408431487878098</v>
      </c>
      <c r="L28" s="22">
        <f t="shared" si="25"/>
        <v>1.0178355444762099</v>
      </c>
      <c r="M28" s="22">
        <f t="shared" si="25"/>
        <v>1.0051032574514596</v>
      </c>
      <c r="N28" s="22">
        <f t="shared" si="25"/>
        <v>0.99046948983706851</v>
      </c>
      <c r="O28" s="22">
        <f t="shared" si="25"/>
        <v>0.97136425625353962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42887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1.0896429345313334</v>
      </c>
      <c r="K29" s="22">
        <f t="shared" si="26"/>
        <v>1.0609699500074634</v>
      </c>
      <c r="L29" s="22">
        <f t="shared" si="26"/>
        <v>1.0375174472699489</v>
      </c>
      <c r="M29" s="22">
        <f t="shared" si="26"/>
        <v>1.0245389557999685</v>
      </c>
      <c r="N29" s="22">
        <f t="shared" si="26"/>
        <v>1.0096222147786693</v>
      </c>
      <c r="O29" s="22">
        <f t="shared" si="26"/>
        <v>0.99014754297667429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43252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1.1114357932219601</v>
      </c>
      <c r="K30" s="22">
        <f t="shared" si="27"/>
        <v>1.0821893490076131</v>
      </c>
      <c r="L30" s="22">
        <f t="shared" si="27"/>
        <v>1.0582677962153479</v>
      </c>
      <c r="M30" s="22">
        <f t="shared" si="27"/>
        <v>1.0450297349159681</v>
      </c>
      <c r="N30" s="22">
        <f t="shared" si="27"/>
        <v>1.0298146590742427</v>
      </c>
      <c r="O30" s="22">
        <f t="shared" si="27"/>
        <v>1.0099504938362078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43617</v>
      </c>
      <c r="Q34" s="163">
        <f t="shared" si="28"/>
        <v>43983</v>
      </c>
      <c r="R34" s="163">
        <f t="shared" si="28"/>
        <v>44348</v>
      </c>
      <c r="S34" s="163">
        <f t="shared" si="28"/>
        <v>44713</v>
      </c>
      <c r="T34" s="163">
        <f t="shared" si="28"/>
        <v>45078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190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4.766075173776585E-3</v>
      </c>
      <c r="Q36" s="168">
        <v>4.659592978973004E-3</v>
      </c>
      <c r="R36" s="168">
        <v>3.5313323584973411E-3</v>
      </c>
      <c r="S36" s="168">
        <v>6.0176876205881857E-3</v>
      </c>
      <c r="T36" s="168">
        <v>7.395309671560657E-3</v>
      </c>
    </row>
    <row r="37" spans="3:23" ht="11.25" customHeight="1" outlineLevel="1">
      <c r="C37" s="61" t="s">
        <v>191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60">
        <v>6.9999999999999993E-3</v>
      </c>
      <c r="Q37" s="60">
        <v>8.0000000000000002E-3</v>
      </c>
      <c r="R37" s="60">
        <v>1.1000000000000001E-2</v>
      </c>
      <c r="S37" s="60">
        <v>1.4999999999999999E-2</v>
      </c>
      <c r="T37" s="60">
        <v>1.6E-2</v>
      </c>
    </row>
    <row r="38" spans="3:23" ht="11.25" customHeight="1" outlineLevel="1">
      <c r="C38" s="61" t="s">
        <v>132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5.8830375868882921E-3</v>
      </c>
      <c r="Q38" s="60">
        <f t="shared" ref="Q38:S38" si="30">AVERAGE(Q36:Q37)</f>
        <v>6.3297964894865021E-3</v>
      </c>
      <c r="R38" s="60">
        <f t="shared" si="30"/>
        <v>7.2656661792486711E-3</v>
      </c>
      <c r="S38" s="60">
        <f t="shared" si="30"/>
        <v>1.0508843810294093E-2</v>
      </c>
      <c r="T38" s="60">
        <f>AVERAGE(T36:T37)</f>
        <v>1.1697654835780329E-2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43617</v>
      </c>
      <c r="Q47" s="163">
        <f t="shared" si="32"/>
        <v>43983</v>
      </c>
      <c r="R47" s="163">
        <f t="shared" si="32"/>
        <v>44348</v>
      </c>
      <c r="S47" s="163">
        <f t="shared" si="32"/>
        <v>44713</v>
      </c>
      <c r="T47" s="163">
        <f t="shared" si="32"/>
        <v>45078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 Feb 2018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210">
        <v>0</v>
      </c>
    </row>
    <row r="50" spans="1:50" ht="11.25" customHeight="1" outlineLevel="1">
      <c r="C50" s="148" t="str">
        <f t="shared" si="33"/>
        <v>WPI - BIS Jan 2017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10">
        <v>0</v>
      </c>
    </row>
    <row r="51" spans="1:50" ht="11.25" customHeight="1" outlineLevel="1">
      <c r="C51" s="148" t="str">
        <f t="shared" si="33"/>
        <v>WPI - average of DAE and CIE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60">
        <v>0.70399999999999996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10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10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10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10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0.29599999999999999</v>
      </c>
      <c r="Q56" s="60">
        <v>0.29599999999999999</v>
      </c>
      <c r="R56" s="60">
        <v>0.29599999999999999</v>
      </c>
      <c r="S56" s="60">
        <v>0.29599999999999999</v>
      </c>
      <c r="T56" s="60">
        <v>0.29599999999999999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43252</v>
      </c>
      <c r="P62" s="163">
        <f t="shared" si="36"/>
        <v>43617</v>
      </c>
      <c r="Q62" s="163">
        <f t="shared" si="36"/>
        <v>43983</v>
      </c>
      <c r="R62" s="163">
        <f t="shared" si="36"/>
        <v>44348</v>
      </c>
      <c r="S62" s="163">
        <f t="shared" si="36"/>
        <v>44713</v>
      </c>
      <c r="T62" s="163">
        <f t="shared" si="36"/>
        <v>45078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115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15044.099999999999</v>
      </c>
      <c r="P64" s="197">
        <v>15208.599999999999</v>
      </c>
      <c r="Q64" s="197">
        <v>15388.3</v>
      </c>
      <c r="R64" s="197">
        <v>15606.1</v>
      </c>
      <c r="S64" s="197">
        <v>15731.599999999999</v>
      </c>
      <c r="T64" s="197">
        <v>15882.699999999999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4403.3212738811562</v>
      </c>
      <c r="P65" s="197">
        <v>4403.3212738811562</v>
      </c>
      <c r="Q65" s="197">
        <v>4403.3212738811562</v>
      </c>
      <c r="R65" s="197">
        <v>4403.3212738811562</v>
      </c>
      <c r="S65" s="197">
        <v>4403.3212738811562</v>
      </c>
      <c r="T65" s="197">
        <v>4403.3212738811562</v>
      </c>
    </row>
    <row r="66" spans="3:23" outlineLevel="1">
      <c r="C66" s="61" t="s">
        <v>192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875563.69767671044</v>
      </c>
      <c r="P66" s="197">
        <v>884146.87864248955</v>
      </c>
      <c r="Q66" s="197">
        <v>892814.20082573441</v>
      </c>
      <c r="R66" s="197">
        <v>901566.48906568636</v>
      </c>
      <c r="S66" s="197">
        <v>910404.5762875143</v>
      </c>
      <c r="T66" s="197">
        <v>919329.30358158087</v>
      </c>
    </row>
    <row r="67" spans="3:23" outlineLevel="1">
      <c r="C67" s="61" t="s">
        <v>117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5505.2489999999998</v>
      </c>
      <c r="P67" s="197">
        <v>5505.2489999999998</v>
      </c>
      <c r="Q67" s="197">
        <v>5505.2489999999998</v>
      </c>
      <c r="R67" s="197">
        <v>5505.2489999999998</v>
      </c>
      <c r="S67" s="197">
        <v>5505.2489999999998</v>
      </c>
      <c r="T67" s="197">
        <v>5505.2489999999998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43617</v>
      </c>
      <c r="Q73" s="163">
        <f t="shared" si="38"/>
        <v>43983</v>
      </c>
      <c r="R73" s="163">
        <f t="shared" si="38"/>
        <v>44348</v>
      </c>
      <c r="S73" s="163">
        <f t="shared" si="38"/>
        <v>44713</v>
      </c>
      <c r="T73" s="163">
        <f t="shared" si="38"/>
        <v>45078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1.0875169573093757E-2</v>
      </c>
      <c r="Q75" s="117">
        <f t="shared" si="40"/>
        <v>1.1746423083554447E-2</v>
      </c>
      <c r="R75" s="117">
        <f t="shared" si="40"/>
        <v>1.4054383054961761E-2</v>
      </c>
      <c r="S75" s="117">
        <f t="shared" si="40"/>
        <v>8.0095648968558919E-3</v>
      </c>
      <c r="T75" s="117">
        <f t="shared" si="40"/>
        <v>9.559038192492153E-3</v>
      </c>
    </row>
    <row r="76" spans="3:23" outlineLevel="1">
      <c r="C76" s="148" t="str">
        <f t="shared" ref="C76:C80" si="41">C65</f>
        <v>Ratcheted maximum demand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0</v>
      </c>
      <c r="Q76" s="117">
        <f t="shared" si="42"/>
        <v>0</v>
      </c>
      <c r="R76" s="117">
        <f t="shared" si="42"/>
        <v>0</v>
      </c>
      <c r="S76" s="117">
        <f t="shared" si="42"/>
        <v>0</v>
      </c>
      <c r="T76" s="117">
        <f t="shared" si="42"/>
        <v>0</v>
      </c>
    </row>
    <row r="77" spans="3:23" outlineLevel="1">
      <c r="C77" s="148" t="str">
        <f t="shared" si="41"/>
        <v>Customer numbers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9.7552962969658097E-3</v>
      </c>
      <c r="Q77" s="117">
        <f t="shared" si="43"/>
        <v>9.7552962969658097E-3</v>
      </c>
      <c r="R77" s="117">
        <f t="shared" si="43"/>
        <v>9.7552962969640333E-3</v>
      </c>
      <c r="S77" s="117">
        <f t="shared" si="43"/>
        <v>9.7552962969658097E-3</v>
      </c>
      <c r="T77" s="117">
        <f t="shared" si="43"/>
        <v>9.7552962969658097E-3</v>
      </c>
    </row>
    <row r="78" spans="3:23" outlineLevel="1">
      <c r="C78" s="148" t="str">
        <f t="shared" si="41"/>
        <v>Circuit length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0</v>
      </c>
      <c r="Q78" s="117">
        <f t="shared" si="44"/>
        <v>0</v>
      </c>
      <c r="R78" s="117">
        <f t="shared" si="44"/>
        <v>0</v>
      </c>
      <c r="S78" s="117">
        <f t="shared" si="44"/>
        <v>0</v>
      </c>
      <c r="T78" s="117">
        <f t="shared" si="44"/>
        <v>0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1:50" outlineLevel="1">
      <c r="C81" s="111"/>
      <c r="G81" s="32"/>
      <c r="H81" s="32"/>
      <c r="K81" s="23"/>
      <c r="L81" s="23"/>
      <c r="M81" s="23"/>
      <c r="N81" s="23"/>
      <c r="O81" s="23"/>
    </row>
    <row r="82" spans="1:50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163" t="str">
        <f t="shared" ref="J82:T82" si="47">IF(YEAR(J$4)=PPLastYear,J$4,"")</f>
        <v/>
      </c>
      <c r="K82" s="163" t="str">
        <f t="shared" si="47"/>
        <v/>
      </c>
      <c r="L82" s="163" t="str">
        <f t="shared" si="47"/>
        <v/>
      </c>
      <c r="M82" s="163" t="str">
        <f t="shared" si="47"/>
        <v/>
      </c>
      <c r="N82" s="163" t="str">
        <f t="shared" si="47"/>
        <v/>
      </c>
      <c r="O82" s="163">
        <f t="shared" si="47"/>
        <v>43252</v>
      </c>
      <c r="P82" s="163" t="str">
        <f t="shared" si="47"/>
        <v/>
      </c>
      <c r="Q82" s="163" t="str">
        <f t="shared" si="47"/>
        <v/>
      </c>
      <c r="R82" s="163" t="str">
        <f t="shared" si="47"/>
        <v/>
      </c>
      <c r="S82" s="163" t="str">
        <f t="shared" si="47"/>
        <v/>
      </c>
      <c r="T82" s="163" t="str">
        <f t="shared" si="47"/>
        <v/>
      </c>
    </row>
    <row r="83" spans="1:50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1:50" outlineLevel="1">
      <c r="C84" s="148" t="str">
        <f>C64</f>
        <v>Energy</v>
      </c>
      <c r="D84" s="30" t="s">
        <v>106</v>
      </c>
      <c r="E84" s="30" t="s">
        <v>18</v>
      </c>
      <c r="F84" s="30" t="s">
        <v>36</v>
      </c>
      <c r="G84" s="32"/>
      <c r="H84" s="32"/>
      <c r="J84" s="194"/>
      <c r="K84" s="194"/>
      <c r="L84" s="194"/>
      <c r="M84" s="194"/>
      <c r="N84" s="194"/>
      <c r="O84" s="194">
        <v>0.23100000000000001</v>
      </c>
      <c r="P84" s="194"/>
      <c r="Q84" s="194"/>
      <c r="R84" s="194"/>
      <c r="S84" s="194"/>
      <c r="T84" s="194"/>
    </row>
    <row r="85" spans="1:50" outlineLevel="1">
      <c r="C85" s="148" t="str">
        <f t="shared" ref="C85:C89" si="48">C65</f>
        <v>Ratcheted maximum demand</v>
      </c>
      <c r="D85" s="30" t="s">
        <v>106</v>
      </c>
      <c r="E85" s="30" t="s">
        <v>18</v>
      </c>
      <c r="F85" s="30" t="s">
        <v>36</v>
      </c>
      <c r="G85" s="32"/>
      <c r="H85" s="32"/>
      <c r="J85" s="194"/>
      <c r="K85" s="194"/>
      <c r="L85" s="194"/>
      <c r="M85" s="194"/>
      <c r="N85" s="194"/>
      <c r="O85" s="194">
        <v>0.19400000000000001</v>
      </c>
      <c r="P85" s="194"/>
      <c r="Q85" s="194"/>
      <c r="R85" s="194"/>
      <c r="S85" s="194"/>
      <c r="T85" s="194"/>
    </row>
    <row r="86" spans="1:50" outlineLevel="1">
      <c r="C86" s="148" t="str">
        <f t="shared" si="48"/>
        <v>Customer numbers</v>
      </c>
      <c r="D86" s="30" t="s">
        <v>106</v>
      </c>
      <c r="E86" s="30" t="s">
        <v>18</v>
      </c>
      <c r="F86" s="30" t="s">
        <v>36</v>
      </c>
      <c r="G86" s="32"/>
      <c r="H86" s="32"/>
      <c r="J86" s="194"/>
      <c r="K86" s="194"/>
      <c r="L86" s="194"/>
      <c r="M86" s="194"/>
      <c r="N86" s="194"/>
      <c r="O86" s="194">
        <v>0.19900000000000001</v>
      </c>
      <c r="P86" s="194"/>
      <c r="Q86" s="194"/>
      <c r="R86" s="194"/>
      <c r="S86" s="194"/>
      <c r="T86" s="194"/>
    </row>
    <row r="87" spans="1:50" outlineLevel="1">
      <c r="C87" s="148" t="str">
        <f t="shared" si="48"/>
        <v>Circuit length</v>
      </c>
      <c r="D87" s="30" t="s">
        <v>106</v>
      </c>
      <c r="E87" s="30" t="s">
        <v>18</v>
      </c>
      <c r="F87" s="30" t="s">
        <v>36</v>
      </c>
      <c r="G87" s="32"/>
      <c r="H87" s="32"/>
      <c r="J87" s="194"/>
      <c r="K87" s="194"/>
      <c r="L87" s="194"/>
      <c r="M87" s="194"/>
      <c r="N87" s="194"/>
      <c r="O87" s="194">
        <v>0.376</v>
      </c>
      <c r="P87" s="194"/>
      <c r="Q87" s="194"/>
      <c r="R87" s="194"/>
      <c r="S87" s="194"/>
      <c r="T87" s="194"/>
    </row>
    <row r="88" spans="1:50" outlineLevel="1">
      <c r="C88" s="148">
        <f t="shared" si="48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</row>
    <row r="89" spans="1:50" outlineLevel="1">
      <c r="C89" s="148">
        <f t="shared" si="48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</row>
    <row r="90" spans="1:50" outlineLevel="1">
      <c r="G90" s="32"/>
      <c r="H90" s="32"/>
    </row>
    <row r="91" spans="1:50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shared" ref="J91:N91" si="49">IF(J82=J$4,IF(SUM(J84:J89)=1,"Ok","Check"),"")</f>
        <v/>
      </c>
      <c r="K91" s="132" t="str">
        <f t="shared" si="49"/>
        <v/>
      </c>
      <c r="L91" s="132" t="str">
        <f t="shared" si="49"/>
        <v/>
      </c>
      <c r="M91" s="132" t="str">
        <f t="shared" si="49"/>
        <v/>
      </c>
      <c r="N91" s="132" t="str">
        <f t="shared" si="49"/>
        <v/>
      </c>
      <c r="O91" s="132" t="str">
        <f>IF(O82=O$4,IF(SUM(O84:O89)=1,"Ok","Check"),"")</f>
        <v>Ok</v>
      </c>
      <c r="P91" s="132" t="str">
        <f t="shared" ref="P91:T91" si="50">IF(P82=P$4,IF(SUM(P84:P89)=1,"Ok","Check"),"")</f>
        <v/>
      </c>
      <c r="Q91" s="132" t="str">
        <f t="shared" si="50"/>
        <v/>
      </c>
      <c r="R91" s="132" t="str">
        <f t="shared" si="50"/>
        <v/>
      </c>
      <c r="S91" s="132" t="str">
        <f t="shared" si="50"/>
        <v/>
      </c>
      <c r="T91" s="132" t="str">
        <f t="shared" si="50"/>
        <v/>
      </c>
      <c r="U91" s="24"/>
      <c r="W91" s="131" t="str">
        <f>IF(COUNTIF(K91:T91,"Check")=0,"Ok","Check")</f>
        <v>Ok</v>
      </c>
    </row>
    <row r="92" spans="1:50"/>
    <row r="93" spans="1:50" s="103" customFormat="1" ht="12.75">
      <c r="A93" s="94"/>
      <c r="B93" s="95" t="s">
        <v>82</v>
      </c>
      <c r="C93" s="94"/>
      <c r="D93" s="94"/>
      <c r="E93" s="94"/>
      <c r="F93" s="96"/>
      <c r="G93" s="96"/>
      <c r="H93" s="96"/>
      <c r="I93" s="96"/>
      <c r="J93" s="96"/>
      <c r="K93" s="97"/>
      <c r="L93" s="98"/>
      <c r="M93" s="97"/>
      <c r="N93" s="98"/>
      <c r="O93" s="97"/>
      <c r="P93" s="97"/>
      <c r="Q93" s="97"/>
      <c r="R93" s="97"/>
      <c r="S93" s="97"/>
      <c r="T93" s="97"/>
      <c r="U93" s="97"/>
      <c r="V93" s="97"/>
      <c r="W93" s="98"/>
      <c r="X93" s="99"/>
      <c r="Y93" s="99"/>
      <c r="Z93" s="99"/>
      <c r="AA93" s="99"/>
      <c r="AB93" s="99"/>
      <c r="AC93" s="99"/>
      <c r="AD93" s="99"/>
      <c r="AE93" s="100"/>
      <c r="AF93" s="101"/>
      <c r="AG93" s="101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</row>
    <row r="94" spans="1:50" outlineLevel="1">
      <c r="G94" s="32"/>
      <c r="H94" s="32"/>
    </row>
    <row r="95" spans="1:50" outlineLevel="1">
      <c r="C95" s="67" t="s">
        <v>48</v>
      </c>
      <c r="D95" s="32" t="s">
        <v>7</v>
      </c>
      <c r="E95" s="32" t="s">
        <v>8</v>
      </c>
      <c r="F95" s="32" t="s">
        <v>22</v>
      </c>
      <c r="G95" s="32"/>
      <c r="H95" s="32"/>
      <c r="J95" s="163" t="str">
        <f t="shared" ref="J95:T95" si="51">IF(YEAR(J$4)&gt;=FPFirstYear,IF(YEAR(J$4)&lt;=FPLastYear,J$4,""),"")</f>
        <v/>
      </c>
      <c r="K95" s="163" t="str">
        <f t="shared" si="51"/>
        <v/>
      </c>
      <c r="L95" s="163" t="str">
        <f t="shared" si="51"/>
        <v/>
      </c>
      <c r="M95" s="163" t="str">
        <f t="shared" si="51"/>
        <v/>
      </c>
      <c r="N95" s="163" t="str">
        <f t="shared" si="51"/>
        <v/>
      </c>
      <c r="O95" s="163" t="str">
        <f t="shared" si="51"/>
        <v/>
      </c>
      <c r="P95" s="163">
        <f t="shared" si="51"/>
        <v>43617</v>
      </c>
      <c r="Q95" s="163">
        <f t="shared" si="51"/>
        <v>43983</v>
      </c>
      <c r="R95" s="163">
        <f t="shared" si="51"/>
        <v>44348</v>
      </c>
      <c r="S95" s="163">
        <f t="shared" si="51"/>
        <v>44713</v>
      </c>
      <c r="T95" s="163">
        <f t="shared" si="51"/>
        <v>45078</v>
      </c>
    </row>
    <row r="96" spans="1:50" outlineLevel="1">
      <c r="C96" s="111"/>
      <c r="G96" s="32"/>
      <c r="H96" s="32"/>
      <c r="K96" s="23"/>
      <c r="L96" s="23"/>
      <c r="M96" s="23"/>
      <c r="N96" s="23"/>
      <c r="O96" s="23"/>
    </row>
    <row r="97" spans="1:50" outlineLevel="1">
      <c r="C97" s="111" t="s">
        <v>48</v>
      </c>
      <c r="D97" s="30" t="s">
        <v>106</v>
      </c>
      <c r="E97" s="30" t="str">
        <f>percent</f>
        <v>Per cent</v>
      </c>
      <c r="F97" s="30" t="s">
        <v>36</v>
      </c>
      <c r="G97" s="32"/>
      <c r="H97" s="32"/>
      <c r="J97" s="206"/>
      <c r="K97" s="195"/>
      <c r="L97" s="195"/>
      <c r="M97" s="195"/>
      <c r="N97" s="195"/>
      <c r="O97" s="170"/>
      <c r="P97" s="170">
        <v>0</v>
      </c>
      <c r="Q97" s="170">
        <v>0</v>
      </c>
      <c r="R97" s="170">
        <v>0</v>
      </c>
      <c r="S97" s="170">
        <v>0</v>
      </c>
      <c r="T97" s="170">
        <v>0</v>
      </c>
    </row>
    <row r="98" spans="1:50" outlineLevel="1">
      <c r="C98" s="111"/>
      <c r="G98" s="32"/>
      <c r="H98" s="32"/>
      <c r="J98" s="169"/>
      <c r="K98" s="23"/>
      <c r="L98" s="23"/>
      <c r="M98" s="23"/>
      <c r="N98" s="23"/>
      <c r="O98" s="23"/>
      <c r="P98" s="193"/>
      <c r="Q98" s="193"/>
      <c r="R98" s="193"/>
      <c r="S98" s="193"/>
      <c r="T98" s="193"/>
    </row>
    <row r="99" spans="1:50" outlineLevel="1">
      <c r="C99" s="29" t="s">
        <v>40</v>
      </c>
      <c r="D99" s="30" t="s">
        <v>103</v>
      </c>
      <c r="E99" s="30" t="s">
        <v>28</v>
      </c>
      <c r="F99" s="30" t="s">
        <v>36</v>
      </c>
      <c r="J99" s="132" t="str">
        <f t="shared" ref="J99:S99" si="52">IF(J95=J$4,IF(ISBLANK(J97),"Check","Ok"),"")</f>
        <v/>
      </c>
      <c r="K99" s="132" t="str">
        <f t="shared" si="52"/>
        <v/>
      </c>
      <c r="L99" s="132" t="str">
        <f t="shared" si="52"/>
        <v/>
      </c>
      <c r="M99" s="132" t="str">
        <f t="shared" si="52"/>
        <v/>
      </c>
      <c r="N99" s="132" t="str">
        <f t="shared" si="52"/>
        <v/>
      </c>
      <c r="O99" s="132" t="str">
        <f t="shared" si="52"/>
        <v/>
      </c>
      <c r="P99" s="132" t="str">
        <f t="shared" si="52"/>
        <v>Ok</v>
      </c>
      <c r="Q99" s="132" t="str">
        <f t="shared" si="52"/>
        <v>Ok</v>
      </c>
      <c r="R99" s="132" t="str">
        <f t="shared" si="52"/>
        <v>Ok</v>
      </c>
      <c r="S99" s="132" t="str">
        <f t="shared" si="52"/>
        <v>Ok</v>
      </c>
      <c r="T99" s="132" t="str">
        <f>IF(T95=T$4,IF(ISBLANK(T97),"Check","Ok"),"")</f>
        <v>Ok</v>
      </c>
      <c r="U99" s="24"/>
      <c r="W99" s="131" t="str">
        <f>IF(COUNTIF(J99:T99,"Check")=0,"Ok","Check")</f>
        <v>Ok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21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hidden="1"/>
    <row r="103" spans="1:50" hidden="1"/>
    <row r="104" spans="1:50" hidden="1"/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2">
    <mergeCell ref="K3:M3"/>
    <mergeCell ref="O3:T3"/>
  </mergeCells>
  <conditionalFormatting sqref="W1">
    <cfRule type="cellIs" dxfId="151" priority="103" operator="equal">
      <formula>"Check"</formula>
    </cfRule>
    <cfRule type="cellIs" dxfId="150" priority="104" operator="equal">
      <formula>"Ok"</formula>
    </cfRule>
  </conditionalFormatting>
  <conditionalFormatting sqref="T1">
    <cfRule type="cellIs" dxfId="149" priority="67" operator="equal">
      <formula>"Check"</formula>
    </cfRule>
    <cfRule type="cellIs" dxfId="148" priority="68" operator="equal">
      <formula>"Ok"</formula>
    </cfRule>
  </conditionalFormatting>
  <conditionalFormatting sqref="W58">
    <cfRule type="cellIs" dxfId="147" priority="55" operator="equal">
      <formula>"Check"</formula>
    </cfRule>
    <cfRule type="cellIs" dxfId="146" priority="56" operator="equal">
      <formula>"Ok"</formula>
    </cfRule>
  </conditionalFormatting>
  <conditionalFormatting sqref="W91">
    <cfRule type="cellIs" dxfId="145" priority="51" operator="equal">
      <formula>"Check"</formula>
    </cfRule>
    <cfRule type="cellIs" dxfId="144" priority="52" operator="equal">
      <formula>"Ok"</formula>
    </cfRule>
  </conditionalFormatting>
  <conditionalFormatting sqref="J58:T58">
    <cfRule type="cellIs" dxfId="143" priority="47" operator="equal">
      <formula>"Check"</formula>
    </cfRule>
    <cfRule type="cellIs" dxfId="142" priority="48" operator="equal">
      <formula>"Ok"</formula>
    </cfRule>
  </conditionalFormatting>
  <conditionalFormatting sqref="J34:T34">
    <cfRule type="expression" dxfId="141" priority="38">
      <formula>J$34=J$4</formula>
    </cfRule>
  </conditionalFormatting>
  <conditionalFormatting sqref="J36:T43">
    <cfRule type="expression" dxfId="140" priority="36">
      <formula>J$34=J$4</formula>
    </cfRule>
  </conditionalFormatting>
  <conditionalFormatting sqref="J49:T56">
    <cfRule type="expression" dxfId="139" priority="35">
      <formula>J$47=J$4</formula>
    </cfRule>
  </conditionalFormatting>
  <conditionalFormatting sqref="J97:T97">
    <cfRule type="expression" dxfId="138" priority="31">
      <formula>J$95=J$4</formula>
    </cfRule>
  </conditionalFormatting>
  <conditionalFormatting sqref="W99">
    <cfRule type="cellIs" dxfId="137" priority="29" operator="equal">
      <formula>"Check"</formula>
    </cfRule>
    <cfRule type="cellIs" dxfId="136" priority="30" operator="equal">
      <formula>"Ok"</formula>
    </cfRule>
  </conditionalFormatting>
  <conditionalFormatting sqref="J99:T99">
    <cfRule type="cellIs" dxfId="135" priority="27" operator="equal">
      <formula>"Check"</formula>
    </cfRule>
    <cfRule type="cellIs" dxfId="134" priority="28" operator="equal">
      <formula>"Ok"</formula>
    </cfRule>
  </conditionalFormatting>
  <conditionalFormatting sqref="W45">
    <cfRule type="cellIs" dxfId="133" priority="25" operator="equal">
      <formula>"Check"</formula>
    </cfRule>
    <cfRule type="cellIs" dxfId="132" priority="26" operator="equal">
      <formula>"Ok"</formula>
    </cfRule>
  </conditionalFormatting>
  <conditionalFormatting sqref="J45:T45">
    <cfRule type="cellIs" dxfId="131" priority="23" operator="equal">
      <formula>"Check"</formula>
    </cfRule>
    <cfRule type="cellIs" dxfId="130" priority="24" operator="equal">
      <formula>"Ok"</formula>
    </cfRule>
  </conditionalFormatting>
  <conditionalFormatting sqref="W71">
    <cfRule type="cellIs" dxfId="129" priority="21" operator="equal">
      <formula>"Check"</formula>
    </cfRule>
    <cfRule type="cellIs" dxfId="128" priority="22" operator="equal">
      <formula>"Ok"</formula>
    </cfRule>
  </conditionalFormatting>
  <conditionalFormatting sqref="J71:T71">
    <cfRule type="cellIs" dxfId="127" priority="19" operator="equal">
      <formula>"Check"</formula>
    </cfRule>
    <cfRule type="cellIs" dxfId="126" priority="20" operator="equal">
      <formula>"Ok"</formula>
    </cfRule>
  </conditionalFormatting>
  <conditionalFormatting sqref="J82:T82">
    <cfRule type="expression" dxfId="125" priority="17">
      <formula>J$82=J$4</formula>
    </cfRule>
  </conditionalFormatting>
  <conditionalFormatting sqref="J84:T89">
    <cfRule type="expression" dxfId="124" priority="16">
      <formula>J$82=J$4</formula>
    </cfRule>
  </conditionalFormatting>
  <conditionalFormatting sqref="J91:T91">
    <cfRule type="cellIs" dxfId="123" priority="14" operator="equal">
      <formula>"Check"</formula>
    </cfRule>
    <cfRule type="cellIs" dxfId="122" priority="15" operator="equal">
      <formula>"Ok"</formula>
    </cfRule>
  </conditionalFormatting>
  <conditionalFormatting sqref="J62:T62">
    <cfRule type="expression" dxfId="121" priority="13">
      <formula>J$62=J$4</formula>
    </cfRule>
  </conditionalFormatting>
  <conditionalFormatting sqref="J64:T69">
    <cfRule type="expression" dxfId="120" priority="11">
      <formula>J$62=J$4</formula>
    </cfRule>
  </conditionalFormatting>
  <conditionalFormatting sqref="J47:T47">
    <cfRule type="expression" dxfId="119" priority="8">
      <formula>J$34=J$4</formula>
    </cfRule>
  </conditionalFormatting>
  <conditionalFormatting sqref="J73:T73">
    <cfRule type="expression" dxfId="118" priority="7">
      <formula>J$34=J$4</formula>
    </cfRule>
  </conditionalFormatting>
  <conditionalFormatting sqref="J95:T95">
    <cfRule type="expression" dxfId="117" priority="6">
      <formula>J$34=J$4</formula>
    </cfRule>
  </conditionalFormatting>
  <conditionalFormatting sqref="J25:T30">
    <cfRule type="cellIs" dxfId="116" priority="4" operator="equal">
      <formula>0</formula>
    </cfRule>
  </conditionalFormatting>
  <conditionalFormatting sqref="J16:T21">
    <cfRule type="cellIs" dxfId="115" priority="3" operator="equal">
      <formula>0</formula>
    </cfRule>
  </conditionalFormatting>
  <dataValidations disablePrompts="1" count="1">
    <dataValidation type="list" allowBlank="1" showInputMessage="1" showErrorMessage="1" sqref="F100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133</v>
      </c>
      <c r="K3" s="173"/>
      <c r="L3" s="173"/>
      <c r="M3" s="183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43617</v>
      </c>
      <c r="P10" s="163">
        <f t="shared" si="0"/>
        <v>43983</v>
      </c>
      <c r="Q10" s="163">
        <f t="shared" si="0"/>
        <v>44348</v>
      </c>
      <c r="R10" s="163">
        <f t="shared" si="0"/>
        <v>44713</v>
      </c>
      <c r="S10" s="163">
        <f t="shared" si="0"/>
        <v>45078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2">
        <v>43252</v>
      </c>
      <c r="G12" s="32"/>
      <c r="H12" s="32"/>
      <c r="J12" s="152"/>
      <c r="K12" s="152"/>
      <c r="L12" s="152"/>
      <c r="M12" s="152"/>
      <c r="N12" s="152"/>
      <c r="O12" s="171"/>
      <c r="P12" s="171"/>
      <c r="Q12" s="171"/>
      <c r="R12" s="171"/>
      <c r="S12" s="171"/>
    </row>
    <row r="13" spans="1:47" outlineLevel="1">
      <c r="C13" s="61"/>
      <c r="D13" s="30" t="s">
        <v>73</v>
      </c>
      <c r="E13" s="150" t="s">
        <v>15</v>
      </c>
      <c r="F13" s="172">
        <v>43252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71"/>
    </row>
    <row r="14" spans="1:47" outlineLevel="1">
      <c r="C14" s="61"/>
      <c r="D14" s="30" t="s">
        <v>73</v>
      </c>
      <c r="E14" s="150" t="s">
        <v>15</v>
      </c>
      <c r="F14" s="172">
        <v>43252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73</v>
      </c>
      <c r="E15" s="150" t="s">
        <v>15</v>
      </c>
      <c r="F15" s="172">
        <v>43252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73</v>
      </c>
      <c r="E16" s="150" t="s">
        <v>15</v>
      </c>
      <c r="F16" s="172">
        <v>43252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73</v>
      </c>
      <c r="E17" s="150" t="s">
        <v>15</v>
      </c>
      <c r="F17" s="172">
        <v>43252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73</v>
      </c>
      <c r="E18" s="150" t="s">
        <v>15</v>
      </c>
      <c r="F18" s="172">
        <v>43252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73</v>
      </c>
      <c r="E19" s="150" t="s">
        <v>15</v>
      </c>
      <c r="F19" s="172">
        <v>43252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73</v>
      </c>
      <c r="E20" s="150" t="s">
        <v>15</v>
      </c>
      <c r="F20" s="172">
        <v>43252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118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43617</v>
      </c>
      <c r="P26" s="163">
        <f t="shared" si="2"/>
        <v>43983</v>
      </c>
      <c r="Q26" s="163">
        <f t="shared" si="2"/>
        <v>44348</v>
      </c>
      <c r="R26" s="163">
        <f t="shared" si="2"/>
        <v>44713</v>
      </c>
      <c r="S26" s="163">
        <f t="shared" si="2"/>
        <v>45078</v>
      </c>
    </row>
    <row r="27" spans="1:47" outlineLevel="1">
      <c r="G27" s="32"/>
      <c r="H27" s="32"/>
    </row>
    <row r="28" spans="1:47" outlineLevel="1">
      <c r="C28" s="61" t="s">
        <v>129</v>
      </c>
      <c r="D28" s="30" t="s">
        <v>73</v>
      </c>
      <c r="E28" s="150" t="s">
        <v>15</v>
      </c>
      <c r="F28" s="172">
        <v>43252</v>
      </c>
      <c r="G28" s="32"/>
      <c r="H28" s="32"/>
      <c r="J28" s="152"/>
      <c r="K28" s="152"/>
      <c r="L28" s="152"/>
      <c r="M28" s="152"/>
      <c r="N28" s="171"/>
      <c r="O28" s="171">
        <f>-'Input|Reported opex'!$L$49*'Input|Rate of change'!$M$30</f>
        <v>8.4542905554701822</v>
      </c>
      <c r="P28" s="171">
        <f>-'Input|Reported opex'!$L$49*'Input|Rate of change'!$M$30</f>
        <v>8.4542905554701822</v>
      </c>
      <c r="Q28" s="171">
        <f>-'Input|Reported opex'!$L$49*'Input|Rate of change'!$M$30</f>
        <v>8.4542905554701822</v>
      </c>
      <c r="R28" s="171">
        <f>-'Input|Reported opex'!$L$49*'Input|Rate of change'!$M$30</f>
        <v>8.4542905554701822</v>
      </c>
      <c r="S28" s="171">
        <f>-'Input|Reported opex'!$L$49*'Input|Rate of change'!$M$30</f>
        <v>8.4542905554701822</v>
      </c>
    </row>
    <row r="29" spans="1:47" outlineLevel="1">
      <c r="C29" s="61"/>
      <c r="D29" s="30" t="s">
        <v>73</v>
      </c>
      <c r="E29" s="150" t="s">
        <v>15</v>
      </c>
      <c r="F29" s="172">
        <v>43252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43252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43617</v>
      </c>
      <c r="P36" s="163">
        <f t="shared" si="4"/>
        <v>43983</v>
      </c>
      <c r="Q36" s="163">
        <f t="shared" si="4"/>
        <v>44348</v>
      </c>
      <c r="R36" s="163">
        <f t="shared" si="4"/>
        <v>44713</v>
      </c>
      <c r="S36" s="163">
        <f t="shared" si="4"/>
        <v>45078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172">
        <v>43252</v>
      </c>
      <c r="G38" s="32"/>
      <c r="H38" s="32"/>
      <c r="J38" s="171"/>
      <c r="K38" s="171"/>
      <c r="L38" s="171"/>
      <c r="M38" s="171"/>
      <c r="N38" s="171"/>
      <c r="O38" s="171">
        <v>1.2704737261470676</v>
      </c>
      <c r="P38" s="171">
        <v>1.2677461584155472</v>
      </c>
      <c r="Q38" s="171">
        <v>1.2580953192599151</v>
      </c>
      <c r="R38" s="171">
        <v>1.2516299632485037</v>
      </c>
      <c r="S38" s="171">
        <v>1.2396629779372317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58" zoomScaleNormal="100" workbookViewId="0">
      <selection activeCell="N102" sqref="N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133</v>
      </c>
      <c r="K3" s="173"/>
      <c r="L3" s="173"/>
      <c r="M3" s="183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43252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41791</v>
      </c>
      <c r="K10" s="163">
        <f t="shared" si="0"/>
        <v>42156</v>
      </c>
      <c r="L10" s="163">
        <f t="shared" si="0"/>
        <v>42522</v>
      </c>
      <c r="M10" s="163">
        <f t="shared" si="0"/>
        <v>42887</v>
      </c>
      <c r="N10" s="163">
        <f t="shared" si="0"/>
        <v>43252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176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80.774358809340001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176</v>
      </c>
      <c r="D13" s="110" t="s">
        <v>30</v>
      </c>
      <c r="E13" s="30" t="str">
        <f>$E$8</f>
        <v>$millions</v>
      </c>
      <c r="F13" s="161">
        <f>$F$8</f>
        <v>43252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84.411606774531876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177</v>
      </c>
      <c r="D14" s="108" t="s">
        <v>96</v>
      </c>
      <c r="E14" s="30" t="str">
        <f>'Input|Reported opex'!E15</f>
        <v>$millions</v>
      </c>
      <c r="F14" s="161">
        <f>'Input|Reported opex'!F15</f>
        <v>41426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84.332483989649205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177</v>
      </c>
      <c r="D15" s="110" t="s">
        <v>30</v>
      </c>
      <c r="E15" s="30" t="str">
        <f>$E$8</f>
        <v>$millions</v>
      </c>
      <c r="F15" s="161">
        <f>$F$8</f>
        <v>43252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92.629553474778703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178</v>
      </c>
      <c r="D16" s="108" t="s">
        <v>96</v>
      </c>
      <c r="E16" s="30" t="str">
        <f>'Input|Reported opex'!E15</f>
        <v>$millions</v>
      </c>
      <c r="F16" s="161">
        <f>'Input|Reported opex'!F15</f>
        <v>41426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89.215412080194113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178</v>
      </c>
      <c r="D17" s="110" t="s">
        <v>30</v>
      </c>
      <c r="E17" s="30" t="str">
        <f>$E$8</f>
        <v>$millions</v>
      </c>
      <c r="F17" s="161">
        <f>$F$8</f>
        <v>43252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97.992889490496481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179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-8.09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179</v>
      </c>
      <c r="D20" s="110" t="s">
        <v>30</v>
      </c>
      <c r="E20" s="30" t="str">
        <f>$E$8</f>
        <v>$millions</v>
      </c>
      <c r="F20" s="161">
        <f>$F$8</f>
        <v>43252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-8.4542905554701822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180</v>
      </c>
      <c r="D21" s="108" t="s">
        <v>96</v>
      </c>
      <c r="E21" s="30" t="str">
        <f>'Input|Reported opex'!E22</f>
        <v>$millions</v>
      </c>
      <c r="F21" s="161">
        <f>'Input|Reported opex'!F22</f>
        <v>41426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-9.5633901498722764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180</v>
      </c>
      <c r="D22" s="110" t="s">
        <v>30</v>
      </c>
      <c r="E22" s="30" t="str">
        <f>$E$8</f>
        <v>$millions</v>
      </c>
      <c r="F22" s="161">
        <f>$F$8</f>
        <v>43252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-10.504286336407375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181</v>
      </c>
      <c r="D23" s="108" t="s">
        <v>96</v>
      </c>
      <c r="E23" s="30" t="str">
        <f>'Input|Reported opex'!E22</f>
        <v>$millions</v>
      </c>
      <c r="F23" s="161">
        <f>'Input|Reported opex'!F22</f>
        <v>41426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-9.973806532599415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181</v>
      </c>
      <c r="D24" s="110" t="s">
        <v>30</v>
      </c>
      <c r="E24" s="30" t="str">
        <f>$E$8</f>
        <v>$millions</v>
      </c>
      <c r="F24" s="161">
        <f>$F$8</f>
        <v>43252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-10.955081622781423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150</v>
      </c>
      <c r="D26" s="114" t="s">
        <v>30</v>
      </c>
      <c r="E26" s="114" t="str">
        <f>$E$8</f>
        <v>$millions</v>
      </c>
      <c r="F26" s="161">
        <f>$F$8</f>
        <v>43252</v>
      </c>
      <c r="J26" s="115">
        <f>J13</f>
        <v>0</v>
      </c>
      <c r="K26" s="115">
        <f t="shared" ref="K26:S26" si="1">K13</f>
        <v>0</v>
      </c>
      <c r="L26" s="115">
        <f t="shared" si="1"/>
        <v>84.411606774531876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173</v>
      </c>
      <c r="D28" s="108" t="s">
        <v>96</v>
      </c>
      <c r="E28" s="110" t="str">
        <f>'Input|Reported opex'!E65</f>
        <v>$millions</v>
      </c>
      <c r="F28" s="161">
        <f>'Input|Reported opex'!F65</f>
        <v>43252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43252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170</v>
      </c>
      <c r="D31" s="110" t="s">
        <v>30</v>
      </c>
      <c r="E31" s="110" t="str">
        <f>$E$8</f>
        <v>$millions</v>
      </c>
      <c r="F31" s="161">
        <f>$F$8</f>
        <v>43252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5.3633360157177776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43252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89.774942790249654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182</v>
      </c>
      <c r="D35" s="110" t="s">
        <v>30</v>
      </c>
      <c r="E35" s="110" t="str">
        <f>$E$8</f>
        <v>$millions</v>
      </c>
      <c r="F35" s="161">
        <f>$F$8</f>
        <v>43252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-8.9050858418442296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43252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43252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43252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43252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43252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43252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43252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43252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43252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43252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43252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183</v>
      </c>
      <c r="D54" s="112" t="s">
        <v>103</v>
      </c>
      <c r="E54" s="112" t="str">
        <f>$E$8</f>
        <v>$millions</v>
      </c>
      <c r="F54" s="180">
        <f>$F$8</f>
        <v>43252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80.869856948405427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43617</v>
      </c>
      <c r="P58" s="163">
        <f>IF(YEAR(P$4)&gt;='Input|General'!$G$13,IF(YEAR(P$4)&lt;='Input|General'!$G$14,P$4,""),"")</f>
        <v>43983</v>
      </c>
      <c r="Q58" s="163">
        <f>IF(YEAR(Q$4)&gt;='Input|General'!$G$13,IF(YEAR(Q$4)&lt;='Input|General'!$G$14,Q$4,""),"")</f>
        <v>44348</v>
      </c>
      <c r="R58" s="163">
        <f>IF(YEAR(R$4)&gt;='Input|General'!$G$13,IF(YEAR(R$4)&lt;='Input|General'!$G$14,R$4,""),"")</f>
        <v>44713</v>
      </c>
      <c r="S58" s="163">
        <f>IF(YEAR(S$4)&gt;='Input|General'!$G$13,IF(YEAR(S$4)&lt;='Input|General'!$G$14,S$4,""),"")</f>
        <v>45078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SUMPRODUCT('Input|Rate of change'!K75:K80,'Input|Rate of change'!$O$84:$O$89)</f>
        <v>0</v>
      </c>
      <c r="K61" s="117">
        <f>SUMPRODUCT('Input|Rate of change'!L75:L80,'Input|Rate of change'!$O$84:$O$89)</f>
        <v>0</v>
      </c>
      <c r="L61" s="117">
        <f>SUMPRODUCT('Input|Rate of change'!M75:M80,'Input|Rate of change'!$O$84:$O$89)</f>
        <v>0</v>
      </c>
      <c r="M61" s="117">
        <f>SUMPRODUCT('Input|Rate of change'!N75:N80,'Input|Rate of change'!$O$84:$O$89)</f>
        <v>0</v>
      </c>
      <c r="N61" s="117">
        <f>SUMPRODUCT('Input|Rate of change'!O75:O80,'Input|Rate of change'!$O$84:$O$89)</f>
        <v>0</v>
      </c>
      <c r="O61" s="117">
        <f>SUMPRODUCT('Input|Rate of change'!P75:P80,'Input|Rate of change'!$O$84:$O$89)</f>
        <v>4.4534681344808539E-3</v>
      </c>
      <c r="P61" s="117">
        <f>SUMPRODUCT('Input|Rate of change'!Q75:Q80,'Input|Rate of change'!$O$84:$O$89)</f>
        <v>4.6547276953972736E-3</v>
      </c>
      <c r="Q61" s="117">
        <f>SUMPRODUCT('Input|Rate of change'!R75:R80,'Input|Rate of change'!$O$84:$O$89)</f>
        <v>5.1878664487920098E-3</v>
      </c>
      <c r="R61" s="117">
        <f>SUMPRODUCT('Input|Rate of change'!S75:S80,'Input|Rate of change'!$O$84:$O$89)</f>
        <v>3.7915134542699071E-3</v>
      </c>
      <c r="S61" s="117">
        <f>SUMPRODUCT('Input|Rate of change'!T75:T80,'Input|Rate of change'!$O$84:$O$89)</f>
        <v>4.1494417855618831E-3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4.1416584611693574E-3</v>
      </c>
      <c r="P63" s="117">
        <f>SUMPRODUCT('Input|Rate of change'!Q36:Q43,'Input|Rate of change'!Q49:Q56)</f>
        <v>4.4561767285984976E-3</v>
      </c>
      <c r="Q63" s="117">
        <f>SUMPRODUCT('Input|Rate of change'!R36:R43,'Input|Rate of change'!R49:R56)</f>
        <v>5.1150289901910643E-3</v>
      </c>
      <c r="R63" s="117">
        <f>SUMPRODUCT('Input|Rate of change'!S36:S43,'Input|Rate of change'!S49:S56)</f>
        <v>7.3982260424470406E-3</v>
      </c>
      <c r="S63" s="117">
        <f>SUMPRODUCT('Input|Rate of change'!T36:T43,'Input|Rate of change'!T49:T56)</f>
        <v>8.2351490043893506E-3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change'!K97</f>
        <v>0</v>
      </c>
      <c r="K65" s="117">
        <f>'Input|Rate of change'!L97</f>
        <v>0</v>
      </c>
      <c r="L65" s="117">
        <f>'Input|Rate of change'!M97</f>
        <v>0</v>
      </c>
      <c r="M65" s="117">
        <f>'Input|Rate of change'!N97</f>
        <v>0</v>
      </c>
      <c r="N65" s="117">
        <f>'Input|Rate of change'!O97</f>
        <v>0</v>
      </c>
      <c r="O65" s="117">
        <f>'Input|Rate of change'!P97</f>
        <v>0</v>
      </c>
      <c r="P65" s="117">
        <f>'Input|Rate of change'!Q97</f>
        <v>0</v>
      </c>
      <c r="Q65" s="117">
        <f>'Input|Rate of change'!R97</f>
        <v>0</v>
      </c>
      <c r="R65" s="117">
        <f>'Input|Rate of change'!S97</f>
        <v>0</v>
      </c>
      <c r="S65" s="117">
        <f>'Input|Rate of change'!T97</f>
        <v>0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151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8.613571339630921E-3</v>
      </c>
      <c r="P67" s="143">
        <f t="shared" si="6"/>
        <v>9.1316467132298573E-3</v>
      </c>
      <c r="Q67" s="143">
        <f t="shared" si="6"/>
        <v>1.0329431526266086E-2</v>
      </c>
      <c r="R67" s="143">
        <f t="shared" si="6"/>
        <v>1.1217789970294545E-2</v>
      </c>
      <c r="S67" s="143">
        <f t="shared" si="6"/>
        <v>1.2418762061340294E-2</v>
      </c>
    </row>
    <row r="68" spans="1:47" outlineLevel="1">
      <c r="C68" s="124" t="s">
        <v>152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8.613571339630921E-3</v>
      </c>
      <c r="P68" s="117">
        <f t="array" ref="P68">IF(P$58=P$4,PRODUCT(1+$J67:P67)-1,"")</f>
        <v>1.7823874143273466E-2</v>
      </c>
      <c r="Q68" s="117">
        <f t="array" ref="Q68">IF(Q$58=Q$4,PRODUCT(1+$J67:Q67)-1,"")</f>
        <v>2.8337416157035333E-2</v>
      </c>
      <c r="R68" s="117">
        <f t="array" ref="R68">IF(R$58=R$4,PRODUCT(1+$J67:R67)-1,"")</f>
        <v>3.9873089310080267E-2</v>
      </c>
      <c r="S68" s="117">
        <f t="array" ref="S68">IF(S$58=S$4,PRODUCT(1+$J67:S67)-1,"")</f>
        <v>5.2787025780212993E-2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43617</v>
      </c>
      <c r="P72" s="163">
        <f>IF(YEAR(P$4)&gt;='Input|General'!$G$13,IF(YEAR(P$4)&lt;='Input|General'!$G$14,P$4,""),"")</f>
        <v>43983</v>
      </c>
      <c r="Q72" s="163">
        <f>IF(YEAR(Q$4)&gt;='Input|General'!$G$13,IF(YEAR(Q$4)&lt;='Input|General'!$G$14,Q$4,""),"")</f>
        <v>44348</v>
      </c>
      <c r="R72" s="163">
        <f>IF(YEAR(R$4)&gt;='Input|General'!$G$13,IF(YEAR(R$4)&lt;='Input|General'!$G$14,R$4,""),"")</f>
        <v>44713</v>
      </c>
      <c r="S72" s="163">
        <f>IF(YEAR(S$4)&gt;='Input|General'!$G$13,IF(YEAR(S$4)&lt;='Input|General'!$G$14,S$4,""),"")</f>
        <v>45078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43252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43252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43252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43252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43252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43252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43252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43252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43252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43252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0</v>
      </c>
      <c r="Q84" s="177">
        <f t="shared" si="9"/>
        <v>0</v>
      </c>
      <c r="R84" s="177">
        <f t="shared" si="9"/>
        <v>0</v>
      </c>
      <c r="S84" s="177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130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118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43617</v>
      </c>
      <c r="P88" s="163">
        <f>IF(YEAR(P$4)&gt;='Input|General'!$G$13,IF(YEAR(P$4)&lt;='Input|General'!$G$14,P$4,""),"")</f>
        <v>43983</v>
      </c>
      <c r="Q88" s="163">
        <f>IF(YEAR(Q$4)&gt;='Input|General'!$G$13,IF(YEAR(Q$4)&lt;='Input|General'!$G$14,Q$4,""),"")</f>
        <v>44348</v>
      </c>
      <c r="R88" s="163">
        <f>IF(YEAR(R$4)&gt;='Input|General'!$G$13,IF(YEAR(R$4)&lt;='Input|General'!$G$14,R$4,""),"")</f>
        <v>44713</v>
      </c>
      <c r="S88" s="163">
        <f>IF(YEAR(S$4)&gt;='Input|General'!$G$13,IF(YEAR(S$4)&lt;='Input|General'!$G$14,S$4,""),"")</f>
        <v>45078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Network support costs</v>
      </c>
      <c r="D90" s="110" t="s">
        <v>30</v>
      </c>
      <c r="E90" s="30" t="str">
        <f t="shared" si="7"/>
        <v>$millions</v>
      </c>
      <c r="F90" s="161">
        <f t="shared" ref="F90:F92" si="10">$F$8</f>
        <v>43252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8.4542905554701822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8.4542905554701822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8.4542905554701822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8.4542905554701822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8.4542905554701822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43252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43252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131</v>
      </c>
      <c r="D94" s="122" t="s">
        <v>30</v>
      </c>
      <c r="E94" s="122" t="str">
        <f>$E$8</f>
        <v>$millions</v>
      </c>
      <c r="F94" s="175">
        <f t="shared" ref="F94" si="11">$F$8</f>
        <v>43252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8.4542905554701822</v>
      </c>
      <c r="P94" s="128">
        <f t="shared" si="12"/>
        <v>8.4542905554701822</v>
      </c>
      <c r="Q94" s="128">
        <f t="shared" si="12"/>
        <v>8.4542905554701822</v>
      </c>
      <c r="R94" s="128">
        <f t="shared" si="12"/>
        <v>8.4542905554701822</v>
      </c>
      <c r="S94" s="128">
        <f t="shared" si="12"/>
        <v>8.4542905554701822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43617</v>
      </c>
      <c r="P98" s="163">
        <f>IF(YEAR(P$4)&gt;='Input|General'!$G$13,IF(YEAR(P$4)&lt;='Input|General'!$G$14,P$4,""),"")</f>
        <v>43983</v>
      </c>
      <c r="Q98" s="163">
        <f>IF(YEAR(Q$4)&gt;='Input|General'!$G$13,IF(YEAR(Q$4)&lt;='Input|General'!$G$14,Q$4,""),"")</f>
        <v>44348</v>
      </c>
      <c r="R98" s="163">
        <f>IF(YEAR(R$4)&gt;='Input|General'!$G$13,IF(YEAR(R$4)&lt;='Input|General'!$G$14,R$4,""),"")</f>
        <v>44713</v>
      </c>
      <c r="S98" s="163">
        <f>IF(YEAR(S$4)&gt;='Input|General'!$G$13,IF(YEAR(S$4)&lt;='Input|General'!$G$14,S$4,""),"")</f>
        <v>45078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148</v>
      </c>
      <c r="D100" s="126" t="s">
        <v>30</v>
      </c>
      <c r="E100" s="126" t="str">
        <f>$E$8</f>
        <v>$millions</v>
      </c>
      <c r="F100" s="175">
        <f t="shared" ref="F100:F102" si="13">$F$8</f>
        <v>43252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81.566435230456264</v>
      </c>
      <c r="P100" s="151">
        <f t="shared" si="14"/>
        <v>82.311271100638336</v>
      </c>
      <c r="Q100" s="151">
        <f t="shared" si="14"/>
        <v>83.161499739312305</v>
      </c>
      <c r="R100" s="151">
        <f t="shared" si="14"/>
        <v>84.094387977002611</v>
      </c>
      <c r="S100" s="151">
        <f t="shared" si="14"/>
        <v>85.138736171983041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43252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90.020725785926444</v>
      </c>
      <c r="P101" s="151">
        <f t="shared" si="15"/>
        <v>90.765561656108517</v>
      </c>
      <c r="Q101" s="151">
        <f t="shared" si="15"/>
        <v>91.615790294782485</v>
      </c>
      <c r="R101" s="151">
        <f t="shared" si="15"/>
        <v>92.548678532472792</v>
      </c>
      <c r="S101" s="151">
        <f t="shared" si="15"/>
        <v>93.593026727453221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43252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91.291199512073518</v>
      </c>
      <c r="P102" s="151">
        <f>IF(YEAR(P$4)&gt;=FPFirstYear,IF(YEAR(P$4)&lt;=FPLastYear,P101+'Input|Step changes'!P38,""),"")</f>
        <v>92.033307814524065</v>
      </c>
      <c r="Q102" s="151">
        <f>IF(YEAR(Q$4)&gt;=FPFirstYear,IF(YEAR(Q$4)&lt;=FPLastYear,Q101+'Input|Step changes'!Q38,""),"")</f>
        <v>92.873885614042393</v>
      </c>
      <c r="R102" s="151">
        <f>IF(YEAR(R$4)&gt;=FPFirstYear,IF(YEAR(R$4)&lt;=FPLastYear,R101+'Input|Step changes'!R38,""),"")</f>
        <v>93.800308495721296</v>
      </c>
      <c r="S102" s="151">
        <f>IF(YEAR(S$4)&gt;=FPFirstYear,IF(YEAR(S$4)&lt;=FPLastYear,S101+'Input|Step changes'!S38,""),"")</f>
        <v>94.83268970539045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133</v>
      </c>
      <c r="K3" s="173"/>
      <c r="L3" s="173"/>
      <c r="M3" s="183"/>
      <c r="N3" s="214"/>
      <c r="O3" s="214"/>
      <c r="P3" s="214"/>
      <c r="Q3" s="214"/>
      <c r="R3" s="214"/>
      <c r="S3" s="214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41791</v>
      </c>
      <c r="K4" s="156">
        <f>DATE(PPFirstYear+1,MONTH('Input|General'!$G$9),1)</f>
        <v>42156</v>
      </c>
      <c r="L4" s="156">
        <f>DATE(PPFirstYear+2,MONTH('Input|General'!$G$9),1)</f>
        <v>42522</v>
      </c>
      <c r="M4" s="156">
        <f>DATE(PPFirstYear+3,MONTH('Input|General'!$G$9),1)</f>
        <v>42887</v>
      </c>
      <c r="N4" s="156">
        <f>DATE(PPFirstYear+4,MONTH('Input|General'!$G$9),1)</f>
        <v>43252</v>
      </c>
      <c r="O4" s="156">
        <f>DATE(PPFirstYear+5,MONTH('Input|General'!$G$9),1)</f>
        <v>43617</v>
      </c>
      <c r="P4" s="156">
        <f>DATE(PPFirstYear+6,MONTH('Input|General'!$G$9),1)</f>
        <v>43983</v>
      </c>
      <c r="Q4" s="156">
        <f>DATE(PPFirstYear+7,MONTH('Input|General'!$G$9),1)</f>
        <v>44348</v>
      </c>
      <c r="R4" s="156">
        <f>DATE(PPFirstYear+8,MONTH('Input|General'!$G$9),1)</f>
        <v>44713</v>
      </c>
      <c r="S4" s="156">
        <f>DATE(PPFirstYear+9,MONTH('Input|General'!$G$9),1)</f>
        <v>45078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43252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43617</v>
      </c>
      <c r="P11" s="163">
        <f>IF(YEAR(P$4)&gt;='Input|General'!$G$13,IF(YEAR(P$4)&lt;='Input|General'!$G$14,P$4,""),"")</f>
        <v>43983</v>
      </c>
      <c r="Q11" s="163">
        <f>IF(YEAR(Q$4)&gt;='Input|General'!$G$13,IF(YEAR(Q$4)&lt;='Input|General'!$G$14,Q$4,""),"")</f>
        <v>44348</v>
      </c>
      <c r="R11" s="163">
        <f>IF(YEAR(R$4)&gt;='Input|General'!$G$13,IF(YEAR(R$4)&lt;='Input|General'!$G$14,R$4,""),"")</f>
        <v>44713</v>
      </c>
      <c r="S11" s="163">
        <f>IF(YEAR(S$4)&gt;='Input|General'!$G$13,IF(YEAR(S$4)&lt;='Input|General'!$G$14,S$4,""),"")</f>
        <v>45078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43252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81.566435230456264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82.311271100638336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83.161499739312305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84.094387977002611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85.138736171983055</v>
      </c>
      <c r="T13" s="212"/>
      <c r="U13" s="152"/>
    </row>
    <row r="14" spans="1:26">
      <c r="C14" s="111" t="str">
        <f>'Input|Step changes'!C28</f>
        <v>Network support costs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43252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8.4542905554701822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8.4542905554701822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8.4542905554701822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8.4542905554701822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8.4542905554701822</v>
      </c>
      <c r="T14" s="212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43252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43252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31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134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135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136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137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138</v>
      </c>
      <c r="D28" s="16" t="s">
        <v>73</v>
      </c>
      <c r="E28" s="16"/>
      <c r="F28" s="16"/>
      <c r="G28" s="154">
        <v>36617</v>
      </c>
    </row>
    <row r="29" spans="1:47">
      <c r="C29" s="15" t="s">
        <v>139</v>
      </c>
      <c r="D29" s="16" t="s">
        <v>73</v>
      </c>
      <c r="E29" s="16"/>
      <c r="F29" s="16"/>
      <c r="G29" s="154">
        <v>36647</v>
      </c>
    </row>
    <row r="30" spans="1:47">
      <c r="C30" s="15" t="s">
        <v>140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141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142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143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144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145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146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169</v>
      </c>
      <c r="H40" s="14" t="s">
        <v>167</v>
      </c>
      <c r="I40" s="14" t="s">
        <v>168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/>
    <row r="62" spans="1:47" customFormat="1" ht="12.75">
      <c r="A62" s="43"/>
      <c r="B62" s="51" t="s">
        <v>165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166</v>
      </c>
      <c r="H64" s="14" t="s">
        <v>133</v>
      </c>
    </row>
    <row r="65" spans="1:47">
      <c r="C65" s="15" t="s">
        <v>153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2013–14</v>
      </c>
      <c r="H65" s="186">
        <f>DATE(PPFirstYear,MONTH('Input|General'!$G$9),1)</f>
        <v>41791</v>
      </c>
    </row>
    <row r="66" spans="1:47">
      <c r="C66" s="15" t="s">
        <v>154</v>
      </c>
      <c r="D66" s="16" t="s">
        <v>103</v>
      </c>
      <c r="E66" s="16"/>
      <c r="F66" s="16"/>
      <c r="G66" s="185" t="str">
        <f>IF(PPLastYear-PPFirstYear&lt;1,"",LEFT(G65,4)+1&amp;"–"&amp;RIGHT(G65,2)+1)</f>
        <v>2014–15</v>
      </c>
      <c r="H66" s="186">
        <f>IF(PPLastYear-PPFirstYear&lt;1,"",DATE(PPFirstYear+1,MONTH('Input|General'!$G$9),1))</f>
        <v>42156</v>
      </c>
    </row>
    <row r="67" spans="1:47">
      <c r="C67" s="15" t="s">
        <v>155</v>
      </c>
      <c r="D67" s="16" t="s">
        <v>103</v>
      </c>
      <c r="E67" s="16"/>
      <c r="F67" s="16"/>
      <c r="G67" s="185" t="str">
        <f>IF(PPLastYear-PPFirstYear&lt;2,"",LEFT(G66,4)+1&amp;"–"&amp;RIGHT(G66,2)+1)</f>
        <v>2015–16</v>
      </c>
      <c r="H67" s="186">
        <f>IF(PPLastYear-PPFirstYear&lt;2,"",DATE(PPFirstYear+2,MONTH('Input|General'!$G$9),1))</f>
        <v>42522</v>
      </c>
    </row>
    <row r="68" spans="1:47">
      <c r="C68" s="15" t="s">
        <v>156</v>
      </c>
      <c r="D68" s="16" t="s">
        <v>103</v>
      </c>
      <c r="E68" s="16"/>
      <c r="F68" s="16"/>
      <c r="G68" s="185" t="str">
        <f>IF(PPLastYear-PPFirstYear&lt;3,"",LEFT(G67,4)+1&amp;"–"&amp;RIGHT(G67,2)+1)</f>
        <v>2016–17</v>
      </c>
      <c r="H68" s="186">
        <f>IF(PPLastYear-PPFirstYear&lt;3,"",DATE(PPFirstYear+3,MONTH('Input|General'!$G$9),1))</f>
        <v>42887</v>
      </c>
    </row>
    <row r="69" spans="1:47">
      <c r="C69" s="15" t="s">
        <v>157</v>
      </c>
      <c r="D69" s="16" t="s">
        <v>103</v>
      </c>
      <c r="E69" s="16"/>
      <c r="F69" s="16"/>
      <c r="G69" s="185" t="str">
        <f>IF(PPLastYear-PPFirstYear&lt;4,"",LEFT(G68,4)+1&amp;"–"&amp;RIGHT(G68,2)+1)</f>
        <v>2017–18</v>
      </c>
      <c r="H69" s="186">
        <f>IF(PPLastYear-PPFirstYear&lt;4,"",DATE(PPFirstYear+4,MONTH('Input|General'!$G$9),1))</f>
        <v>43252</v>
      </c>
    </row>
    <row r="70" spans="1:47">
      <c r="C70" s="15" t="s">
        <v>158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2018–19</v>
      </c>
      <c r="H70" s="186">
        <f>DATE(FPFirstYear,MONTH('Input|General'!$G$9),1)</f>
        <v>43617</v>
      </c>
      <c r="T70" s="17"/>
    </row>
    <row r="71" spans="1:47">
      <c r="C71" s="15" t="s">
        <v>159</v>
      </c>
      <c r="D71" s="16" t="s">
        <v>103</v>
      </c>
      <c r="E71" s="16"/>
      <c r="F71" s="16"/>
      <c r="G71" s="185" t="str">
        <f>IF(FPLastYear-FPFirstYear&lt;1,"",LEFT(G70,4)+1&amp;"–"&amp;RIGHT(G70,2)+1)</f>
        <v>2019–20</v>
      </c>
      <c r="H71" s="186">
        <f>IF(FPLastYear-FPFirstYear&lt;1,"",DATE(FPFirstYear+1,MONTH('Input|General'!$G$9),1))</f>
        <v>43983</v>
      </c>
      <c r="T71" s="17"/>
    </row>
    <row r="72" spans="1:47">
      <c r="C72" s="15" t="s">
        <v>160</v>
      </c>
      <c r="D72" s="16" t="s">
        <v>103</v>
      </c>
      <c r="E72" s="16"/>
      <c r="F72" s="16"/>
      <c r="G72" s="185" t="str">
        <f>IF(FPLastYear-FPFirstYear&lt;2,"",LEFT(G71,4)+1&amp;"–"&amp;RIGHT(G71,2)+1)</f>
        <v>2020–21</v>
      </c>
      <c r="H72" s="186">
        <f>IF(FPLastYear-FPFirstYear&lt;2,"",DATE(FPFirstYear+2,MONTH('Input|General'!$G$9),1))</f>
        <v>44348</v>
      </c>
      <c r="T72" s="17"/>
    </row>
    <row r="73" spans="1:47">
      <c r="C73" s="15" t="s">
        <v>161</v>
      </c>
      <c r="D73" s="16" t="s">
        <v>103</v>
      </c>
      <c r="E73" s="16"/>
      <c r="F73" s="16"/>
      <c r="G73" s="185" t="str">
        <f>IF(FPLastYear-FPFirstYear&lt;3,"",LEFT(G72,4)+1&amp;"–"&amp;RIGHT(G72,2)+1)</f>
        <v>2021–22</v>
      </c>
      <c r="H73" s="186">
        <f>IF(FPLastYear-FPFirstYear&lt;3,"",DATE(FPFirstYear+3,MONTH('Input|General'!$G$9),1))</f>
        <v>44713</v>
      </c>
      <c r="T73" s="17"/>
    </row>
    <row r="74" spans="1:47">
      <c r="C74" s="15" t="s">
        <v>162</v>
      </c>
      <c r="D74" s="16" t="s">
        <v>103</v>
      </c>
      <c r="E74" s="16"/>
      <c r="F74" s="16"/>
      <c r="G74" s="185" t="str">
        <f>IF(FPLastYear-FPFirstYear&lt;4,"",LEFT(G73,4)+1&amp;"–"&amp;RIGHT(G73,2)+1)</f>
        <v>2022–23</v>
      </c>
      <c r="H74" s="186">
        <f>IF(FPLastYear-FPFirstYear&lt;4,"",DATE(FPFirstYear+4,MONTH('Input|General'!$G$9),1))</f>
        <v>45078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tabSelected="1" workbookViewId="0">
      <selection activeCell="D11" sqref="D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16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2018-04-24T06:38:58Z</dcterms:created>
  <dcterms:modified xsi:type="dcterms:W3CDTF">2018-04-24T06:39:24Z</dcterms:modified>
</cp:coreProperties>
</file>